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EE4880A4-BCFC-2C4D-85E4-196FDF7F79A1}"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T145" i="1"/>
  <c r="BF146" i="1"/>
  <c r="BT146" i="1"/>
  <c r="BT147" i="1"/>
  <c r="BF148" i="1"/>
  <c r="BT148" i="1"/>
  <c r="BF149" i="1"/>
  <c r="BT149" i="1"/>
  <c r="BT150" i="1"/>
  <c r="BT151" i="1"/>
  <c r="BT152" i="1"/>
  <c r="BT153" i="1"/>
  <c r="BT154" i="1"/>
  <c r="BT155" i="1"/>
  <c r="BT156" i="1"/>
  <c r="BT157" i="1"/>
  <c r="BT158" i="1"/>
  <c r="BT159" i="1"/>
  <c r="BT160" i="1"/>
  <c r="BT161" i="1"/>
  <c r="BT162" i="1"/>
  <c r="BT163" i="1"/>
  <c r="BT164" i="1"/>
  <c r="BT165" i="1"/>
  <c r="BF166" i="1"/>
  <c r="BT166" i="1"/>
  <c r="BT167" i="1"/>
  <c r="BT168" i="1"/>
  <c r="BF169" i="1"/>
  <c r="BT169" i="1"/>
  <c r="BF170" i="1"/>
  <c r="BT170" i="1"/>
  <c r="BF171" i="1"/>
  <c r="BT171" i="1"/>
  <c r="BF172" i="1"/>
  <c r="BT172" i="1"/>
  <c r="BF173" i="1"/>
  <c r="BT173" i="1"/>
  <c r="BF174" i="1"/>
  <c r="BT174" i="1"/>
  <c r="BF175" i="1"/>
  <c r="BT175" i="1"/>
  <c r="BF176" i="1"/>
  <c r="BT176" i="1"/>
  <c r="BF177" i="1"/>
  <c r="BT177" i="1"/>
  <c r="BT178" i="1"/>
  <c r="BT179" i="1"/>
  <c r="BT180" i="1"/>
  <c r="BT181"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T449"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T546"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T647" i="1"/>
  <c r="BF648" i="1"/>
  <c r="BT648" i="1"/>
  <c r="BF649" i="1"/>
  <c r="BT649" i="1"/>
  <c r="BF650" i="1"/>
  <c r="BT650" i="1"/>
  <c r="BF651" i="1"/>
  <c r="BT651" i="1"/>
  <c r="BF652" i="1"/>
  <c r="BT652" i="1"/>
  <c r="BF653" i="1"/>
  <c r="BT653" i="1"/>
  <c r="BF654" i="1"/>
  <c r="BT654" i="1"/>
  <c r="BT655"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T689" i="1"/>
  <c r="BT690" i="1"/>
  <c r="BF691" i="1"/>
  <c r="BT691" i="1"/>
  <c r="BF692" i="1"/>
  <c r="BT692" i="1"/>
  <c r="BF693" i="1"/>
  <c r="BT693" i="1"/>
  <c r="BF694" i="1"/>
  <c r="BT694" i="1"/>
  <c r="BT695" i="1"/>
  <c r="BT696" i="1"/>
  <c r="BF697" i="1"/>
  <c r="BT697" i="1"/>
  <c r="BT698" i="1"/>
  <c r="BF699" i="1"/>
  <c r="BT699" i="1"/>
  <c r="BF700" i="1"/>
  <c r="BT700" i="1"/>
  <c r="BT701" i="1"/>
  <c r="BF702" i="1"/>
  <c r="BT702"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T721" i="1"/>
  <c r="BF722" i="1"/>
  <c r="BT722" i="1"/>
  <c r="BF723" i="1"/>
  <c r="BT723" i="1"/>
  <c r="BF724" i="1"/>
  <c r="BT724" i="1"/>
  <c r="BF725" i="1"/>
  <c r="BT725" i="1"/>
  <c r="BF726" i="1"/>
  <c r="BT726" i="1"/>
  <c r="BF727" i="1"/>
  <c r="BT727" i="1"/>
  <c r="BF728" i="1"/>
  <c r="BT728" i="1"/>
  <c r="BF729" i="1"/>
  <c r="BT729" i="1"/>
  <c r="BF730" i="1"/>
  <c r="BT730" i="1"/>
  <c r="BT731" i="1"/>
  <c r="BF732" i="1"/>
  <c r="BT732" i="1"/>
  <c r="BT733" i="1"/>
  <c r="BF734" i="1"/>
  <c r="BT734" i="1"/>
  <c r="BF735" i="1"/>
  <c r="BT735" i="1"/>
  <c r="BF736" i="1"/>
  <c r="BT736" i="1"/>
  <c r="BF737" i="1"/>
  <c r="BT737" i="1"/>
  <c r="BF738" i="1"/>
  <c r="BT738" i="1"/>
  <c r="BF739" i="1"/>
  <c r="BT739" i="1"/>
  <c r="BF740" i="1"/>
  <c r="BT740" i="1"/>
  <c r="BF741" i="1"/>
  <c r="BT741" i="1"/>
  <c r="BF742" i="1"/>
  <c r="BT742" i="1"/>
  <c r="BT743" i="1"/>
  <c r="BF744" i="1"/>
  <c r="BT744" i="1"/>
  <c r="BF745" i="1"/>
  <c r="BT745" i="1"/>
  <c r="BF746" i="1"/>
  <c r="BT746" i="1"/>
  <c r="BF747" i="1"/>
  <c r="BT747"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T812"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T880"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T928" i="1"/>
  <c r="BF929" i="1"/>
  <c r="BT929" i="1"/>
  <c r="BF930" i="1"/>
  <c r="BT930" i="1"/>
  <c r="BF931" i="1"/>
  <c r="BT931" i="1"/>
  <c r="BF932" i="1"/>
  <c r="BT932" i="1"/>
  <c r="BF933" i="1"/>
  <c r="BT933" i="1"/>
  <c r="BF934" i="1"/>
  <c r="BT934" i="1"/>
  <c r="BT935" i="1"/>
  <c r="BF936" i="1"/>
  <c r="BT936" i="1"/>
  <c r="BF937" i="1"/>
  <c r="BT937" i="1"/>
  <c r="BF938" i="1"/>
  <c r="BT938" i="1"/>
  <c r="BF939" i="1"/>
  <c r="BT939" i="1"/>
  <c r="BF940" i="1"/>
  <c r="BT940" i="1"/>
  <c r="BT941" i="1"/>
  <c r="BT942" i="1"/>
  <c r="BT943" i="1"/>
  <c r="BT944" i="1"/>
  <c r="BT945" i="1"/>
  <c r="BT946"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T986" i="1"/>
  <c r="BF987" i="1"/>
  <c r="BT987" i="1"/>
  <c r="BF988" i="1"/>
  <c r="BT988" i="1"/>
  <c r="BF989" i="1"/>
  <c r="BT989" i="1"/>
  <c r="BF990" i="1"/>
  <c r="BT990" i="1"/>
  <c r="BF991" i="1"/>
  <c r="BT991" i="1"/>
  <c r="BT992" i="1"/>
  <c r="BF993" i="1"/>
  <c r="BT993" i="1"/>
  <c r="BF994" i="1"/>
  <c r="BT994" i="1"/>
  <c r="BF995" i="1"/>
  <c r="BT995" i="1"/>
  <c r="BF996" i="1"/>
  <c r="BT996" i="1"/>
  <c r="BF997" i="1"/>
  <c r="BT997" i="1"/>
  <c r="BF998" i="1"/>
  <c r="BT998" i="1"/>
  <c r="BT999" i="1"/>
  <c r="BT1000" i="1"/>
  <c r="BF1001" i="1"/>
  <c r="BT1001" i="1"/>
</calcChain>
</file>

<file path=xl/sharedStrings.xml><?xml version="1.0" encoding="utf-8"?>
<sst xmlns="http://schemas.openxmlformats.org/spreadsheetml/2006/main" count="59918" uniqueCount="18975">
  <si>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</si>
  <si>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</si>
  <si>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</si>
  <si>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</si>
  <si>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</si>
  <si>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</si>
  <si>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</si>
  <si>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</si>
  <si>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</si>
  <si>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</si>
  <si>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</si>
  <si>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</si>
  <si>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</si>
  <si>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</si>
  <si>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</si>
  <si>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</si>
  <si>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</si>
  <si>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</si>
  <si>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</si>
  <si>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</si>
  <si>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</si>
  <si>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</si>
  <si>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</si>
  <si>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</si>
  <si>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</si>
  <si>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</si>
  <si>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</si>
  <si>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</si>
  <si>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</si>
  <si>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</si>
  <si>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</si>
  <si>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</si>
  <si>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</si>
  <si>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</si>
  <si>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</si>
  <si>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</si>
  <si>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</si>
  <si>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</si>
  <si>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</si>
  <si>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</si>
  <si>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</si>
  <si>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</si>
  <si>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</si>
  <si>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</si>
  <si>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</si>
  <si>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</si>
  <si>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</si>
  <si>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</si>
  <si>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</si>
  <si>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</si>
  <si>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</si>
  <si>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</si>
  <si>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</si>
  <si>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</si>
  <si>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</si>
  <si>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</si>
  <si>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</si>
  <si>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</si>
  <si>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</si>
  <si>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</si>
  <si>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</si>
  <si>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</si>
  <si>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</si>
  <si>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</si>
  <si>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</si>
  <si>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</si>
  <si>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</si>
  <si>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</si>
  <si>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</si>
  <si>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</si>
  <si>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</si>
  <si>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</si>
  <si>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</si>
  <si>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Joshi, MM; Elvidge, AD; Wordsworth, R; Sergeev, D</t>
  </si>
  <si>
    <t/>
  </si>
  <si>
    <t>Joshi, M. M.; Elvidge, A. D.; Wordsworth, R.; Sergeev, D.</t>
  </si>
  <si>
    <t>Earth's Polar Night Boundary Layer as an Analog for Dark Side Inversions on Synchronously Rotating Terrestrial Exoplanets</t>
  </si>
  <si>
    <t>ASTROPHYSICAL JOURNAL LETTERS</t>
  </si>
  <si>
    <t>English</t>
  </si>
  <si>
    <t>Article</t>
  </si>
  <si>
    <t>Exoplanets; Habitable planets; Atmospheric science; Exoplanet atmospheres; Exoplanet atmospheric variability; Planetary boundary layers; Planetary atmospheres; Exoplanet surface variability; Land-atmosphere interactions; Exoplanet surface characteristics; Exoplanet atmospheric composition</t>
  </si>
  <si>
    <t>MODEL; PLANETS; CLIMATE; MARS; CIRCULATION; LAND</t>
  </si>
  <si>
    <t>A key factor in determining the potential habitability of synchronously rotating planets is the strength of the atmospheric boundary layer inversion between the dark side surface and the free atmosphere. Here we analyze data obtained from polar night measurements at the South Pole and Alert Canada, which are the closest analogs on Earth to conditions on the dark sides of synchronously rotating exoplanets without and with a maritime influence, respectively. On Earth, such inversions rarely exceed 30 K in strength, because of the effect of turbulent mixing induced by phenomena such as so-called mesoscale slope winds, which have horizontal scales of 10-100 s of km, suggesting a similar constraint to near-surface dark side inversions. We discuss the sensitivity of inversion strength to factors such as orography and the global-scale circulation, and compare them to a simulation of the planet Proxima Centauri b. Our results demonstrate the importance of comparisons with Earth data in exoplanet research, and highlight the need for further studies of the exoplanet atmospheric collapse problem using mesoscale and eddy-resolving models.</t>
  </si>
  <si>
    <t>[Joshi, M. M.; Elvidge, A. D.] Univ East Anglia, Sch Environm Sci, Norwich, Norfolk, England; [Joshi, M. M.] Univ East Anglia, Sch Environm Sci, Climat Res Unit, Norwich, Norfolk, England; [Wordsworth, R.] Harvard Univ, Sch Engn &amp; Appl Sci, Cambridge, MA 02138 USA; [Wordsworth, R.] Harvard Univ, Dept Earth &amp; Planetary Sci, Cambridge, MA 02138 USA; [Sergeev, D.] Univ Exeter, Coll Engn Math &amp; Phys Sci, Exeter, Devon, England</t>
  </si>
  <si>
    <t>University of East Anglia; University of East Anglia; Harvard University; Harvard University; University of Exeter</t>
  </si>
  <si>
    <t>Joshi, MM (corresponding author), Univ East Anglia, Sch Environm Sci, Norwich, Norfolk, England.;Joshi, MM (corresponding author), Univ East Anglia, Sch Environm Sci, Climat Res Unit, Norwich, Norfolk, England.</t>
  </si>
  <si>
    <t>m.joshi@uea.ac.uk</t>
  </si>
  <si>
    <t>Joshi, Manoj/C-1795-2008; Sergeev, Denis E./N-3404-2014</t>
  </si>
  <si>
    <t>Joshi, Manoj/0000-0002-2948-2811; Sergeev, Denis E./0000-0001-8832-5288; Elvidge, Andrew/0000-0002-7099-902X</t>
  </si>
  <si>
    <t>NSF [ANT-1535632]; Heising-Simons Foundation; Science and Technology Facilities Council Consolidated Grant [ST/R000395/1]; STFC [ST/R000395/1] Funding Source: UKRI</t>
  </si>
  <si>
    <t>NSF(National Science Foundation (NSF)); Heising-Simons Foundation; Science and Technology Facilities Council Consolidated Grant; STFC(UK Research &amp; Innovation (UKRI)Science &amp; Technology Facilities Council (STFC))</t>
  </si>
  <si>
    <t>We acknowledge the assistance of James Murphy. The authors appreciate the support of the University of Wisconsin-Madison Antarctic Meteorological Research Center in making available the South Pole radiosonde data, (NSF grant No. ANT-1535632), and the Department of Atmospheric Science, University of Wyoming together with Environment and Climate Change Canada for the Alert, Canada radiosonde data. This work benefited from the 2018 Exoplanet Summer Program in the Other Worlds Laboratory (OWL) at the University of California, Santa Cruz, a program funded by the Heising-Simons Foundation. This work was partly supported by a Science and Technology Facilities Council Consolidated Grant (ST/R000395/1). We acknowledge use of the MONSooN system, a collaborative facility supplied under the Joint Weather and Climate Research Programme, a strategic partnership between the Met Office and the Natural Environment Research Council.</t>
  </si>
  <si>
    <t>IOP PUBLISHING LTD</t>
  </si>
  <si>
    <t>BRISTOL</t>
  </si>
  <si>
    <t>TEMPLE CIRCUS, TEMPLE WAY, BRISTOL BS1 6BE, ENGLAND</t>
  </si>
  <si>
    <t>2041-8205</t>
  </si>
  <si>
    <t>2041-8213</t>
  </si>
  <si>
    <t>ASTROPHYS J LETT</t>
  </si>
  <si>
    <t>Astrophys. J. Lett.</t>
  </si>
  <si>
    <t>APR 1</t>
  </si>
  <si>
    <t>L33</t>
  </si>
  <si>
    <t>10.3847/2041-8213/ab7fb3</t>
  </si>
  <si>
    <t>Astronomy &amp; Astrophysics</t>
  </si>
  <si>
    <t>Science Citation Index Expanded (SCI-EXPANDED)</t>
  </si>
  <si>
    <t>KZ8LY</t>
  </si>
  <si>
    <t>Green Submitted, Bronze, Green Accepted</t>
  </si>
  <si>
    <t>2024-04-21</t>
  </si>
  <si>
    <t>WOS:000523510900001</t>
  </si>
  <si>
    <t>Russell, JC; Peace, JE; Houghton, MJ; Bury, SJ; Bodey, TW</t>
  </si>
  <si>
    <t>Russell, James C.; Peace, Joanne E.; Houghton, Melissa J.; Bury, Sarah J.; Bodey, Thomas W.</t>
  </si>
  <si>
    <t>Systematic prey preference by introduced mice exhausts the ecosystem on Antipodes Island</t>
  </si>
  <si>
    <t>BIOLOGICAL INVASIONS</t>
  </si>
  <si>
    <t>Diet; House mouse; Mus musculus; Southern Ocean; Invertebrates; Stable isotopes; Stomach content</t>
  </si>
  <si>
    <t>STABLE-ISOTOPE ANALYSIS; SUB-ANTARCTIC MARION; FERAL HOUSE MICE; MUS-MUSCULUS; BREEDING SUCCESS; CLIMATE-CHANGE; HABITAT USE; DIET; NITROGEN; IMPACT</t>
  </si>
  <si>
    <t>House mice (Mus musculus) are a widespread invasive species on islands. Where they are the sole introduced mammal they can have particularly strong negative impacts on recipient ecosystems. House mice impacts have been documented on almost every component of the terrestrial ecosystem on Southern Ocean islands, including plants, invertebrates, birds and ecosystem function. We undertook a comprehensive study to determine the impacts of house mice on Antipodes Island, New Zealand. This study was done prior to mouse eradication to inform monitoring and restoration. We used invertebrate pitfall trapping on the main Antipodes Island and neighbouring mouse-free offshore islands together with mouse stomach contents and stable isotope analyses of mouse livers to examine dietary preferences. We identified directly impacted and consumed invertebrate Orders relative to their abundance and provided a comprehensive picture of resource flow and overlap in the invaded terrestrial ecosystem. The remote terrestrial ecosystem of Antipodes Island was tightly circumscribed with strong resource overlap. Mouse diet varied seasonally with resource availability, dominated by invertebrates and land birds in summer, and plants and seabirds in winter. Invertebrates that were preferentially preyed upon were Amphipoda, Lepidoptera and some species of Coleoptera. These patterns suggest the ecosystem is annually driven by a seasonal bottom-up resource pulse over summer, where mice are a selective predator, differentially preying on invertebrates relative to invertebrate abundance. Mice appear to be exhausting preferred prey as they systematically consume their way through the terrestrial ecosystem. Land bird diet also varied seasonally and some of these birds likely competed with mice for invertebrate prey. Eradication of mice from Antipodes Island should reduce the predation on invertebrates and reduce the effects of competition and predation on land birds. This should have flow-on effects to the abundance of invertebrates and endemic land bird sub-species of pipit and snipe.</t>
  </si>
  <si>
    <t>[Russell, James C.; Peace, Joanne E.; Bodey, Thomas W.] Univ Auckland, Sch Biol Sci, Auckland 1142, New Zealand; [Houghton, Melissa J.] Univ Queensland, Sch Biol Sci, Ctr Biodivers &amp; Conservat Sci, St Lucia, Qld 4072, Australia; [Bury, Sarah J.] Natl Inst Water &amp; Atmospher Res Ltd, Wellington 6021, New Zealand; [Bodey, Thomas W.] Univ Exeter, Environm &amp; Sustainabil Inst, Penryn TR10 9FE, England</t>
  </si>
  <si>
    <t>University of Auckland; University of Queensland; National Institute of Water &amp; Atmospheric Research (NIWA) - New Zealand; University of Exeter</t>
  </si>
  <si>
    <t>Russell, JC; Bodey, TW (corresponding author), Univ Auckland, Sch Biol Sci, Auckland 1142, New Zealand.</t>
  </si>
  <si>
    <t>j.russell@auckland.ac.nz; t.w.bodey@exeter.ac.uk</t>
  </si>
  <si>
    <t>Houghton, Melissa/IZE-8544-2023; Bury, Sarah/JLN-0810-2023</t>
  </si>
  <si>
    <t>Bodey, Thomas/0000-0002-5334-9615</t>
  </si>
  <si>
    <t>SPRINGER</t>
  </si>
  <si>
    <t>DORDRECHT</t>
  </si>
  <si>
    <t>VAN GODEWIJCKSTRAAT 30, 3311 GZ DORDRECHT, NETHERLANDS</t>
  </si>
  <si>
    <t>1387-3547</t>
  </si>
  <si>
    <t>1573-1464</t>
  </si>
  <si>
    <t>BIOL INVASIONS</t>
  </si>
  <si>
    <t>Biol. Invasions</t>
  </si>
  <si>
    <t>APR</t>
  </si>
  <si>
    <t>10.1007/s10530-019-02194-4</t>
  </si>
  <si>
    <t>Biodiversity Conservation; Ecology</t>
  </si>
  <si>
    <t>Biodiversity &amp; Conservation; Environmental Sciences &amp; Ecology</t>
  </si>
  <si>
    <t>KU3NV</t>
  </si>
  <si>
    <t>Green Published, hybrid</t>
  </si>
  <si>
    <t>WOS:000519618900004</t>
  </si>
  <si>
    <t>Laeseke, P; Martinez, B; Mansilla, A; Bischof, K</t>
  </si>
  <si>
    <t>Laeseke, Philipp; Martinez, Brezo; Mansilla, Andres; Bischof, Kai</t>
  </si>
  <si>
    <t>Future range dynamics of the red alga Capreolia implexa in native and invaded regions: contrasting predictions from species distribution models versus physiological knowledge</t>
  </si>
  <si>
    <t>Ecological niche modelling; Seaweed biogeography; Climate change; Chile; Range contraction</t>
  </si>
  <si>
    <t>NEW-ZEALAND; UNDARIA-PINNATIFIDA; CLIMATE-CHANGE; DOWN-UNDER; MARINE; KELP; GELIDIALES; RHODOPHYTA; INVASIONS; NICHE</t>
  </si>
  <si>
    <t>Correlative species distribution modelling is a widely used method to predict potential species ranges but can suffer from limitations in integrating species' fundamental niches. Therefore, they might underestimate suitable ranges, but including physiological information can improve accuracy of predictions and help identify mechanisms of e.g. range limitation. However, approaches using both, results from correlative as well as physiological investigations are rare, especially in research on seaweeds. Here, we provide results from both approaches to predict the suitable habitat range of Capreolia implexa (Rhodophyta) in its native range (Australia and New Zealand) and invaded range (Chile) under present and future climate scenarios (year 2100, rcp 2.6 and rcp 8.5). We used the Maxent modelling technique and physiological knowledge from a temperature tolerance experiment (2-20 degrees C) for thermal niche estimation. Results from both approaches suggest larger suitable habitat ranges under present day conditions for both regions than currently occupied. Abiotic range limitation in the native range led to underestimation of the suitable temperature range by Maxent (here lower temperature limit = 8.3 degrees C). Predictions based on the laboratory temperature tolerance experiment suggest additional suitable habitat in colder regions (here lower temperature limit = 6.6 +/- 0.4 degrees C). Under future climate conditions, both native and invaded ranges should shift southward, which will lead to an overall loss of suitable habitat in the native range. Like that, rcp 8.5 conditions should reduce the native range to 50% of the present-day extent. We demonstrate the limitation of correlative SDM modelling for species that live on continental margins and that physiological experiments can help to identify species' niches beyond correlative analyses, providing valuable information for range projections. Furthermore, we provide valuable insights relevant for both invasion management and conservation. Graphic abstract</t>
  </si>
  <si>
    <t>[Laeseke, Philipp; Bischof, Kai] Univ Bremen, Dept Marine Bot, Bremen, Germany; [Martinez, Brezo] Univ Rey Juan Carlos, Area Biodiversidad &amp; Conservac, Madrid, Spain; [Mansilla, Andres] Univ Magallanes, Lab Antarctic &amp; Subantarctic Marine Ecosyst LEMAS, IEB, Punta Arenas, Chile</t>
  </si>
  <si>
    <t>University of Bremen; Universidad Rey Juan Carlos; Universidad de Magallanes</t>
  </si>
  <si>
    <t>Laeseke, P (corresponding author), Univ Bremen, Dept Marine Bot, Bremen, Germany.</t>
  </si>
  <si>
    <t>philipp.laeseke@uni-bremen.de</t>
  </si>
  <si>
    <t>Martínez, Brezo DC/K-6726-2014</t>
  </si>
  <si>
    <t>Martínez, Brezo DC/0000-0002-7501-7726; Mansilla, Andres/0000-0003-3505-7018; Bischof, Kai/0000-0002-4497-1920</t>
  </si>
  <si>
    <t>10.1007/s10530-019-02186-4</t>
  </si>
  <si>
    <t>hybrid</t>
  </si>
  <si>
    <t>WOS:000519618900010</t>
  </si>
  <si>
    <t>Berry, R III; López-Martínez, G</t>
  </si>
  <si>
    <t>Berry, Raymond, III; Lopez-Martinez, Giancarlo</t>
  </si>
  <si>
    <t>A dose of experimental hormesis: When mild stress protects and improves animal performance</t>
  </si>
  <si>
    <t>COMPARATIVE BIOCHEMISTRY AND PHYSIOLOGY A-MOLECULAR &amp; INTEGRATIVE PHYSIOLOGY</t>
  </si>
  <si>
    <t>Dose response; Antioxidants; Life history; Trade-offs; POS hypothesis</t>
  </si>
  <si>
    <t>DROSOPHILA-MELANOGASTER FLIES; CHRONIC CADMIUM EXPOSURE; FLESH FLY; ANTARCTIC MIDGE; LIFE-SPAN; ANTIOXIDANT DEFENSES; OXIDATIVE STRESS; HEAT-SHOCK; GAMMA-IRRADIATION; CROSS-TOLERANCE</t>
  </si>
  <si>
    <t>The adaptive response characterized by a biphasic curve is known as hormesis. In a hormesis framework, exposure to low doses leads to protective and beneficial responses while exposures to high doses are damaging and detrimental. Comparative physiologists have studied hormesis for over a century, but our understanding of hormesis is fragmented due to rifts in consensus and taxonomic-specific terminology. Hormesis has been and is currently known by multiple names; preconditioning, conditioning, pretreatment, cross tolerance, adaptive homeostasis, and rapid stress hardening (mostly low temperature: rapid cold hardening). These are the most common names used to describe adaptive stress responses in animals. These responses are mechanistically similar, while having stress-specific responses, but they all can fall under the umbrella of hormesis. Here we review how hormesis studies have revealed animal performance benefits in response to changes in oxygen, temperature, ionizing radiation, heavy metals, pesticides, dehydration, gravity, and crowding. And how almost universally, hormetic responses are characterized by increases in performance that include either increases in reproduction, longevity, or both. And while the field can benefit from additional mechanistic work, we know that many of these responses are rooted in increases of antioxidants and oxidative stress protective mechanisms; including heat shock proteins. There is a clear, yet not fully elucidated, overlap between hormesis and the preparation for oxidative stress theory; which predicts part of the responses associated with hormesis. We discuss this, and the need for additional work into animal hormetic effects particularly focusing on the cost of hormesis.</t>
  </si>
  <si>
    <t>[Berry, Raymond, III] New Mexico State Univ, Dept Biol, Las Cruces, NM 88003 USA; [Lopez-Martinez, Giancarlo] North Dakota State Univ, Dept Biol Sci, Fargo, ND 58102 USA</t>
  </si>
  <si>
    <t>New Mexico State University; North Dakota State University Fargo</t>
  </si>
  <si>
    <t>López-Martínez, G (corresponding author), North Dakota State Univ, Dept Biol Sci, Fargo, ND 58102 USA.</t>
  </si>
  <si>
    <t>Lopez-Martinez, Giancarlo/AAE-8134-2020</t>
  </si>
  <si>
    <t>Lopez-Martinez, Giancarlo/0000-0002-7937-5002; Berry III, Raymond/0000-0001-9071-555X</t>
  </si>
  <si>
    <t>NMSU RISE - National Institutes of Health [2R25GM 061222-18]; National Science Foundation Office of Integrative Actives RII Track-2 [1826834]; Office Of The Director; Office of Integrative Activities [1826834] Funding Source: National Science Foundation</t>
  </si>
  <si>
    <t>NMSU RISE - National Institutes of Health(United States Department of Health &amp; Human ServicesNational Institutes of Health (NIH) - USAOffice of the Administrator (NIH)); National Science Foundation Office of Integrative Actives RII Track-2; Office Of The Director; Office of Integrative Activities(National Science Foundation (NSF)NSF - Office of the Director (OD)NSF - Office of Integrative Activities (OIA))</t>
  </si>
  <si>
    <t>RI3111 and GLM conceived the idea for the review, carried out the literature search, and wrote the manuscript. Support for RBIII came from NMSU RISE is funded by the National Institutes of Health (2R25GM 061222-18) and for GLM from the National Science Foundation Office of Integrative Actives RII Track-2 #1826834. The authors wish to thank Alyssa De La Torre, Nubia Rivas, Angel Padilla, and Michael Balogh for their assistance in building the hormesis database for the Comparative Stress Physiology Laboratory.</t>
  </si>
  <si>
    <t>ELSEVIER SCIENCE INC</t>
  </si>
  <si>
    <t>NEW YORK</t>
  </si>
  <si>
    <t>STE 800, 230 PARK AVE, NEW YORK, NY 10169 USA</t>
  </si>
  <si>
    <t>1095-6433</t>
  </si>
  <si>
    <t>1531-4332</t>
  </si>
  <si>
    <t>COMP BIOCHEM PHYS A</t>
  </si>
  <si>
    <t>Comp. Biochem. Physiol. A-Mol. Integr. Physiol.</t>
  </si>
  <si>
    <t>10.1016/j.cbpa.2020.110658</t>
  </si>
  <si>
    <t>Biochemistry &amp; Molecular Biology; Physiology; Zoology</t>
  </si>
  <si>
    <t>KV6SA</t>
  </si>
  <si>
    <t>Green Accepted, hybrid</t>
  </si>
  <si>
    <t>WOS:000520611000012</t>
  </si>
  <si>
    <t>Li, NG; Toxopeus, J; Moos, M; Sorensen, JG; Sinclair, BJ</t>
  </si>
  <si>
    <t>Li, Natalia G.; Toxopeus, Jantina; Moos, Martin; Sorensen, Jesper G.; Sinclair, Brent J.</t>
  </si>
  <si>
    <t>A comparison of low temperature biology of Pieris rapae from Ontario, Canada, and Yakutia, Far Eastern Russia</t>
  </si>
  <si>
    <t>Cryoprotectants; Freeze tolerance; Freeze avoidance; Metabolomics; Plasticity</t>
  </si>
  <si>
    <t>INSECT COLD TOLERANCE; FREEZE TOLERANCE; OVERWINTERING PHYSIOLOGY; ANTARCTIC MIDGE; LARVAE; ACCLIMATION; POPULATIONS; HARDINESS; PROTEINS; STRATEGY</t>
  </si>
  <si>
    <t>Low temperatures limit the distribution and abundance of ectotherms. However, many insects can survive low temperatures by employing one of two cold tolerance strategies: freeze avoidance or freeze tolerance. Very few species can employ both strategies, but those that do provide a rare opportunity to study the mechanisms that differentiate freeze tolerance and freeze avoidance. We showed that overwintering pupae of the cabbage white butterfly Pieris rapae can be freeze tolerant or freeze avoidant. Pupae from a population of P. rapae in northeastern Russia (Yakutsk) froze at c. -9.3 degrees C and were freeze-tolerant in 2002-2003 when overwintered outside. However, P. rapae from both Yakutsk and southern Canada (London) acclimated to milder laboratory conditions in 2014 and 2017 froze at lower temperatures ( &lt; - 20 degrees C) and were freeze-avoidant. Summer-collected P. rapae larvae (collected in Yakutsk in 2016) were partially freeze-tolerant, and decreased the temperature at which they froze in response to starvation at mild low temperatures (4 degrees C) and repeated partial freezing events. By comparing similarly-acclimated P. rapae pupae from both populations, we identified molecules that may facilitate low temperature tolerance, including the hemolymph ice-binding molecules and several potential low molecular weight cryoprotectants. Pieris rapae from Yakutsk exhibited high physiological plasticity, accumulating cryoprotectants and almost doubling their hemolymph osmolality when supercooled to -15 degrees C for two weeks, while the London P. rapae population exhibited minimal plasticity. We hypothesize that physiological plasticity is an important adaptation to extreme low temperatures (i.e. in Yakutsk) and may facilitate the transition between freeze avoidance and freeze tolerance.</t>
  </si>
  <si>
    <t>[Li, Natalia G.] MK Ammosov North Eastern Fed Univ, Inst Med, Kulakovskogo St 36, Yakutsk 677007, Sahka Republic, Russia; [Toxopeus, Jantina; Sinclair, Brent J.] Univ Western Ontario, Dept Biol, 1151 Richmond St N, London, ON N6A 5B7, Canada; [Moos, Martin] Czech Acad Sci, Biol Ctr, Inst Entomol, Branisovska 1160-31, Ceske Budejovice 37005, Czech Republic; [Sorensen, Jesper G.] Aarhus Univ, Dept Biosci, Ny Munkegade 116, DK-8000 Aarhus, Denmark; [Li, Natalia G.] Cryoprotect LLC, Skolkovo Innovat Ctr, Nobel St 7, Moscow 143026, Russia; [Toxopeus, Jantina] Univ Colorado, Dept Integrat Biol, 1151 Arapahoe St, Denver, CO 80204 USA</t>
  </si>
  <si>
    <t>North-Eastern Federal University in Yakutsk; Western University (University of Western Ontario); Czech Academy of Sciences; Biology Centre of the Czech Academy of Sciences; Aarhus University; University of Colorado System; University of Colorado Denver</t>
  </si>
  <si>
    <t>Toxopeus, J (corresponding author), Univ Western Ontario, Dept Biol, 1151 Richmond St N, London, ON N6A 5B7, Canada.;Toxopeus, J (corresponding author), Univ Colorado, Dept Integrat Biol, 1151 Arapahoe St, Denver, CO 80204 USA.</t>
  </si>
  <si>
    <t>li_natalia@mail.ru; jantina.toxopeus@ucdenver.edu; moos@bclab.eu; jesper.soerensen@bios.au.dk; bsincla7@uwo.ca</t>
  </si>
  <si>
    <t>Sinclair, Brent J/C-6133-2012; Li, Natalia/AGE-6958-2022; Sørensen, Jesper Givskov/J-3190-2013; Toxopeus, Jantina/AAU-4969-2020; Moos, Martin/G-9353-2014</t>
  </si>
  <si>
    <t>Sørensen, Jesper Givskov/0000-0002-9149-3626; Toxopeus, Jantina/0000-0002-0761-801X; Moos, Martin/0000-0003-3930-3132; Li, Natalia/0000-0001-5043-3988</t>
  </si>
  <si>
    <t>INTERACT Transnational Access Grant; Sakha Government Grant; Natural Sciences and Engineering Research Council of Canada (NSERC) Discovery Grant; NSERC Canada Graduate Scholarship; Company of Biologists Travelling Fellowship</t>
  </si>
  <si>
    <t>INTERACT Transnational Access Grant; Sakha Government Grant; Natural Sciences and Engineering Research Council of Canada (NSERC) Discovery Grant(Natural Sciences and Engineering Research Council of Canada (NSERC)); NSERC Canada Graduate Scholarship(Natural Sciences and Engineering Research Council of Canada (NSERC)); Company of Biologists Travelling Fellowship</t>
  </si>
  <si>
    <t>This work was funded by an INTERACT Transnational Access Grant to NGL, JGS and BJS, Sakha Government Grant to promote innovations to NGL, a Natural Sciences and Engineering Research Council of Canada (NSERC) Discovery Grant to BJS, and an NSERC Canada Graduate Scholarship and a Company of Biologists Travelling Fellowship to JT.</t>
  </si>
  <si>
    <t>10.1016/j.cbpa.2020.110649</t>
  </si>
  <si>
    <t>Green Submitted</t>
  </si>
  <si>
    <t>WOS:000520611000007</t>
  </si>
  <si>
    <t>Uya, M; Bulleri, F; Wright, JT; Gribben, PE</t>
  </si>
  <si>
    <t>Uya, Marc; Bulleri, Fabio; Wright, Jeffrey T.; Gribben, Paul E.</t>
  </si>
  <si>
    <t>Facilitation of an invader by a native habitat-former increases along interacting gradients of environmental stress</t>
  </si>
  <si>
    <t>ECOLOGY</t>
  </si>
  <si>
    <t>biological invasion; environmental stress; facilitation; intertidal boulder field; Petrolisthes elongatus; positive interactions</t>
  </si>
  <si>
    <t>POSITIVE SPECIES INTERACTIONS; WAVE EXPOSURE; BIOTIC RESISTANCE; INVASIVE CRAB; PLANT INTERACTIONS; GOOSE BARNACLES; PORCELAIN CRABS; ABIOTIC STRESS; GREEN-ALGA; PETROLISTHES</t>
  </si>
  <si>
    <t>Native habitat-forming species can facilitate invasion by reducing environmental stress or consumer pressure. However, the intensity of one stressor along a local gradient may differ when expanding the scale of observation to encompass major variations in background environmental conditions. In this study, we determined how facilitation of the invasive porcelain crab, Petrolisthes elongatus, by the native tube-forming serpulid, Galeolaria caespitosa, varied with environmental gradients at local (tidal height) and larger (wave exposure) spatial scales. G. caespitosa constructs a complex calcareous matrix on the underside of intertidal boulders and we predicted that its positive effects on P. elongatus density would increase in intensity with shore height and be stronger at wave-sheltered than wave-exposed locations. To test these predictions, we conducted two experiments. First, we determined the effects of serpulid presence (boulders with live or dead serpulid matrix vs. bare boulders) at six shore heights that covered the intertidal distribution of P. elongatus. Second, we determined the effects of serpulid presence (present vs. absent), shore height (high vs. low) and wave exposure (sheltered vs. exposed) on crabs across six locations within the invaded range in northern Tasmania, Australia. In Experiment 1, the presence of serpulids (either dead or alive) enhanced P. elongatus densities at all shore heights, with facilitation intensity (as determined by a relative interaction index; RII) tending to increase with shore height. In Experiment 2, serpulids facilitated P. elongatus across shore heights and wave exposures, although crab densities were lower at high shore levels of wave-sheltered locations. However, the intensity of crab facilitation by serpulids was greater on wave-sheltered than on wave-exposed shores, but only at the high shore level. This study demonstrates that local effects of native habitat-formers on invasive species are dependent on prevailing environmental conditions at larger spatial scales and that, under more stressful conditions, invaders become increasingly reliant on positive interactions with native habitat-formers. Increased strength of local-scale facilitation by native species, dampening broader scale variations in environmental stressors, could enhance the ability of invasive species to establish self-sustaining populations in the invaded range.</t>
  </si>
  <si>
    <t>[Uya, Marc; Bulleri, Fabio] Univ Pisa, Dipartimento Biol, Via Derna 1, I-56126 Pisa, Italy; [Uya, Marc; Gribben, Paul E.] Univ New South Wales, Sch Biol Earth &amp; Environm Sci, Ctr Marine Sci &amp; Innovat, Sydney, NSW 2052, Australia; [Bulleri, Fabio] Consorzio Nazl Interuniv Sci Mare, CoNISMa, Piazzale Flaminio 9, I-00196 Rome, Italy; [Wright, Jeffrey T.] Univ Tasmania, Inst Marine &amp; Antarctic Studies, Private Bag 129, Hobart, Tas 7001, Australia; [Gribben, Paul E.] Sydnev Inst Marine Sci, 19 Chowder Bay Rd, Mosman, NSW 2088, Australia</t>
  </si>
  <si>
    <t>University of Pisa; University of New South Wales Sydney; CoNISMa; University of Tasmania</t>
  </si>
  <si>
    <t>Bulleri, F (corresponding author), Univ Pisa, Dipartimento Biol, Via Derna 1, I-56126 Pisa, Italy.;Bulleri, F (corresponding author), Consorzio Nazl Interuniv Sci Mare, CoNISMa, Piazzale Flaminio 9, I-00196 Rome, Italy.</t>
  </si>
  <si>
    <t>fabio.bulleri@unipi.it</t>
  </si>
  <si>
    <t>Wright, Jeffrey/J-7536-2014</t>
  </si>
  <si>
    <t>Wright, Jeffrey/0000-0002-1085-4582; Bulleri, Fabio/0000-0002-7335-6791</t>
  </si>
  <si>
    <t>Australian Research Council Future Fellowship scheme [FT140100322]</t>
  </si>
  <si>
    <t>Australian Research Council Future Fellowship scheme(Australian Research Council)</t>
  </si>
  <si>
    <t>We would like to thank Daniel Estevez Barcia, Georgina Wood, Tenzin Norzin, and ChloeWilson for help in the field. We would also like to thank Mira van der Ley and David Edwards for their helpful advice to perform the topographic profiles. The final version of the paper has been improved by insightful comments from two anonymous reviewers. P. E. Gribben was funded under the Australian Research Council Future Fellowship scheme (FT140100322). M. Uya, P. E. Gribben, J. T. Wright, and F. Bulleri conceived the main ideas. M. Uya performed field work and the statistical analysis. F. Bulleri leaded the writing of the manuscript and all authors commented on drafts.</t>
  </si>
  <si>
    <t>WILEY</t>
  </si>
  <si>
    <t>HOBOKEN</t>
  </si>
  <si>
    <t>111 RIVER ST, HOBOKEN 07030-5774, NJ USA</t>
  </si>
  <si>
    <t>0012-9658</t>
  </si>
  <si>
    <t>1939-9170</t>
  </si>
  <si>
    <t>Ecology</t>
  </si>
  <si>
    <t>e02961</t>
  </si>
  <si>
    <t>10.1002/ecy.2961</t>
  </si>
  <si>
    <t>Environmental Sciences &amp; Ecology</t>
  </si>
  <si>
    <t>LV0CG</t>
  </si>
  <si>
    <t>Green Accepted, Green Published</t>
  </si>
  <si>
    <t>WOS:000538111800003</t>
  </si>
  <si>
    <t>Lomax, DR; Massare, JA; Evans, M</t>
  </si>
  <si>
    <t>Lomax, Dean R.; Massare, Judy A.; Evans, Mark</t>
  </si>
  <si>
    <t>New information on the skull roof of Protoichthyosaurus (Reptilia: Ichthyosauria) and intraspecific variation in some dermal skull elements</t>
  </si>
  <si>
    <t>GEOLOGICAL MAGAZINE</t>
  </si>
  <si>
    <t>intraspecific variation; Ichthyosaurus; Stenopterygius; Barrow-upon-Soar; Lower Jurassic</t>
  </si>
  <si>
    <t>STENOPTERYGIUS</t>
  </si>
  <si>
    <t>A previously unrecognized specimen of Protoichthyosaurus prostaxalis, LEICT G142.1991, from the Lower Jurassic of Barrow-upon-Soar, Leicestershire, UK, includes an almost complete three-dimensional skull that provides new information on the configuration of the skull roof. The position of the pineal foramen (between the frontals and the parietals) and an elongated internasal foramen in a depression along the midline of the nasals are clearly shown. The maxilla makes up a significant portion of the external naris ventral margin, an unusual character for the genus/species. This reflects intraspecific variation, not evidence of a new taxon. The specimen enables comparisons of skull roof morphology with Ichthyosaurus and Stenopterygius, two common Early Jurassic taxa. In particular, the position of the pineal foramen is similar to Stenopterygius, but distinguishes Protoichthyosaurus from Ichthyosaurus. The lack of a frontal-prefrontal contact and the posteriorly wide nasals distinguishes Protoichthyosaurus from Stenopterygius. We also present a revised reconstruction of the skull roof morphology of Ichthyosaurus. Three additional specimens of Protoichthyosaurus are referred to the genus: another partial skull, referred to P. prostaxalis, and two isolated forefins, identified by their unique morphology.</t>
  </si>
  <si>
    <t>[Lomax, Dean R.] Univ Manchester, Dept Earth &amp; Environm Sci, Oxford Rd, Manchester M13 9PL, Lancs, England; [Massare, Judy A.] SUNY Coll Brockport, Dept Earth Sci, Brockport, NY 14420 USA; [Evans, Mark] Univ Leicester, Ctr Palaeobiol Res, Sch Geog Geol &amp; Environm, Leicester LE1 7RH, Leics, England; [Evans, Mark] British Antarctic Survey, High Cross,Madingley Rd, Cambridge CB3 0ET, England</t>
  </si>
  <si>
    <t>University of Manchester; State University of New York (SUNY) System; State University of New York (SUNY) Brockport; University of Leicester; UK Research &amp; Innovation (UKRI); Natural Environment Research Council (NERC); NERC British Antarctic Survey</t>
  </si>
  <si>
    <t>Lomax, DR (corresponding author), Univ Manchester, Dept Earth &amp; Environm Sci, Oxford Rd, Manchester M13 9PL, Lancs, England.</t>
  </si>
  <si>
    <t>dean.lomax@manchester.ac.uk</t>
  </si>
  <si>
    <t>Evans, Mark/0009-0002-5928-6464</t>
  </si>
  <si>
    <t>University of Manchester; NERC [bas010011] Funding Source: UKRI</t>
  </si>
  <si>
    <t>University of Manchester; NERC(UK Research &amp; Innovation (UKRI)Natural Environment Research Council (NERC))</t>
  </si>
  <si>
    <t>We thank S Chapman, P Barrett, and L Steel (NHMUK), N Monaghan and M Parkes (NMING), P Joy (UOD), C Howells (NMW), J Clatworthy and K Riddington (BU), V Gausa (GPIT), E Maxwell (SMNS), M Riley and S Finney (CAMSM), E Howlett and H Ketchum (OUMNH), T Davidson (LDUCZ) and J Radley (WARMS) for help with and access to specimens at their institutions. Thanks also to B Gibson for providing photos of the specimen at UOD, T Smithson at the University of Cambridge for discussing the history and discovery of NHMUK R15943, and A Roberts for reviewing earlier versions of this paper. D.R.L.'s travel was partly covered by a PGR, Dean's Doctoral Scholarship Award from the University of Manchester.</t>
  </si>
  <si>
    <t>CAMBRIDGE UNIV PRESS</t>
  </si>
  <si>
    <t>32 AVENUE OF THE AMERICAS, NEW YORK, NY 10013-2473 USA</t>
  </si>
  <si>
    <t>0016-7568</t>
  </si>
  <si>
    <t>1469-5081</t>
  </si>
  <si>
    <t>GEOL MAG</t>
  </si>
  <si>
    <t>Geol. Mag.</t>
  </si>
  <si>
    <t>PII S0016756819001225</t>
  </si>
  <si>
    <t>10.1017/S0016756819001225</t>
  </si>
  <si>
    <t>Geosciences, Multidisciplinary</t>
  </si>
  <si>
    <t>Geology</t>
  </si>
  <si>
    <t>LB9KY</t>
  </si>
  <si>
    <t>WOS:000524948900007</t>
  </si>
  <si>
    <t>Shimada, S; Nakai, R; Aoki, K; Shimoeda, N; Ohno, G; Miyazaki, Y; Kudoh, S; Imura, S; Watanabe, K; Ishii, Y; Tateda, K</t>
  </si>
  <si>
    <t>Shimada, Sho; Nakai, Ryosuke; Aoki, Kotaro; Shimoeda, Norifumi; Ohno, Giichiro; Miyazaki, Yasunari; Kudoh, Sakae; Imura, Satoshi; Watanabe, Kentaro; Ishii, Yoshikazu; Tateda, Kazuhiro</t>
  </si>
  <si>
    <t>Complete Genome Sequence of Novel Psychrotolerant Legionella Strain TUM19329, Isolated from Antarctic Lake Sediment</t>
  </si>
  <si>
    <t>MICROBIOLOGY RESOURCE ANNOUNCEMENTS</t>
  </si>
  <si>
    <t>TEMPERATURE; PNEUMOPHILA; DIVERSITY</t>
  </si>
  <si>
    <t>Here, we report the complete genome sequence characteristics of Legionella strain TUM19329, a candidate for a novel psychrotolerant species isolated from Antarctic lake sediment. The genome assembly contains a single 3,750,805-bp contig with a G+C content of 39.1% and is predicted to encode 3,538 proteins.</t>
  </si>
  <si>
    <t>[Shimada, Sho; Aoki, Kotaro; Ishii, Yoshikazu; Tateda, Kazuhiro] Toho Univ, Sch Med, Dept Microbiol &amp; Infect Dis, Tokyo, Japan; [Nakai, Ryosuke] Natl Inst Adv Ind Sci &amp; Technol, Bioprod Res Inst, Sapporo, Hokkaido, Japan; [Shimoeda, Norifumi] Tochinoki Hosp, Tochigi Med Ctr, Tochigi, Japan; [Ohno, Giichiro] Tokatsu Hosp, Chiba, Japan; [Shimada, Sho; Miyazaki, Yasunari] Tokyo Med &amp; Dent Univ, Dept Resp Med, Tokyo, Japan; [Kudoh, Sakae; Imura, Satoshi; Watanabe, Kentaro] Res Org Informat &amp; Syst, Natl Inst Polar Res, Tokyo, Japan; [Kudoh, Sakae; Imura, Satoshi] SOKENDAI Grad Univ Adv Studies, Sch Multidisciplinary Sci, Dept Polar Sci, Tokyo, Japan</t>
  </si>
  <si>
    <t>Toho University; National Institute of Advanced Industrial Science &amp; Technology (AIST); Tokyo Medical &amp; Dental University (TMDU); Research Organization of Information &amp; Systems (ROIS); National Institute of Polar Research (NIPR) - Japan; Graduate University for Advanced Studies - Japan</t>
  </si>
  <si>
    <t>Shimada, S (corresponding author), Toho Univ, Sch Med, Dept Microbiol &amp; Infect Dis, Tokyo, Japan.;Shimada, S (corresponding author), Tokyo Med &amp; Dent Univ, Dept Resp Med, Tokyo, Japan.</t>
  </si>
  <si>
    <t>shi2pulm@tmd.ac.jp</t>
  </si>
  <si>
    <t>Nakai, Ryosuke/O-6217-2015</t>
  </si>
  <si>
    <t>Shimada, Sho/0000-0001-8417-5577; Watanabe, Kentaro/0000-0002-5177-0086; Aoki, Kotaro/0000-0002-9237-1217</t>
  </si>
  <si>
    <t>National Institute of Polar Research (NIPR) [31-34]</t>
  </si>
  <si>
    <t>National Institute of Polar Research (NIPR)(National Institute of Polar Research (NIPR) - Japan)</t>
  </si>
  <si>
    <t>This study was supported by National Institute of Polar Research (NIPR) through General Collaboration Project number 31-34.</t>
  </si>
  <si>
    <t>AMER SOC MICROBIOLOGY</t>
  </si>
  <si>
    <t>WASHINGTON</t>
  </si>
  <si>
    <t>1752 N ST NW, WASHINGTON, DC 20036-2904 USA</t>
  </si>
  <si>
    <t>2576-098X</t>
  </si>
  <si>
    <t>MICROBIOL RESOUR ANN</t>
  </si>
  <si>
    <t>Microbiol. Resour. Ann.</t>
  </si>
  <si>
    <t>e00253-20</t>
  </si>
  <si>
    <t>10.1128/MRA.00253-20</t>
  </si>
  <si>
    <t>Microbiology</t>
  </si>
  <si>
    <t>Emerging Sources Citation Index (ESCI)</t>
  </si>
  <si>
    <t>LF6PD</t>
  </si>
  <si>
    <t>Green Published, gold</t>
  </si>
  <si>
    <t>WOS:000527538400020</t>
  </si>
  <si>
    <t>Elvevold, S; Engvik, AK; Abu-Alam, TS; Myhre, PI; Corfu, F</t>
  </si>
  <si>
    <t>Elvevold, Synnove; Engvik, Ane K.; Abu-Alam, Tamer S.; Myhre, Per Inge; Corfu, Fernando</t>
  </si>
  <si>
    <t>Prolonged high-grade metamorphism of supracrustal gneisses from Muhlig-Hofmanntjella, central Dronning Maud Land (East Antarctica)</t>
  </si>
  <si>
    <t>PRECAMBRIAN RESEARCH</t>
  </si>
  <si>
    <t>Dronning Maud Land; Antarctica; East African/Antarctic Orogen; P-T path; Prolonged metamorphism; Hot orogen</t>
  </si>
  <si>
    <t>GRENVILLE-AGE METAMORPHISM; PARTIAL MELTING EQUILIBRIA; T-T PATH; AFRICAN OROGEN; HU SVERDRUPFJELLA; CONTINENTAL COLLISION; SCHIRMACHER HILLS; PHASE-RELATIONS; ZIRCON; EVOLUTION</t>
  </si>
  <si>
    <t>The bedrock of Muhlig-Hofmannfiella, central Dronning Maud Land in eastern Antarctica, is part of the high-grade Maud Belt and comprises a deep-seated metamorphic-plutonic complex. The P-T-t evolution of anatectic supracrustal gneisses has been recovered through a study of mineral assemblages, textural relationships and U-Pb ID TIMS geochronology on zircon and monazite followed by pseudosection modelling. Peak conditions reached granulite facies conditions (T &gt;= 810-820 degrees C) at moderate crustal depths (P = ca. 8 kbar) and resulted in partial melting. Peak-pressure conditions were followed by isothermal decompression at elevated temperatures. After exhumation to crustal levels of about 4-5 kbar, the area underwent a final near-isobaric cooling, which is documented by a secondary growth of garnet. Zircons indicate a period of growth at 570-566 Ma, whereas monazite ages range from 610 to 525 Ma. A likely heat source for the granulite facies metamorphism is decay of radioactive heat-producing elements in the core of the orogen. The combined geochronology and metamorphic data indicate a prolonged, clockwise P-T path, which reflects collision and formation of a long-lived orogenic plateau.</t>
  </si>
  <si>
    <t>[Elvevold, Synnove; Abu-Alam, Tamer S.; Myhre, Per Inge] Norwegian Polar Res Inst, Fram Ctr, POB 6606, N-9296 Tromso, Norway; [Engvik, Ane K.] Geol Survey Norway, POB 6315 Torgard, N-7491 Trondheim, Norway; [Abu-Alam, Tamer S.] Univ Tromso, Arctic Univ Norway, POB 6050 Langnes, N-9037 Tromso, Norway; [Corfu, Fernando] Univ Oslo, Dept Geosci, POB 1047 Blindern, N-0316 Oslo, Norway</t>
  </si>
  <si>
    <t>Norwegian Polar Institute; Geological Survey of Norway; UiT The Arctic University of Tromso; University of Oslo</t>
  </si>
  <si>
    <t>Elvevold, S (corresponding author), Norwegian Polar Res Inst, Fram Ctr, POB 6606, N-9296 Tromso, Norway.</t>
  </si>
  <si>
    <t>elvevold@npolar.no</t>
  </si>
  <si>
    <t>ELSEVIER</t>
  </si>
  <si>
    <t>AMSTERDAM</t>
  </si>
  <si>
    <t>RADARWEG 29, 1043 NX AMSTERDAM, NETHERLANDS</t>
  </si>
  <si>
    <t>0301-9268</t>
  </si>
  <si>
    <t>1872-7433</t>
  </si>
  <si>
    <t>PRECAMBRIAN RES</t>
  </si>
  <si>
    <t>Precambrian Res.</t>
  </si>
  <si>
    <t>10.1016/j.precamres.2020.105618</t>
  </si>
  <si>
    <t>KR8FS</t>
  </si>
  <si>
    <t>Green Accepted</t>
  </si>
  <si>
    <t>WOS:000517852000010</t>
  </si>
  <si>
    <t>Morrison, AK; Hogg, AM; England, MH; Spence, P</t>
  </si>
  <si>
    <t>Morrison, A. K.; Hogg, A. McC; England, M. H.; Spence, P.</t>
  </si>
  <si>
    <t>Warm Circumpolar Deep Water transport toward Antarctica driven by local dense water export in canyons</t>
  </si>
  <si>
    <t>SCIENCE ADVANCES</t>
  </si>
  <si>
    <t>CROSS-SHELF EXCHANGE; BOTTOM WATER; OCEAN; HEAT; EDDY; VARIABILITY; CIRCULATION; RESOLUTION; MESOSCALE</t>
  </si>
  <si>
    <t>Poleward transport of warm Circumpolar Deep Water (CDW) has been linked to melting of Antarctic ice shelves. However, even the steady-state spatial distribution and mechanisms of CDW transport remain poorly understood. Using a global, eddying ocean model, we explore the relationship between the cross-slope transports of CDW and descending Dense Shelf Water (DSW). We find large spatial variability in CDW heat and volume transport around Antarctica, with substantially enhanced flow where DSW descends in canyons. The CDW and DSW transports are highly spatially correlated within similar to 20 km and temporally correlated on subdaily time scales. Focusing on the Ross Sea, we show that the relationship is driven by pulses of overflowing DSW lowering sea surface height, leading to net onshore CDW transport. The majority of simulated onshore CDW transport is concentrated in cold-water regions, rather than warm-water regions, with potential implications for ice-ocean interactions and global sea level rise.</t>
  </si>
  <si>
    <t>[Morrison, A. K.; Hogg, A. McC] Australian Natl Univ, Res Sch Earth Sci, Canberra, ACT, Australia; [Morrison, A. K.; Hogg, A. McC] Australian Natl Univ, ARC Ctr Excellence Climate Extremes, Canberra, ACT, Australia; [England, M. H.; Spence, P.] Univ New South Wales, Climate Change Res Ctr, Sydney, NSW, Australia; [England, M. H.; Spence, P.] Univ New South Wales, ARC Ctr Excellence Climate Extremes, Sydney, NSW, Australia</t>
  </si>
  <si>
    <t>Australian National University; Australian National University; University of New South Wales Sydney; University of New South Wales Sydney</t>
  </si>
  <si>
    <t>Morrison, AK (corresponding author), Australian Natl Univ, Res Sch Earth Sci, Canberra, ACT, Australia.;Morrison, AK (corresponding author), Australian Natl Univ, ARC Ctr Excellence Climate Extremes, Canberra, ACT, Australia.</t>
  </si>
  <si>
    <t>adele.morrison@anu.edu.au</t>
  </si>
  <si>
    <t>Spence, Paul/IZE-7366-2023; England, Matthew/A-7539-2011; Hogg, Andy/AAZ-8733-2021; Hogg, Andy McC./A-7553-2011; Morrison, Adele/C-1774-2012</t>
  </si>
  <si>
    <t>Spence, Paul/0000-0001-5156-2204; England, Matthew/0000-0001-9696-2930; Hogg, Andy/0000-0001-5898-7635; Hogg, Andy McC./0000-0001-5898-7635; Morrison, Adele/0000-0002-9904-4980</t>
  </si>
  <si>
    <t>Australian Commonwealth Government; Australian Research Council (ARC) DECRA Fellowship [DE170100184]; ARC DECRA Fellowship [DE150100223]; ARC [DP190100494]</t>
  </si>
  <si>
    <t>Australian Commonwealth Government(Australian Government); Australian Research Council (ARC) DECRA Fellowship(Australian Research Council); ARC DECRA Fellowship(Australian Research Council); ARC(Australian Research Council)</t>
  </si>
  <si>
    <t>This research was undertaken on the National Computational Infrastructure (NCI) in Canberra, Australia, which is supported by the Australian Commonwealth Government. A.K.M. was supported by the Australian Research Council (ARC) DECRA Fellowship DE170100184. P.S. was supported by the ARC DECRA Fellowship DE150100223. All authors were supported by the ARC Discovery Project DP190100494.</t>
  </si>
  <si>
    <t>AMER ASSOC ADVANCEMENT SCIENCE</t>
  </si>
  <si>
    <t>1200 NEW YORK AVE, NW, WASHINGTON, DC 20005 USA</t>
  </si>
  <si>
    <t>2375-2548</t>
  </si>
  <si>
    <t>SCI ADV</t>
  </si>
  <si>
    <t>Sci. Adv.</t>
  </si>
  <si>
    <t>eaav2516</t>
  </si>
  <si>
    <t>10.1126/sciadv.aav2516</t>
  </si>
  <si>
    <t>Multidisciplinary Sciences</t>
  </si>
  <si>
    <t>Science &amp; Technology - Other Topics</t>
  </si>
  <si>
    <t>LK8DE</t>
  </si>
  <si>
    <t>WOS:000531089700001</t>
  </si>
  <si>
    <t>Piazza, P; Gattone, SA; Guzzi, A; Schiaparelli, S</t>
  </si>
  <si>
    <t>Piazza, Paola; Gattone, Stefano Antonio; Guzzi, Alice; Schiaparelli, Stefano</t>
  </si>
  <si>
    <t>Towards a robust baseline for long-term monitoring of Antarctic coastal benthos</t>
  </si>
  <si>
    <t>HYDROBIOLOGIA</t>
  </si>
  <si>
    <t>Photogrammetry; Sampling design; Simulation; Long-term monitoring; Benthos; Antarctica</t>
  </si>
  <si>
    <t>URCHIN STRONGYLOCENTROTUS-DROEBACHIENSIS; STAR ODONTASTER-VALIDUS; DIADEMA-ANTILLARUM; SAMPLING DESIGN; MASS MORTALITY; CLIMATE-CHANGE; SEA; ECHINODERMATA; ECHINOIDEA; ABUNDANCE</t>
  </si>
  <si>
    <t>The Southern Ocean represents one of the world regions most sensitive to warming and there is an urgent need for quantitative data to understand changes in coastal communities. This goal can be achieved through the establishment of permanent monitoring sites and robust sampling designs. In this study, we used an emerging, photogrammetry-based technique to simulate a pilot study and test the efficiency of different sampling schemes (Simple Random-SRS-, Systematic-SyS- and Strip-SS-) for estimating the abundances of megabenthic taxa. For taxa showing an aggregated distribution, we also applied an adaptive cluster sampling (ACS) design. In almost the totality of cases, the best accuracy of estimates was achieved with SyS combined with plots of 0.0625 m(2). ACS design gave better performances but required a calibration of both the initial sample size and the threshold value to increase efficiency. The 'one-size-fits-all' 1 m(2) plot size never emerged as the best in any sampling schemes, hence the previously published literature data can be biased. This study represents a fine-scale reference baseline for the study area and the simulations performed will be pivotal in establishing sound-monitoring programmes with sufficient statistical power to detect significative changes in the Antarctic benthos.</t>
  </si>
  <si>
    <t>[Piazza, Paola] Univ Siena, Dept Phys Sci Earth &amp; Environm DSFTA, POB 53100, Siena, Italy; [Gattone, Stefano Antonio] Univ G dAnnunzio, Dept Philosoph Pedag &amp; Econ Quantitat Sci Disfipe, Pescara, Italy; [Guzzi, Alice; Schiaparelli, Stefano] Univ Genoa, Dept Earth Environm &amp; Life Sci DISTAV, Genoa, Italy; [Guzzi, Alice; Schiaparelli, Stefano] Italian Natl Antarctic Museum MNA, Sect Genoa, Genoa, Italy</t>
  </si>
  <si>
    <t>University of Siena; G d'Annunzio University of Chieti-Pescara; University of Genoa</t>
  </si>
  <si>
    <t>Schiaparelli, S (corresponding author), Univ Genoa, Dept Earth Environm &amp; Life Sci DISTAV, Genoa, Italy.</t>
  </si>
  <si>
    <t>Stefano.Schiaparelli@unige.it</t>
  </si>
  <si>
    <t>Gattone, Stefano Antonio/AAL-8059-2021; Schiaparelli, Stefano/AAI-4024-2020; GATTONE, STEFANO ANTONIO/ABG-5452-2020</t>
  </si>
  <si>
    <t>Schiaparelli, Stefano/0000-0002-0137-3605; GATTONE, STEFANO ANTONIO/0000-0002-6143-9012; Guzzi, Alice/0000-0001-8066-9158</t>
  </si>
  <si>
    <t>0018-8158</t>
  </si>
  <si>
    <t>1573-5117</t>
  </si>
  <si>
    <t>Hydrobiologia</t>
  </si>
  <si>
    <t>SI</t>
  </si>
  <si>
    <t>10.1007/s10750-020-04177-2</t>
  </si>
  <si>
    <t>Marine &amp; Freshwater Biology</t>
  </si>
  <si>
    <t>KU8ZT</t>
  </si>
  <si>
    <t>WOS:000520009100013</t>
  </si>
  <si>
    <t>Li, F; Ma, C; Zhang, SK; Lei, JT; Hao, WF; Zhang, QC; Li, WH</t>
  </si>
  <si>
    <t>Li, Fei; Ma, Chao; Zhang, Shengkai; Lei, Jintao; Hao, Weifeng; Zhang, Qingchuan; Li, Wenhao</t>
  </si>
  <si>
    <t>Evaluation of the glacial isostatic adjustment (GIA) models for Antarctica based on GPS vertical velocities</t>
  </si>
  <si>
    <t>SCIENCE CHINA-EARTH SCIENCES</t>
  </si>
  <si>
    <t>Antarctica; GPS; Glacial isostatic adjustment; Vertical velocity; Uncertainty</t>
  </si>
  <si>
    <t>COORDINATE TIME-SERIES; SEA-LEVEL; MANTLE VISCOSITY; SPACE GEODESY; ICE-5G VM2; DEFORMATION; SURFACE; CONSTRAINTS; GRACE; EARTH</t>
  </si>
  <si>
    <t>Due to the scarcity of data, modeling the glacial isostatic adjustment (GIA) for Antarctica is more difficult than it is for the ancient ice sheet area in North America and Northern Europe. Large uncertainties are observed in existing GIA models for Antarctica. Modern space-based geodetic measurements provide checks and constraints for GIA models. The present-day uplift velocities of global positioning system (GPS) stations at 73 stations in Antarctica and adjacent regions from 1996 to 2014 have been estimated using GAMIT/GLOBK version 10.5 with a colored noise model. To easily analyze the effect of difference sources on the vertical velocities, and for easy comparison with both GIA model predictions and GPS results from Argus et al. (2014) and Thomas et al. (2011), seven sub-regions are divided. They are the northern Antarctic Peninsula, the Filchner-Ronne Ice Shelf, the Amundsen Sea coast, the Ross Ice Shelf, Mount Erebus, inland Southwest Antarctica and the East Antarctic coast, respectively. The results show that the fast uplift in the north Antarctic Peninsula and Pine Island Bay regions may be caused by the elastic response to snow and ice mass loss. The fast subsidence near Mount Erebus may be related to the activity of a magma body. The uplift or subsidence near the East Antarctic coast is very slow while the uplift for the rest regions is mainly caused by GIA. By analyzing the correlation and the associated weighted root mean square (WRMS) between the GIA predictions and the GPS velocities, we found that the ICE-6G_C (VM5a) model and the Geruo13 model show the most consistency with our GPS results, while the W12a and IJ05_R2 series models show poor consistency with our GPS results. Although improved greatly in recent years, the GIA modeling in Antarctica still lags behind the modeling of the North American. Some GPS stations, for example the Bennett Nunatak station (BENN), have observed large discrepancies between GIA predictions and GPS velocities. Because of the large uncertainties in calculating elastic responses due to the significant variations of ice and snow loads, the GPS velocities still cannot be used as a precise constraint on GIA models.</t>
  </si>
  <si>
    <t>[Li, Fei; Ma, Chao; Zhang, Shengkai; Lei, Jintao; Hao, Weifeng; Zhang, Qingchuan; Li, Wenhao] Wuhan Univ, Chinese Antarctic Ctr Surveying &amp; Mapping, Wuhan 430079, Peoples R China</t>
  </si>
  <si>
    <t>Wuhan University</t>
  </si>
  <si>
    <t>Zhang, SK (corresponding author), Wuhan Univ, Chinese Antarctic Ctr Surveying &amp; Mapping, Wuhan 430079, Peoples R China.</t>
  </si>
  <si>
    <t>zskai@whu.edu.cn</t>
  </si>
  <si>
    <t>LEI, Jintao/HHZ-6471-2022</t>
  </si>
  <si>
    <t>Lei, Jintao/0000-0002-4497-5868</t>
  </si>
  <si>
    <t>SCIENCE PRESS</t>
  </si>
  <si>
    <t>BEIJING</t>
  </si>
  <si>
    <t>16 DONGHUANGCHENGGEN NORTH ST, BEIJING 100717, PEOPLES R CHINA</t>
  </si>
  <si>
    <t>1674-7313</t>
  </si>
  <si>
    <t>1869-1897</t>
  </si>
  <si>
    <t>SCI CHINA EARTH SCI</t>
  </si>
  <si>
    <t>Sci. China-Earth Sci.</t>
  </si>
  <si>
    <t>10.1007/s11430-018-9532-5</t>
  </si>
  <si>
    <t>KU7MK</t>
  </si>
  <si>
    <t>WOS:000519897000008</t>
  </si>
  <si>
    <t>Marynets, K</t>
  </si>
  <si>
    <t>Marynets, Kateryna</t>
  </si>
  <si>
    <t>Stuart-type vortices modeling the Antarctic Circumpolar Current</t>
  </si>
  <si>
    <t>MONATSHEFTE FUR MATHEMATIK</t>
  </si>
  <si>
    <t>Nonlinear elliptic problem; Maximum principles; Ocean currents</t>
  </si>
  <si>
    <t>PURELY AZIMUTHAL FLOW; EQUATION; STEADY; WAVES</t>
  </si>
  <si>
    <t>Using the method of sub- and supersolutions for semilinear elliptic equations, in combination with the stereographic projection, we show that Stuart-type vortices can model the steady flow of the Antarctic Circumpolar Current.</t>
  </si>
  <si>
    <t>[Marynets, Kateryna] Univ Vienna, Fac Math, Oskar Morgenstern Pl 1, A-1090 Vienna, Austria</t>
  </si>
  <si>
    <t>University of Vienna</t>
  </si>
  <si>
    <t>Marynets, K (corresponding author), Univ Vienna, Fac Math, Oskar Morgenstern Pl 1, A-1090 Vienna, Austria.</t>
  </si>
  <si>
    <t>kateryna.marynets@univie.ac.at</t>
  </si>
  <si>
    <t>Marynets, Kateryna/0000-0002-0043-6336</t>
  </si>
  <si>
    <t>SPRINGER WIEN</t>
  </si>
  <si>
    <t>WIEN</t>
  </si>
  <si>
    <t>SACHSENPLATZ 4-6, PO BOX 89, A-1201 WIEN, AUSTRIA</t>
  </si>
  <si>
    <t>0026-9255</t>
  </si>
  <si>
    <t>1436-5081</t>
  </si>
  <si>
    <t>MONATSH MATH</t>
  </si>
  <si>
    <t>Mon.heft. Math.</t>
  </si>
  <si>
    <t>10.1007/s00605-019-01319-0</t>
  </si>
  <si>
    <t>Mathematics</t>
  </si>
  <si>
    <t>KT6YC</t>
  </si>
  <si>
    <t>WOS:000519160000006</t>
  </si>
  <si>
    <t>Briard, J; Pucéat, E; Vennin, E; Daëron, M; Chavagnac, V; Jaillet, R; Merle, D; de Rafélis, M</t>
  </si>
  <si>
    <t>Briard, J.; Puceat, E.; Vennin, E.; Daeron, M.; Chavagnac, V.; Jaillet, R.; Merle, D.; de Rafelis, M.</t>
  </si>
  <si>
    <t>Seawater paleotemperature and paleosalinity evolution in neritic environments of the Mediterranean margin: Insights from isotope analysis of bivalve shells</t>
  </si>
  <si>
    <t>PALAEOGEOGRAPHY PALAEOCLIMATOLOGY PALAEOECOLOGY</t>
  </si>
  <si>
    <t>Paleoclimate; Middle Miocene Climatic Optimum; Clumped isotopes; Hydrological cycle; Coastal environment</t>
  </si>
  <si>
    <t>FOSSIL OYSTER SHELLS; ANTARCTIC ICE-SHEET; MIDDLE MIOCENE; CRASSOSTREA-GIGAS; HIGH-RESOLUTION; CARBON-CYCLE; TEMPERATURE PATTERNS; WATER CARBONATES; OXYGEN ISOTOPES; MOLLUSK SHELLS</t>
  </si>
  <si>
    <t>The first step of ice-sheet build-up on Antarctica at the Eocene-Oligocene boundary was followed by a phase of climate instability culminating during the Miocene with a warming event called the Middle Miocene Climate Optimum (MMCO), that ended with a marked cooling phase identified as the Middle Miocene Climate Transition (MMCT). While numerous benthic foraminifera delta O-18 and Mg/Ca data have been used to capture the global climate evolution during this interval of climate and ice-sheet instability, geochemical records from shallow-water carbonates still remain scarce. Yet such records are crucial to capture the diversity of regional environmental responses to global climate changes, and thus to better understand the behavior of our climate system during this critical interval. In this work, we test the potential of a multi-proxy approach (delta O-18, clumped isotope (Delta(47)), strontium isotopes (Sr-87/Sr-86)) applied to bivalves recovered from the Liguro-Provencal Basin and Rhodano-Provencal basin (Northwestern of the Mediterranean Sea) to reconstruct the evolution of shallow seawater temperature and salinity in this region over the latest Oligocene to Middle Miocene interval (similar to 10 Myrs). Our results highlight a local cooling in the northwestern Mediterranean Sea during the MMCO that contrasts with the warming observed in other regions, with seawater temperatures inferred from Delta(17) analyses in the 13-18 degrees C range. These cool seawater temperatures recorded in the studied region during the MMCO are much cooler than those recorded in the open oceans, but are in agreement with the proliferation of bryozoan observed in the Castillon-Du-Gard area during this interval. Low bivalve delta O-18 values (-3.24 parts per thousand in average) are recorded during this episode are interpreted to reflect enhanced freshwater inputs, lowering local salinity and seawater delta O-18. Such enhanced freshwater inputs point to a phase of enhanced hydrological cycle in the studied region, possibly linked to the global mid-Miocene warming event. Bivalve Sr-87/ Sr-86 data mostly fall within the global seawater Sr isotope reference curve, but remain compatible with enhanced freshwater inputs during the Aquitanian and during the Langhian, as these inputs were probably not important enough to induce a large departure from the seawater curve at a regional scale.</t>
  </si>
  <si>
    <t>[Briard, J.; Chavagnac, V.; de Rafelis, M.] Univ Paul Sabatier Toulouse 3, CNRS, UMR 5563, IRD,GET, 14 Ave Edouard Belin, F-31400 Toulouse, France; [Briard, J.; Puceat, E.; Vennin, E.; Jaillet, R.] UBFC, CNRS, UMR 6282, Biogeosci, 6 Blvd Gabriel, F-21000 Dijon, France; [Daeron, M.] Univ Paris Saclay, UVSQ, CNRS, CEA,LSCE,IPSL, F-91191 Gif Sur Yvette, France; [Merle, D.] Sorbonne Univ, UPMC Paris 6, MNHN, CNRS,UMR 7207,CRNS,CR2P, 8 Rue Buffon, F-75005 Paris, France</t>
  </si>
  <si>
    <t>Centre National de la Recherche Scientifique (CNRS); CNRS - National Institute for Earth Sciences &amp; Astronomy (INSU); Universite de Toulouse; Universite Toulouse III - Paul Sabatier; Institut de Recherche pour le Developpement (IRD); Universite de Bourgogne; Centre National de la Recherche Scientifique (CNRS); Universite Paris Saclay; Universite Paris Cite; CEA; Centre National de la Recherche Scientifique (CNRS); Museum National d'Histoire Naturelle (MNHN); Centre National de la Recherche Scientifique (CNRS); CNRS - Institute of Ecology &amp; Environment (INEE); Sorbonne Universite</t>
  </si>
  <si>
    <t>Briard, J (corresponding author), Univ Paul Sabatier Toulouse 3, CNRS, UMR 5563, IRD,GET, 14 Ave Edouard Belin, F-31400 Toulouse, France.</t>
  </si>
  <si>
    <t>justine.briard@get.omp.eu</t>
  </si>
  <si>
    <t>Daeron, Mathieu/0000-0003-1210-9786</t>
  </si>
  <si>
    <t>ANR, France; AMOR project [16-CE31-0020]</t>
  </si>
  <si>
    <t>ANR, France; AMOR project(Agence Nationale de la Recherche (ANR))</t>
  </si>
  <si>
    <t>We wish to thank T. COCQUEREZ (Biogeosciences Laboratory, University of Burgundy) and S. MOUNIC (Geosciences Environnement Toulouse Laboratory, University of Toulouse 3 Paul Sabatier) for the isotopic analyses. We wish also to thank F. MONNA and R. LAFFONT (Biogeosciences Laboratory, University of Burgundy) for help with statistical treatment of our data. This study was financed by ANR, France; AMOR project (16-CE31-0020) coordinated by Y. DONNADIEU.</t>
  </si>
  <si>
    <t>0031-0182</t>
  </si>
  <si>
    <t>1872-616X</t>
  </si>
  <si>
    <t>PALAEOGEOGR PALAEOCL</t>
  </si>
  <si>
    <t>Paleogeogr. Paleoclimatol. Paleoecol.</t>
  </si>
  <si>
    <t>10.1016/j.palaeo.2019.109582</t>
  </si>
  <si>
    <t>Geography, Physical; Geosciences, Multidisciplinary; Paleontology</t>
  </si>
  <si>
    <t>Physical Geography; Geology; Paleontology</t>
  </si>
  <si>
    <t>KT0NP</t>
  </si>
  <si>
    <t>Green Submitted, hybrid</t>
  </si>
  <si>
    <t>WOS:000518707600001</t>
  </si>
  <si>
    <t>McIntosh, EC; Day, JMD; Liu, Y; Jiskoot, C</t>
  </si>
  <si>
    <t>McIntosh, Eleanor C.; Day, James M. D.; Liu, Yang; Jiskoot, Courtney</t>
  </si>
  <si>
    <t>Examining the compositions of impactors striking the Moon using Apollo impact melt coats and anorthositic regolith breccia meteorites</t>
  </si>
  <si>
    <t>GEOCHIMICA ET COSMOCHIMICA ACTA</t>
  </si>
  <si>
    <t>Moon; Impact melt coats; Anorthositic regolith breccias; Highly siderophile elements; Os isotopes; Impactors</t>
  </si>
  <si>
    <t>SIDEROPHILE ELEMENT SYSTEMATICS; LUNAR METEORITES; OSMIUM ISOTOPE; ACCRETION HISTORY; SILICATE MELTS; GEOCHEMISTRY; CONSTRAINTS; ORIGIN; MANTLE; EARTH</t>
  </si>
  <si>
    <t>Impactors striking the Moon since the formation of its crust have left an indelible imprint on the lunar surface, in the guise of craters and associated impact rocks. The lunar crust has low intrinsic abundances of the highly siderophile elements (HSE: Re, Os, Ir, Ru, Pt, Rh, Pd, Au), at greater than 3000 times lower than in chondrite meteorites. Consequently, during impact, bolides with chondritic or differentiated iron-rich compositions should impart elevated HSE signatures to the lunar crust. Here we examine glassy lunar impact melt coats (IMC) from the outside rims of Apollo 16 cataclastic anorthosites (60015, 65325) and breccias (65035), as well as both fragments and powders of Antarctic anorthositic regolith breccia (ARB) meteorites (Miller Range 090034/36/70/75 and MacAlpine Hills 88105) for their petrography, mineral chemistry and bulk-rock compositions. The HSE concentrations for IMC range from similar to 0.001 to 0.1 x CI chondrite, with measured Os-187/Os-188 between 0.1189 and 0.1366. Anorthositic regolith breccia meteorites, which have components with 2.6-4.1 Ga ages, have similar HSE concentrations to IMC, but typically have lower Os-187/Os-188 (0.1164-0.1284). These latter Os ratios are generally less radiogenic than those measured in similar to 3.8-3.9 Ga Apollo impact melt breccias. The Apollo 16 IMC are not well-dated, but their KREEPy trace-element signatures and associated ages of 3.7 to 3.8 Ga for Apollo 16 glasses might imply, at least in part, an origin from the Imbrium or Serenitatis basin-forming impacts. Within the IMC, metal-schreibersite-troilite assemblages record significant inter-element HSE fractionation which is also reflected in bulk HSE patterns for both IMC and ARB meteorites. Variations in relative and absolute HSE compositions directly reflect the control of metal and sulfide segregation within and between impact melt and breccia lithologies. Collectively, IMC and ARB meteorites exhibit approximately 50% of the variation in Ru/Ir and Os-187/Os-188 observed in lunar impact melt breccias. These results imply that significant variations in inter-element compositions can occur during impact brecciation and melting and so some impact melt rock HSE compositions may not record the compositions of impactors that struck the Moon with fidelity. Nonetheless, the generally low Re-1(87)/Os-1(88) of lunar impact melt rocks means that osmium isotope ratios provide evidence for impact composition, and a change from ordinary to carbonaceous-like impactors either with time - or location - striking the Moon. (C) 2020 Elsevier Ltd. All rights reserved.</t>
  </si>
  <si>
    <t>[McIntosh, Eleanor C.; Day, James M. D.; Jiskoot, Courtney] Univ Calif San Diego, Scripps Inst Oceanog, La Jolla, CA 92093 USA; [Liu, Yang] CALTECH, Jet Prop Lab, Pasadena, CA 91109 USA</t>
  </si>
  <si>
    <t>University of California System; University of California San Diego; Scripps Institution of Oceanography; National Aeronautics &amp; Space Administration (NASA); NASA Jet Propulsion Laboratory (JPL); California Institute of Technology</t>
  </si>
  <si>
    <t>McIntosh, EC (corresponding author), Univ Calif San Diego, Scripps Inst Oceanog, La Jolla, CA 92093 USA.</t>
  </si>
  <si>
    <t>ecmcinto@ucsd.edu</t>
  </si>
  <si>
    <t>Liu, Yang/F-3775-2017; Day, James/A-5099-2010</t>
  </si>
  <si>
    <t>Liu, Yang/0000-0003-0308-0942; Day, James/0000-0001-9520-3465</t>
  </si>
  <si>
    <t>NSF; NASA; NASA Emerging Worlds program [NNX15AL74G]; NASA Solar System Workings program [NNX16AR95G]</t>
  </si>
  <si>
    <t>NSF(National Science Foundation (NSF)); NASA(National Aeronautics &amp; Space Administration (NASA)); NASA Emerging Worlds program; NASA Solar System Workings program</t>
  </si>
  <si>
    <t>Completion of this manuscript is dedicated to our colleague, Lawrence A. Taylor. Constructive and helpful reviews from David van Acken and Phillip Gleissner are gratefully acknowledged, along with editorial handling by Christian Koeberl. We thank the Meteorite Working Group and NASA CAPTEM for provision of samples.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Support for this work came from the NASA Emerging Worlds (NNX15AL74G) and Solar System Workings programs (NNX16AR95G).</t>
  </si>
  <si>
    <t>PERGAMON-ELSEVIER SCIENCE LTD</t>
  </si>
  <si>
    <t>OXFORD</t>
  </si>
  <si>
    <t>THE BOULEVARD, LANGFORD LANE, KIDLINGTON, OXFORD OX5 1GB, ENGLAND</t>
  </si>
  <si>
    <t>0016-7037</t>
  </si>
  <si>
    <t>1872-9533</t>
  </si>
  <si>
    <t>GEOCHIM COSMOCHIM AC</t>
  </si>
  <si>
    <t>Geochim. Cosmochim. Acta</t>
  </si>
  <si>
    <t>10.1016/j.gca.2020.01.051</t>
  </si>
  <si>
    <t>Geochemistry &amp; Geophysics</t>
  </si>
  <si>
    <t>KS5XV</t>
  </si>
  <si>
    <t>WOS:000518382500011</t>
  </si>
  <si>
    <t>Toth, ER; Fehr, MA; Friebel, M; Schönbächler, M</t>
  </si>
  <si>
    <t>Toth, Eniko R.; Fehr, Manuela A.; Friebel, Matthias; Schoenbaechler, Maria</t>
  </si>
  <si>
    <t>Cadmium isotopes in chondrites and acid leachates: Nucleosynthetic homogeneity and a monitor for thermal neutron capture effects</t>
  </si>
  <si>
    <t>Cd isotopes; Bulk chondrites; Sequential acid leachates; Nucleosynthesis; Thermal neutron-capture</t>
  </si>
  <si>
    <t>EARLY SOLAR-SYSTEM; IRON-METEORITES; S-PROCESS; CONDENSATION TEMPERATURES; CARBONACEOUS CHONDRITES; ELEMENT ABUNDANCES; HETEROGENEITY; ANOMALIES; TELLURIUM; HISTORY</t>
  </si>
  <si>
    <t>Nucleosynthetic isotope variations are well documented for refractory elements in meteorites and the Earth, while moderately volatile elements generally display homogeneous compositions. Cadmium is a moderately volatile element with eight stable isotopes generated by a variety of nucleosynthetic processes. To address the extent of the nucleosynthetic variability in moderately volatile elements, new high precision Cd isotope data are presented for bulk samples of six carbonaceous and one enstatite chondrite. In addition, we report the first Cd isotope results of sequential acid leachates for the CM2 chondrite Jbilet Winselwan. Our new Cd data displays nucleosynthetic homogeneity for bulk chondrites and acid leachates within analytical uncertainties, in agreement with results for other moderately volatile elements. This implies that Cd isotopes were efficiently homogenised prior to incorporation into planetary bodies. We propose that Cd never significantly condensed into dust in stellar environments, or alternatively that such Cd-bearing dust was efficiently destroyed and recycled in the interstellar medium. Our leachate data provides evidence for further homogenisation during thermal processing in the protoplanetary disk including parent body processing. The data shows that Cd in carbonaceous chondrites mainly resides in the more easily dissolved phases, most likely sulphides that were affected by aqueous alteration. Less than 1% of the total Cd was recovered in the final leach fractions that employed HF and mainly dissolve silicates and refractory oxides. Cadmium is susceptible to thermal neutron-capture effects due to the large neutron capture cross-section of Cd-113 (similar to 20,000 barns). We report variations of up to -0.6 +/- 0.3 for epsilon Cd-113 (internally normalised to Cd-116/Cd-111) in bulk chondrites, which renders Cd a potential thermal neutron-capture monitor. Most neutron dosimeters, such as Pt, Os and Hf, are sensitive to neutron capture in the epithermal energy range and have applications mainly limited to lunar samples or iron and stony-iron meteorites. The additional use of Cd, susceptible to neutron capture in the thermal energy range, therefore provides a new tool to determine the exposure histories of stony meteorites in more detail. Our study demonstrates that thermal neutron-capture effects in carbonaceous and enstatite chondrites can produce resolvable effects and require attention when assessing nucleosynthetic isotope variations. (C) 2020 The Authors. Published by Elsevier Ltd.</t>
  </si>
  <si>
    <t>[Toth, Eniko R.; Fehr, Manuela A.; Friebel, Matthias; Schoenbaechler, Maria] Swiss Fed Inst Technol, Inst Geochem &amp; Petrol, Clausiusstr 25, CH-8092 Zurich, Switzerland</t>
  </si>
  <si>
    <t>Swiss Federal Institutes of Technology Domain; ETH Zurich</t>
  </si>
  <si>
    <t>Toth, ER (corresponding author), Swiss Fed Inst Technol, Inst Geochem &amp; Petrol, Clausiusstr 25, CH-8092 Zurich, Switzerland.</t>
  </si>
  <si>
    <t>eniko.toth@erdw.ethz.ch</t>
  </si>
  <si>
    <t>Schönbächler, Maria/AAL-3318-2020</t>
  </si>
  <si>
    <t>Schönbächler, Maria/0000-0003-4304-214X</t>
  </si>
  <si>
    <t>NSF; NASA; ETH Zurich; Swiss National Science Foundation [200021_149282]; Swiss National Science Foundation (SNF) [200021_149282] Funding Source: Swiss National Science Foundation (SNF)</t>
  </si>
  <si>
    <t>NSF(National Science Foundation (NSF)); NASA(National Aeronautics &amp; Space Administration (NASA)); ETH Zurich(ETH Zurich); Swiss National Science Foundation(Swiss National Science Foundation (SNSF)); Swiss National Science Foundation (SNF)(Swiss National Science Foundation (SNSF))</t>
  </si>
  <si>
    <t>We thank the ANSMET program for the provision of the analysed CR chondrites (MIL 090001, EET 92048 and GRA 06100).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We also wish to thank Philipp Heck from the Field Museum of Natural History in Chicago for providing us with samples of Indarch (ME 1403) and Murchison (ME 2752). Adrian Gilli is thanked for providing the sediment sample of Lake Zurich. Martin Schiller, Andrew M. Davis and an anonymous reviewer are thanked for their constructive reviews. This work has been financially supported by ETH Zurich. It has been partially carried out within the framework of the National Centre for Competence in Research PlanetS supported by the Swiss National Science Foundation. Matthias Friebel was supported by the Swiss National Science Foundation (Project 200021_149282).</t>
  </si>
  <si>
    <t>10.1016/j.gca.2020.01.059</t>
  </si>
  <si>
    <t>hybrid, Green Published</t>
  </si>
  <si>
    <t>WOS:000518382500016</t>
  </si>
  <si>
    <t>Gore, DB; Gibson, JAE; Leishman, MR</t>
  </si>
  <si>
    <t>Gore, Damian B.; Gibson, John A. E.; Leishman, Michelle R.</t>
  </si>
  <si>
    <t>Human occupation, impacts and environmental management of Bunger Hills</t>
  </si>
  <si>
    <t>ANTARCTIC SCIENCE</t>
  </si>
  <si>
    <t>anthropogenic impacts; litter; rubbish; wind dispersal</t>
  </si>
  <si>
    <t>ANTARCTICA; STATION; BASES</t>
  </si>
  <si>
    <t>The types and distributions of anthropogenic rubbish have been documented at Bunger Hills, East Antarctica. The area has been the site of scientific research stations from 1958 to the present. Rubbish types include deliberately or negligently discarded items (gas cylinders, broken glass), abandoned unserviceable equipment (boats, vehicles, scientific equipment), spills (chemicals, fuel, oil) and the slow collapse of old buildings. Some rubbish remained where it was left, while other material was redistributed by strong winds. Modern expeditioner training should limit the production of new rubbish, while inadvertent wind dispersal of rubbish from old station buildings could be minimized by better management of these structures and their surrounds. Buildings and other constructed items need ongoing maintenance if they are not to break down and be distributed by wind, or they should be removed within a reasonable period.</t>
  </si>
  <si>
    <t>[Gore, Damian B.] Macquarie Univ, Dept Earth &amp; Environm Sci, N Ryde, NSW 2109, Australia; [Gibson, John A. E.] 27A Rialannah Rd, Mt Nelson, Tas 7007, Australia; [Leishman, Michelle R.] Macquarie Univ, Dept Biol Sci, N Ryde, NSW 2109, Australia</t>
  </si>
  <si>
    <t>Macquarie University; Macquarie University</t>
  </si>
  <si>
    <t>Gore, DB (corresponding author), Macquarie Univ, Dept Earth &amp; Environm Sci, N Ryde, NSW 2109, Australia.</t>
  </si>
  <si>
    <t>damian.gore@mq.edu.au</t>
  </si>
  <si>
    <t>Leishman, Michelle/AAU-4102-2020</t>
  </si>
  <si>
    <t>Leishman, Michelle/0000-0003-4830-5797</t>
  </si>
  <si>
    <t>[AAP 926]</t>
  </si>
  <si>
    <t>We thank the Australian Antarctic Division for logistical and financial support under AAP 926, Damian Flynn, Belinda Harding, Don Hudspeth and Garry Kuehn for help in the field, Mike Ashelford for helping to draft the figures and Danielle Toase and Kevin Hughes for reviews of the manuscript.</t>
  </si>
  <si>
    <t>0954-1020</t>
  </si>
  <si>
    <t>1365-2079</t>
  </si>
  <si>
    <t>ANTARCT SCI</t>
  </si>
  <si>
    <t>Antarct. Sci.</t>
  </si>
  <si>
    <t>PII S0954102019000348</t>
  </si>
  <si>
    <t>10.1017/S0954102019000348</t>
  </si>
  <si>
    <t>Environmental Sciences; Geography, Physical; Geosciences, Multidisciplinary</t>
  </si>
  <si>
    <t>Environmental Sciences &amp; Ecology; Physical Geography; Geology</t>
  </si>
  <si>
    <t>KQ0TE</t>
  </si>
  <si>
    <t>WOS:000516643200002</t>
  </si>
  <si>
    <t>Berg, S; Melles, M; Gore, DB; Verkulich, S; Pushina, ZV</t>
  </si>
  <si>
    <t>Berg, Sonja; Melles, Martin; Gore, Damian B.; Verkulich, Sergei; Pushina, Zina V.</t>
  </si>
  <si>
    <t>Postglacial evolution of marine and lacustrine water bodies in Bunger Hills</t>
  </si>
  <si>
    <t>East Antarctica; epishelf lakes; glacier fluctuations; lakes; relative sea level; sediments</t>
  </si>
  <si>
    <t>SOUTHERN WINDMILL ISLANDS; ANTARCTIC ICE-SHEET; VESTFOLD HILLS; DIATOM ASSEMBLAGES; EAST ANTARCTICA; SALINE LAKES; SEDIMENTS; RADIOCARBON; CALIBRATION; DEGLACIATION</t>
  </si>
  <si>
    <t>Unglaciated coastal areas in East Antarctica provide records of past ice sheet and glacier fluctuations and subsequent environmental conditions. In this paper we review lithological, geochemical, diatom and radiocarbon data from sediment records from inland and epishelf lakes in Bunger Hills, East Antarctica. While some hilltops were unglaciated during the Last Glacial Maximum, till deposits in lake basins indicate infilling by glacier ice prior to the Holocene. Proglacial sedimentation occurred in lakes during the early Holocene. Around 9.6 ka bp, deposition of marine sapropel started under relatively warm climate conditions. Inland lakes were affected by high clastic input from meltwater runoff until c. 7.9 ka bp, when deposition became highly organic and biogenic proxies indicate a period of cooler conditions. Epishelf lakes experienced a decrease in water exchange with the ocean and increased freshwater input around 7.7 +/- 0.2 ka bp and after 2.2 ka bp. This probably resulted from grounding line advances of the bounding glaciers, which could be either controlled by relative sea level (RSL) lowering and/or climate-driven glacier dynamics. The absence of marine sediments in the postglacial record of Algae Lake indicates that Holocene RSL probably reached a maximum at or below 10 m above present sea level.</t>
  </si>
  <si>
    <t>[Berg, Sonja; Melles, Martin] Univ Cologne, Inst Geol &amp; Mineral, Cologne, Germany; [Gore, Damian B.] Macquarie Univ, Dept Earth &amp; Environm Sci, N Ryde, NSW 2109, Australia; [Verkulich, Sergei; Pushina, Zina V.] Arctic &amp; Antarctic Res Inst, St Petersburg, Russia</t>
  </si>
  <si>
    <t>University of Cologne; Macquarie University; Arctic &amp; Antarctic Research Institute</t>
  </si>
  <si>
    <t>Berg, S (corresponding author), Univ Cologne, Inst Geol &amp; Mineral, Cologne, Germany.</t>
  </si>
  <si>
    <t>sberg0@uni-koeln.de</t>
  </si>
  <si>
    <t>Berg, Sonja/AAW-3817-2021; Melles, Martin/J-4070-2012; Verkulich, Sergei/ABH-4396-2020</t>
  </si>
  <si>
    <t>Melles, Martin/0000-0003-0977-9463;</t>
  </si>
  <si>
    <t>DFG, Deutsche Forschungsgemeinschaft [ME 1169/1]</t>
  </si>
  <si>
    <t>DFG, Deutsche Forschungsgemeinschaft(German Research Foundation (DFG))</t>
  </si>
  <si>
    <t>M. Melles received funding by the DFG, Deutsche Forschungsgemeinschaft (Grant no. ME 1169/1). Data published in Kulbe (1997) is freely accessible at www.pangaea.de.We thank two anonymous reviewers and Prof. Mike Bentley for constructive comments on a previous version of the manuscript.</t>
  </si>
  <si>
    <t>PII S0954102019000476</t>
  </si>
  <si>
    <t>10.1017/S0954102019000476</t>
  </si>
  <si>
    <t>WOS:000516643200004</t>
  </si>
  <si>
    <t>Gore, DB; Leishman, MR</t>
  </si>
  <si>
    <t>Gore, Damian B.; Leishman, Michelle R.</t>
  </si>
  <si>
    <t>Salt, sediments and weathering environments in Bunger Hills</t>
  </si>
  <si>
    <t>biogeography; geochemistry; Holocene; landscape evolution; mineralogy</t>
  </si>
  <si>
    <t>VESTFOLD-HILLS; EAST ANTARCTICA; LABORATORY SIMULATION; LARSEMANN HILLS; RECONSTRUCTION; DEGLACIATION</t>
  </si>
  <si>
    <t>Terrestrial environments at Bunger Hills, East Antarctica, vary from vegetation-rich, little-weathered rock surfaces retaining glacial polish and striations near the glacier and ice-sheet margins to salty, vegetation-poor, extensively weathered regions near to and downwind of marine bays and inlets. Weathering forms include tafoni and orientated pits, which record former wind directions. Although salts are found all over Bunger Hills, the strongly weathered area is coincident with the distribution of halite (NaCl) and thenardite (Na2SO4), both of which are derived from seawater and marine salt spray. Salts elsewhere in Bunger Hills are either subglacial calcium carbonates or rock weathering products including gypsum (CaSO4.2H(2)O) and a range of rarer minerals. These other salt minerals do not weather rocks and sediment. The distribution of halite and thenardite acts as a major control on the geomorphology, sediment geochemistry and biogeography of Bunger Hills.</t>
  </si>
  <si>
    <t>[Gore, Damian B.] Macquarie Univ, Dept Earth &amp; Environm Sci, N Ryde, NSW 2109, Australia; [Leishman, Michelle R.] Macquarie Univ, Dept Biol Sci, N Ryde, NSW 2109, Australia</t>
  </si>
  <si>
    <t>[AAS 926]</t>
  </si>
  <si>
    <t>We thank the Australian Antarctic Division for logistical and financial support under AAS 926.</t>
  </si>
  <si>
    <t>PII S0954102020000073</t>
  </si>
  <si>
    <t>10.1017/S0954102020000073</t>
  </si>
  <si>
    <t>Bronze</t>
  </si>
  <si>
    <t>WOS:000516643200006</t>
  </si>
  <si>
    <t>Leishman, MR; Gibson, JAE; Gore, DB</t>
  </si>
  <si>
    <t>Leishman, Michelle R.; Gibson, John A. E.; Gore, Damian B.</t>
  </si>
  <si>
    <t>Spatial distribution of birds and terrestrial plants in Bunger Hills</t>
  </si>
  <si>
    <t>biogeography; bryophyte; lichen; salinity; snow petrels; south polar skua</t>
  </si>
  <si>
    <t>VESTFOLD-HILLS; DEGLACIATION; VEGETATION</t>
  </si>
  <si>
    <t>In this paper, we synthesize recorded observations of moss, lichen and bird species in Bunger Hills, East Antarctica, and assess the role of environmental controls, including sediment, salinity, moisture and geology, on species' distributions. The distribution of snow petrels (Pagodroma nivea) appears to be associated with geology; they nest by preference in crevices in bedrock outcrops around the margins of the hills or wherever jointed cliffs are found. South polar skuas (Catharacta maccormicki) are seen throughout Bunger Hills, where they nest and prey on snow petrels. Mosses and lichens were most abundant around the ice margins where fresh snow and ice meltwater are abundant. In the central area of Bunger Hills, where the highest salt concentration in sediments is found and exposure to abrasion by wind-driven mineral sand grains and ice particles is greatest, mosses and lichens are reduced in abundance and diversity. Exposure of parts of Bunger Hills from the ice sheet throughout the Last Glacial Maximum, c. 20 ka bp, means that some land and lakes could have acted as regional refugia and as a locus of recolonization of other ice-free areas.</t>
  </si>
  <si>
    <t>[Leishman, Michelle R.] Macquarie Univ, Dept Biol Sci, N Ryde, NSW 2109, Australia; [Gibson, John A. E.] 27A Rialannah Rd, Mt Nelson, Tas 7007, Australia; [Gore, Damian B.] Macquarie Univ, Dept Earth &amp; Environm Sci, N Ryde, NSW 2109, Australia</t>
  </si>
  <si>
    <t>10.1017/S0954102020000012</t>
  </si>
  <si>
    <t>WOS:000516643200007</t>
  </si>
  <si>
    <t>Cordes-Person, A; Hospitaleche, CA; Case, J; Martin, J</t>
  </si>
  <si>
    <t>Cordes-Person, Amanda; Hospitaleche, Carolina Acosta; Case, Judd; Martin, James</t>
  </si>
  <si>
    <t>An enigmatic bird from the lower Maastrichtian of Vega Island, Antarctica</t>
  </si>
  <si>
    <t>CRETACEOUS RESEARCH</t>
  </si>
  <si>
    <t>Ornithuromorph; Ornithurae; Cretaceous; Seymour Island; Antarcticavis capelambensis</t>
  </si>
  <si>
    <t>FOSSIL EVIDENCE; STRATIGRAPHY; STAGE</t>
  </si>
  <si>
    <t>We describe a partial skeleton from the lowest Maastrichtian levels of the Snow Hill Island Formation (Vega Island, West Antarctica). Because of the anatomical differences with the Antarctic Vegavis iaai and Polarornis gregorii, this fossil is recognized here as a new genus and species. The results of our phylogenetic analysis suggest that A. capelambensis would be placed inside the Ornithuromorpha, and probably nested within the Ornithurae. This provisional assignment could only be confirmed through the finding of most complete and better preserved specimens. Antarcticavis capelambensis is the geologically oldest bird described from Antarctica. (C) 2019 Elsevier Ltd. All rights reserved.</t>
  </si>
  <si>
    <t>[Cordes-Person, Amanda] North Dakota State Lib, Bismarck, ND 58505 USA; [Hospitaleche, Carolina Acosta] Museo La Plata, Div Paleontol Vertebrados, B1900WA, La Plata, Argentina; [Case, Judd] Eastern Washington Univ, Dept Biol, Cheney, WA 99224 USA; [Martin, James] Univ Louisiana Lafayette, Sch Geol Sci, Lafayette, LA 70504 USA</t>
  </si>
  <si>
    <t>National University of La Plata; Museo La Plata; Eastern Washington University; University of Louisiana Lafayette</t>
  </si>
  <si>
    <t>Hospitaleche, CA (corresponding author), Museo La Plata, Div Paleontol Vertebrados, B1900WA, La Plata, Argentina.</t>
  </si>
  <si>
    <t>ahcperson@gmail.com; acostacaro@fcnym.unlp.edu.ar; jcase@mail.ewu.edu; jim.martin929@gmail.com</t>
  </si>
  <si>
    <t>Acosta Hospitaleche, Carolina/E-5740-2017</t>
  </si>
  <si>
    <t>Acosta Hospitaleche, Carolina/0000-0002-2614-1448</t>
  </si>
  <si>
    <t>U.S. National Science Foundation (Office of Polar Programs, United States) [9615933, 0003844, 9815231, 0087972, 9615236]; Oceanwide Expeditions, Vlissingen (NL); Directorate For Geosciences [9615236] Funding Source: National Science Foundation; Directorate For Geosciences; Office of Polar Programs (OPP) [0087972] Funding Source: National Science Foundation; Office of Polar Programs (OPP) [9615236] Funding Source: National Science Foundation; Office of Polar Programs (OPP); Directorate For Geosciences [0003844, 9815231, 9615933] Funding Source: National Science Foundation</t>
  </si>
  <si>
    <t>U.S. National Science Foundation (Office of Polar Programs, United States)(National Science Foundation (NSF)); Oceanwide Expeditions, Vlissingen (NL);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</si>
  <si>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The expeditions were a collaborative project between the Instituto Antartico Argentino (Argentina) who provided the logistic support in field together with the Fuerza Aerea Argentina, and the U.S. National Science Foundation (Office of Polar Programs, United States), who provided funds, equipment, and support for personnel for the Antarctic expeditions and for preparation and replication of specimens through grants awarded to JAC (OPP #9615933 and OPP #0003844), JEM (OPP #9815231 and OPP #0087972), and M. 0. Woodburne (OPP #9615236). Mr. Lonny Waddle provided additional photographs of the specimen, Dr. Wang Min kindly shares the data set with us, and Dr. Javier N. Gelfo performed the phylogenetic analysis. CAH is particularly grateful to Oceanwide Expeditions, Vlissingen (NL) for the financial support. We thank to the editor and the anonymous reviewers, particularly the third one, whose comments improved this contribution.</t>
  </si>
  <si>
    <t>ACADEMIC PRESS LTD- ELSEVIER SCIENCE LTD</t>
  </si>
  <si>
    <t>LONDON</t>
  </si>
  <si>
    <t>24-28 OVAL RD, LONDON NW1 7DX, ENGLAND</t>
  </si>
  <si>
    <t>0195-6671</t>
  </si>
  <si>
    <t>1095-998X</t>
  </si>
  <si>
    <t>CRETACEOUS RES</t>
  </si>
  <si>
    <t>Cretac. Res.</t>
  </si>
  <si>
    <t>10.1016/j.cretres.2019.104314</t>
  </si>
  <si>
    <t>Geology; Paleontology</t>
  </si>
  <si>
    <t>KO2XU</t>
  </si>
  <si>
    <t>WOS:000515413300003</t>
  </si>
  <si>
    <t>Tobin, TS; Roberts, EM; Slotznick, SP; Biasi, JA; Clarke, JA; O'Connor, PM; Skinner, SM; West, AR; Snyderman, LS; Kirschvink, JL; Lamanna, MC</t>
  </si>
  <si>
    <t>Tobin, Thomas S.; Roberts, Eric M.; Slotznick, Sarah P.; Biasi, Joseph A.; Clarke, Julia A.; O'Connor, Patrick M.; Skinner, Steven M.; West, Abagael R.; Snyderman, Lucia S.; Kirschvink, Joseph L.; Lamanna, Matthew C.</t>
  </si>
  <si>
    <t>New evidence of a Campanian age for the Cretaceous fossil-bearing strata of Cape Marsh, Robertson Island, Antarctica</t>
  </si>
  <si>
    <t>Cretaceous; Campanian; James Ross Basin; Biostratigraphy; Detrital zircon; Antarctica</t>
  </si>
  <si>
    <t>JAMES-ROSS BASIN; SEYMOUR-ISLAND; STRATIGRAPHY; MAGNETOSTRATIGRAPHY; PENINSULA</t>
  </si>
  <si>
    <t>Cape Marsh, located on the eastern end of Robertson Island to the east of the Antarctic Peninsula, exposes an isolated outcrop of Upper Cretaceous sedimentary strata. The outcrop is approximately 120 km southwest of the much better-studied exposures of similar age on and around James Ross Island (JRI): as such, its remoteness has complicated logistical access to the site and hindered geologic correlations on a regional scale. Here we present the results of fieldwork conducted in 2016 that yielded a more diverse invertebrate fossil assemblage than had been previously recognized, in addition to new U-Pb detrital zircon and magnetostratigraphic data. The invertebrate fauna, particularly the ammonites and inoceramids, support a biostratigraphic correlation of the upper Cape Marsh strata to Ammonite Assemblage 7 previously established on JRI. Detrital zircon U-Pb analysis conducted on a sandstone sample from the same strata indicates a maximum depositional age of 74.2 +/- 1.1 Ma, and magnetostratigraphic interpretation of the lower strata suggest a normal magnetochron. These results are all consistent with a Campanian age for the deposition of the upper strata at Cape Marsh, and deposition during magnetochron C33N for the lower layers. However, a slight age inconsistency between the biostratigraphic correlation and the detrital zircon-derived maximum depositional age may imply that the fossils are reworked. Regardless, these new data allow us to correlate the strata at Cape Marsh to the Santa Marta and Rabot formations (or possibly the lower part of the Snow Hill Island Formation) in the northern part of the James Ross Basin. (C) 2019 Elsevier Ltd. All rights reserved.</t>
  </si>
  <si>
    <t>[Tobin, Thomas S.] Univ Alabama, Dept Geol Sci, Tuscaloosa, AL USA; [Roberts, Eric M.] James Cook Univ, Coll Sci &amp; Engn, Townsville, Qld, Australia; [Slotznick, Sarah P.] Univ Calif Berkeley, Dept Earth &amp; Planetary Sci, Berkeley, CA 94720 USA; [Biasi, Joseph A.; Kirschvink, Joseph L.] CALTECH, Div Geol &amp; Planetary Sci, Pasadena, CA 91125 USA; [Clarke, Julia A.] Univ Texas Austin, Dept Geol Sci, Jackson Sch Geosci, Austin, TX USA; [O'Connor, Patrick M.] Ohio Univ, Heritage Coll Osteopath Med, Dept Biomed Sci, Athens, OH 45701 USA; [O'Connor, Patrick M.] Ohio Ctr Ecol &amp; Evolutionary Studies, Athens, OH USA; [Skinner, Steven M.] Calif State Univ Sacramento, Dept Geol, Sacramento, CA 95819 USA; [West, Abagael R.] Univ Pittsburgh, Dept Biol Sci, Pittsburgh, PA 15260 USA; [West, Abagael R.; Lamanna, Matthew C.] Carnegie Museum Nat Hist, Sect Vertebrate Paleontol, Pittsburgh, PA USA; [West, Abagael R.] Carnegie Museum Nat Hist, Sect Mammals, Pittsburgh, PA USA; [Snyderman, Lucia S.] Ellis Sch, Pittsburgh, PA USA</t>
  </si>
  <si>
    <t>University of Alabama System; University of Alabama Tuscaloosa; James Cook University; University of California System; University of California Berkeley; California Institute of Technology; University of Texas System; University of Texas Austin; University System of Ohio; Ohio University; California State University System; California State University Sacramento; Pennsylvania Commonwealth System of Higher Education (PCSHE); University of Pittsburgh</t>
  </si>
  <si>
    <t>Tobin, TS (corresponding author), Univ Alabama, Dept Geol Sci, Tuscaloosa, AL USA.</t>
  </si>
  <si>
    <t>ttobin@ua.edu</t>
  </si>
  <si>
    <t>Roberts, Eric M/J-1836-2014; Kirschvink, Joseph L/U-5844-2017; OConnor, Patrick/I-9383-2012</t>
  </si>
  <si>
    <t>Slotznick, Sarah/0000-0001-8374-3173; OConnor, Patrick/0000-0002-6762-3806; Tobin, Thomas/0000-0003-0992-7809</t>
  </si>
  <si>
    <t>NSF [ANT-1142129, ANT-1142104, ANT-1141820, ANT-1142052, ANT-1341729]</t>
  </si>
  <si>
    <t>NSF(National Science Foundation (NSF))</t>
  </si>
  <si>
    <t>We acknowledge support from NSF grants ANT-1142129 (to MCL), ANT-1142104 (to PMO), ANT-1141820 (to JAC), ANT-1142052 (to Ross MacPhee), and ANT-1341729 (to JLK) that funded our 2016 fieldwork on Robertson Island. We are grateful to Albert Kollar (CM) and Ron Eng (UWBM) for their assistance. We thank the crew of R/V Nathaniel B. Palmer, the NSF science support staff on board, and the crew from Air Center Helicopters for transportation to the site and assistance in the field. U-Pb detrital zircon data is available in the data repository. Paleomagnetic data are available in the MagIC database (https://www.earthrelorg/MagICidoi/10.1016/j.cretres.2019.104313).Rock magnetic and U-Pb zircon raw data are available at http://cloi.org/10.5281/zenodo.3464591.Finally, we thank two anonymous reviewers, whose comments greatly improved the manuscript.</t>
  </si>
  <si>
    <t>10.1016/j.cretres.2019.104313</t>
  </si>
  <si>
    <t>WOS:000515413300012</t>
  </si>
  <si>
    <t>Sheridan, M; Durán, J; Gil, MD; Pastor, E; O'Connor, I</t>
  </si>
  <si>
    <t>Sheridan, Michael; Duran, Juana; del Mar Gil, Maria; Pastor, Elena; O'Connor, Ian</t>
  </si>
  <si>
    <t>Can crustacean cuticle preserve a record of chronological age? Investigating the utility of decapod crustacean eyestalks for age determination of two European spider crab species</t>
  </si>
  <si>
    <t>FISHERIES RESEARCH</t>
  </si>
  <si>
    <t>Decapod crustacean; Age determination; Eyestalk; Cuticle; Lamellae; Gastric mill</t>
  </si>
  <si>
    <t>LOBSTER NEPHROPS-NORVEGICUS; GASTRIC MILL; MAJA-BRACHYDACTYLA; POPULATION-DYNAMICS; STOCK ASSESSMENT; SEXUAL-MATURITY; BAND COUNTS; GROWTH; SQUINADO; COMPLEX</t>
  </si>
  <si>
    <t>Until recently it was not thought possible to directly and accurately age crustacean species as any calcified structure that could preserve a record of chronological age is lost at moulting. Recent research has suggested that it may be possible to directly infer age from the number of endocuticular bands present within the eyestalks of snow crab (Chionoecetes opilio) and Antarctic krill (Euphausia superba). Using captive-reared Mediterranean spider crabs (Maja squinado), and wild-caught north-east Atlantic spider crabs (Maja brachydactyla), the present study aimed to determine if endocuticular bands of potentially annual periodicity are present within the eyestalks of these brachyurans. Although clear and readable bands were present within the endocuticle of their eyestalks, no bands of potentially annual periodicity were identified. The number of endocuticular bands did not correlate with the known-age of the M. squinado individuals; but did correlate positively with carapace length for both M. squinado and M. brachydactyla, suggesting they form as a result of growth and the size of individuals. It is hypothesised that these endocuticular bands, and potentially those identified by other studies purporting them to be annual growth bands, are in fact lamellae that appear due to the layers of calcite crystal aggregates interspersed with chitin and protein fibres that form the mineral of the cuticle in decapod crustaceans. Further research is needed to determine the processes that control and result in the deposition of crustacean cuticle, particularly during the post-moult period.</t>
  </si>
  <si>
    <t>[Sheridan, Michael; O'Connor, Ian] Galway Mayo Inst Technol, Marine &amp; Freshwater Res Ctr, Dublin Rd, Galway, Ireland; [Duran, Juana; del Mar Gil, Maria; Pastor, Elena] Balearic Govt, LIMLA, C Enginyer Gabriel Roca 69, Port Dandratx 07157, Balearic Island, Spain</t>
  </si>
  <si>
    <t>Atlantic Technological University (ATU)</t>
  </si>
  <si>
    <t>Sheridan, M (corresponding author), Galway Mayo Inst Technol, Marine &amp; Freshwater Res Ctr, Dublin Rd, Galway, Ireland.</t>
  </si>
  <si>
    <t>mikecsheridan@gmail.com; juanaduranchica@hotmail.com; mmgil@dgpesca.caib.es; epastor@dgpesca.caib.es; ian.oconnor@gmit.ie</t>
  </si>
  <si>
    <t>Brophy, Deirdre/JQW-0281-2023; O’Connor, Ian/ABE-7483-2020; del Mar Gil, María/L-5204-2014; Pastor, Elena/R-9103-2018</t>
  </si>
  <si>
    <t>O’Connor, Ian/0000-0001-9738-6322; del Mar Gil, María/0000-0002-1044-0312;</t>
  </si>
  <si>
    <t>Irish Research Council Government of Ireland postgraduate scholarship [GOIPG/2014/481]</t>
  </si>
  <si>
    <t>Irish Research Council Government of Ireland postgraduate scholarship(Irish Research Council for Science, Engineering and Technology)</t>
  </si>
  <si>
    <t>This project was funded by an Irish Research Council Government of Ireland postgraduate scholarship (GOIPG/2014/481). The authors would like to express their thanks to Coilin Minto, Olga Lyashevska and Paul Dolder of Galway-Mayo Institute of Technology for their help with statistical analysis. The authors also want to thank the two anonymous reviewers that suggested revisions that improved this manuscript.</t>
  </si>
  <si>
    <t>0165-7836</t>
  </si>
  <si>
    <t>1872-6763</t>
  </si>
  <si>
    <t>FISH RES</t>
  </si>
  <si>
    <t>Fish Res.</t>
  </si>
  <si>
    <t>10.1016/j.fishres.2019.105467</t>
  </si>
  <si>
    <t>Fisheries</t>
  </si>
  <si>
    <t>KN3PE</t>
  </si>
  <si>
    <t>WOS:000514752000018</t>
  </si>
  <si>
    <t>Greenfield, SR; Tighe, SW; Bai, Y; Goerlitz, DS; Von Turkovich, M; Taatjes, DJ; Dragon, JA; Johnson, SS</t>
  </si>
  <si>
    <t>Greenfield, Samuel R.; Tighe, Scott W.; Bai, Yu; Goerlitz, David S.; Von Turkovich, Michele; Taatjes, Douglas J.; Dragon, Julie A.; Johnson, Sarah Stewart</t>
  </si>
  <si>
    <t>Life and its traces in Antarctica's McMurdo Dry Valley paleolakes: a survey of preservation</t>
  </si>
  <si>
    <t>MICRON</t>
  </si>
  <si>
    <t>Antarctica; Paleolakes; Microbes; Biosignatures; SEM</t>
  </si>
  <si>
    <t>MEMBRANE-VESICLES; MICROBIAL MATS; LAKE FRYXELL; BACTERIA; DIVERSITY; CLIMATE; REGION</t>
  </si>
  <si>
    <t>The extremely cold and arid conditions of Antarctica make it uniquely positioned to investigate fundamental questions regarding the persistence of life in extreme environments. Within the McMurdo Dry Valleys and surrounding mountain ranges are multiple ancient relict lakes, paleolakes, with lacustrine deposits spanning from thousands to millions of years in age. Here we present data from light microscopy, scanning electron microscopy, electron dispersive x-ray spectroscopy, and radiocarbon dating to catalog the remarkable range of life preserved within these deposits. This includes intact microbes and nanobacteria-sized cocci, CaCO3 precipitations consistent with biogenic calcium, previously undescribed net-like structures, possible dormant spores, and long-extinct yet exquisitely preserved non-vascular plants. These images provide an important reference for further microbiome investigations of Antarctic paleolake samples. In addition, these findings may provide a visual reference for the use of subsurface groundwater microbial communities as an analog for paleolake subsurface water on planets such as Mars.</t>
  </si>
  <si>
    <t>[Greenfield, Samuel R.; Bai, Yu; Johnson, Sarah Stewart] Georgetown Univ, Dept Biol, Washington, DC 20057 USA; [Tighe, Scott W.; Dragon, Julie A.] Univ Vermont, Vermont Integrat Genom, Burlington, VT 05405 USA; [Dragon, Julie A.] Univ Vermont, Larner Coll Med, Dept Microbiol &amp; Mol Genet, Burlington, VT 05405 USA; [Goerlitz, David S.] Georgetown Univ, Med Ctr, Washington, DC 20057 USA; [Von Turkovich, Michele; Taatjes, Douglas J.] Dept Pathol &amp; Lab Med, Burlington, VT USA; [Von Turkovich, Michele; Taatjes, Douglas J.] Univ Vermont, Larner Coll Med, Microscopy Imaging Ctr, Burlington, VT 05405 USA; [Johnson, Sarah Stewart] Georgetown Univ, Sci Technol &amp; Int Affairs Program, Washington, DC 20057 USA</t>
  </si>
  <si>
    <t>Georgetown University; University of Vermont; University of Vermont; Georgetown University; University of Vermont; Georgetown University</t>
  </si>
  <si>
    <t>Greenfield, SR (corresponding author), 10801 Univ Blvd, Manassas, VA 20110 USA.</t>
  </si>
  <si>
    <t>sgreenfield625@gmail.com</t>
  </si>
  <si>
    <t>NSF Office of Polar Programs Award [PLR-1620976]</t>
  </si>
  <si>
    <t>NSF Office of Polar Programs Award</t>
  </si>
  <si>
    <t>This work was supported by NSF Office of Polar Programs AwardPLR-1620976 to S.J. at Georgetown University. We would also like to thank the U.S. Antarctic Program and the support staff at McMurdo Station, particularly the individuals who work at the Crary Lab, HeloOPS, and MacOPS. Sample preparation and management was performed by the University of Vermont Microscopy Imaging Center and Vermont Integrative Genomics Resource. Funding sources had no involvement in collection, analysis, or interpretation of data.</t>
  </si>
  <si>
    <t>0968-4328</t>
  </si>
  <si>
    <t>Micron</t>
  </si>
  <si>
    <t>10.1016/j.micron.2019.102818</t>
  </si>
  <si>
    <t>Microscopy</t>
  </si>
  <si>
    <t>KO0AT</t>
  </si>
  <si>
    <t>WOS:000515209100005</t>
  </si>
  <si>
    <t>Liang, C; Li, HB; Zhang, WC; Tao, ZC; Zhao, Y</t>
  </si>
  <si>
    <t>Liang, Chen; Li, Haibo; Zhang, Wuchang; Tao, Zhencheng; Zhao, Yuan</t>
  </si>
  <si>
    <t>Changes in Tintinnid Assemblages from Subantarctic Zone to Antarctic Zone Along Transect in Amundsen Sea (West Antarctica) in Early Austral Autumn</t>
  </si>
  <si>
    <t>JOURNAL OF OCEAN UNIVERSITY OF CHINA</t>
  </si>
  <si>
    <t>tintinnid; abundance distribution; polar front; Amundsen Sea; Antarctica</t>
  </si>
  <si>
    <t>SOUTHWESTERN ATLANTIC; SPECIAL EMPHASIS; PATTERNS; MICROZOOPLANKTON; DIVERSITY; ABUNDANCE; WATER; BIODIVERSITY; BIOGEOGRAPHY; VARIABILITY</t>
  </si>
  <si>
    <t>Tintinnid ciliates are important pelagic microplankton. Most studies previously conducted in the Amundsen Sea have covered a relatively small latitude range and provided minimal information about tintinnid species composition and distribution. The present study was conducted to investigate tintinnid assemblages from the Antarctic zone (AZ) northward through the polar front (PF) to the subantarctic zone (SAZ). A total of 17 tintinnid species belonging to seven genera were collected, and 16 were identified. Results show that nine of the species are endemic to the Southern Ocean and they mainly inhabit the AZ near Antarctic continent with an abundant proportion exceeding 60% of total tintinnid. According to the tintinnid abundance distribution, the species were divided into four groups: Group I includes Acanthostomella norvegica, Codonellopsis glacialis, C. pusilla and Cymatocylis antarctica and mainly occurs in the northern boundary of the PF; Group II includes Cymatocylis convallaria forma calyciformis, an unidentified species, and Amphorellopsis quinquealata and mainly inhabits the PF; Group III includes Salpingella costata, Cymatocylis van-hoeffeni, C. convallaria forma cristallina, C. convallaria forma drygalskii, C. convallaria, Codonellopsis gaussi, and Laackman-niella naviculaefera and mainly occurs in the AZ near the Antarctic continent; and Group I V, which comprises Salpingella sp. and inhabits all zones. The new species of tintinnid (belonging to Group II) primarily inhabit the AZ but also are distributed in the PF, and they have large lorica-oral-diameter (LOD). The distribution ranges of tintinnid assemblages from the AZ to PF were determined, in addition to the different assemblages mixed in the PF. The information provided in this study increases our understanding of tintinnid assemblages from the Antarctic continent in the Antarctic Circumpolar Current and Antarctic waters.</t>
  </si>
  <si>
    <t>[Liang, Chen; Li, Haibo; Zhang, Wuchang; Tao, Zhencheng; Zhao, Yuan] Chinese Acad Sci, Inst Oceanol, CAS Key Lab Marine Ecol &amp; Environm Sci, Qingdao 266071, Peoples R China; [Liang, Chen; Li, Haibo; Zhang, Wuchang; Tao, Zhencheng; Zhao, Yuan] Qingdao Natl Lab Marine Sci &amp; Technol, Lab Marine Ecol &amp; Environm Sci, Qingdao 266237, Peoples R China; [Liang, Chen] Univ Chinese Acad Sci, Beijing 100049, Peoples R China; [Liang, Chen; Li, Haibo; Zhang, Wuchang; Tao, Zhencheng; Zhao, Yuan] Chinese Acad Sci, Ctr Ocean Mega Sci, Qingdao 266071, Peoples R China</t>
  </si>
  <si>
    <t>Chinese Academy of Sciences; Institute of Oceanology, CAS; Laoshan Laboratory; Chinese Academy of Sciences; University of Chinese Academy of Sciences, CAS; Chinese Academy of Sciences</t>
  </si>
  <si>
    <t>Zhang, WC; Tao, ZC (corresponding author), Chinese Acad Sci, Inst Oceanol, CAS Key Lab Marine Ecol &amp; Environm Sci, Qingdao 266071, Peoples R China.;Zhang, WC; Tao, ZC (corresponding author), Qingdao Natl Lab Marine Sci &amp; Technol, Lab Marine Ecol &amp; Environm Sci, Qingdao 266237, Peoples R China.;Zhang, WC; Tao, ZC (corresponding author), Chinese Acad Sci, Ctr Ocean Mega Sci, Qingdao 266071, Peoples R China.</t>
  </si>
  <si>
    <t>wuchangzhang@qdio.ac.cn; taozc@qdio.ac.cn</t>
  </si>
  <si>
    <t>Liang, Chen/HNP-5916-2023</t>
  </si>
  <si>
    <t>National Natural Science Foundation of China [41876217, 41576164]; CNRS-NSFC Joint Research Projects Program [41711530149]; National Key R&amp;D Program of China [2017YFC14 04402]; Senior User Project of RV KEXUE [KE XUE2018G17]; Chinese Polar Environment Comprehensive Investigation &amp; Assessment Programmes [CHINARE2016-01-05]; Scientific and Technological Innovation Project by Qingdao National Laboratory for Marine Science and Technology [2015ASK J02]</t>
  </si>
  <si>
    <t>National Natural Science Foundation of China(National Natural Science Foundation of China (NSFC)); CNRS-NSFC Joint Research Projects Program; National Key R&amp;D Program of China; Senior User Project of RV KEXUE; Chinese Polar Environment Comprehensive Investigation &amp; Assessment Programmes; Scientific and Technological Innovation Project by Qingdao National Laboratory for Marine Science and Technology</t>
  </si>
  <si>
    <t>We thank the 34th CHINARE Antarctic expedition for providing logistical support and environmental data. This study was supported by the National Natural Science Foundation of China (No. 41576164), the CNRS-NSFC Joint Research Projects Program (No. 41711530149), the National Key R&amp;D Program of China (No. 2017YFC14 04402), the Senior User Project of RV KEXUE (No. KE XUE2018G17), the National Natural Science Foundation of China (No. 41876217), the Chinese Polar Environment Comprehensive Investigation &amp; Assessment Programmes (No. CHINARE2016-01-05), and the Scientific and Technological Innovation Project by Qingdao National Laboratory for Marine Science and Technology (No. 2015ASK J02).</t>
  </si>
  <si>
    <t>OCEAN UNIV CHINA</t>
  </si>
  <si>
    <t>QINGDAO</t>
  </si>
  <si>
    <t>5 YUSHAN RD, QINGDAO, 266003, PEOPLES R CHINA</t>
  </si>
  <si>
    <t>1672-5182</t>
  </si>
  <si>
    <t>1993-5021</t>
  </si>
  <si>
    <t>J OCEAN U CHINA</t>
  </si>
  <si>
    <t>J. OCEAN UNIV.</t>
  </si>
  <si>
    <t>10.1007/s11802-020-4129-6</t>
  </si>
  <si>
    <t>Oceanography</t>
  </si>
  <si>
    <t>KJ3CX</t>
  </si>
  <si>
    <t>WOS:000511935600009</t>
  </si>
  <si>
    <t>Fahrion, J; Fink, C; Zabel, P; Schubert, D; Mysara, M; Van Houdt, R; Eikmanns, B; Beblo-Vranesevic, K; Rettberg, P</t>
  </si>
  <si>
    <t>Fahrion, Jana; Fink, Carina; Zabel, Paul; Schubert, Daniel; Mysara, Mohamed; Van Houdt, Rob; Eikmanns, Bernhard; Beblo-Vranesevic, Kristina; Rettberg, Petra</t>
  </si>
  <si>
    <t>Microbial Monitoring in the EDEN ISS Greenhouse, a Mobile Test Facility in Antarctica</t>
  </si>
  <si>
    <t>FRONTIERS IN MICROBIOLOGY</t>
  </si>
  <si>
    <t>EDEN ISS; greenhouse; bacteria; plants; surfaces; phyllosphere; space exploration</t>
  </si>
  <si>
    <t>SP-NOV.; BACTERIAL-COLONIZATION; GENUS; PHYLLOSPHERE; PROPOSAL; PSYCHROTOLERANT; GENOME; ACID; LIFE</t>
  </si>
  <si>
    <t>The EDEN ISS greenhouse, integrated in two joined containers, is a confined mobile test facility in Antarctica for the development and optimization of new plant cultivation techniques for future space programs. The EDEN ISS greenhouse was used successfully from February to November 2018 for fresh food production for the overwintering crew at the Antarctic Neumayer III station. During the 9 months of operation, samples from the different plants, from the nutrition solution of the aeroponic planting system, and from diverse surfaces within the three different compartments of the container were taken [future exploration greenhouse (FEG), service section (SS), and cold porch (CP)]. Quantity as well as diversity of microorganisms was examined by cultivation. In case of the plant samples, microbial quantities were in a range from 10(2) to 10(4) colony forming units per gram plant material. Compared to plants purchased from a German grocery, the produce hosted orders of magnitude more microorganisms than the EDEN ISS plants. The EDEN ISS plant samples contained mainly fungi and a few bacteria. No classical food associated pathogenic microorganism, like Escherichia and Salmonella, could be found. Probably due to the used cultivation approach, Archaea were not found in the samples. The bioburden in the nutrition solutions increased constantly over time but never reached critical values like 10(2)-10(3) cfu per 100 mL in irrigation water as it is stated, e.g., for commercial European plant productions. The surface samples revealed high differences in the microbial burden between the greenhouse part of the container and the SS and CP part. However, the numbers of organisms (bacteria and fungi) found in the planted greenhouse were still not critical. The microbial loaded surfaces showed strong temporal as well as spatial fluctuations. In samples of the nutrition solution and the surface, the amount of bacteria exceeded the amount of fungi by many times. For identification, 16S rRNA gene sequencing was performed for the isolated prokaryotic organisms. Phylogenetic analyses revealed that the most abundant bacterial phyla were Firmicutes and Actinobacteria. These phyla include plant- and human-associated bacterial species. In general, it could be shown that it is possible to produce edible fresh food in a remote environment and this food is safe for consumption from a microbiological point of view.</t>
  </si>
  <si>
    <t>[Fahrion, Jana; Fink, Carina; Beblo-Vranesevic, Kristina; Rettberg, Petra] German Aerosp Ctr DLR, Inst Aerosp Med, Cologne, Germany; [Fahrion, Jana; Eikmanns, Bernhard] Univ Ulm, Fac Nat Sci, Inst Microbiol &amp; Biotechnol, Ulm, Germany; [Zabel, Paul; Schubert, Daniel] German Aerosp Ctr DLR, Inst Space Syst, Bremen, Germany; [Mysara, Mohamed; Van Houdt, Rob] Belgian Nucl Res Ctr SCK CEN, Microbiol Unit, Mol, Belgium</t>
  </si>
  <si>
    <t>Helmholtz Association; German Aerospace Centre (DLR); Ulm University; Helmholtz Association; German Aerospace Centre (DLR); Belgian Nuclear Research Centre (SCK CEN)</t>
  </si>
  <si>
    <t>Beblo-Vranesevic, K (corresponding author), German Aerosp Ctr DLR, Inst Aerosp Med, Cologne, Germany.</t>
  </si>
  <si>
    <t>Kristina.beblo@dlr.de</t>
  </si>
  <si>
    <t>Van Houdt, Rob/B-8599-2011; Rettberg, Petra/AAI-4493-2021; Mysara, Mohamed/AAH-4242-2019; Zabel, Paul/HQZ-9029-2023</t>
  </si>
  <si>
    <t>Van Houdt, Rob/0000-0002-7459-496X; Rettberg, Petra/0000-0003-4439-2395; Mysara, Mohamed/0000-0001-5746-4330; Zabel, Paul/0000-0001-7907-9230; Eikmanns, Bernhard/0000-0002-3069-431X</t>
  </si>
  <si>
    <t>European Union [636501]</t>
  </si>
  <si>
    <t>European Union(European Union (EU))</t>
  </si>
  <si>
    <t>The EDEN ISS project (Evaluation and Design of Environmentally-closed Nutrition-sources) was funded by the European Union's Research and Innovation Action program Horizon 2020 (Grant Agreement ID: 636501).</t>
  </si>
  <si>
    <t>FRONTIERS MEDIA SA</t>
  </si>
  <si>
    <t>LAUSANNE</t>
  </si>
  <si>
    <t>AVENUE DU TRIBUNAL FEDERAL 34, LAUSANNE, CH-1015, SWITZERLAND</t>
  </si>
  <si>
    <t>1664-302X</t>
  </si>
  <si>
    <t>FRONT MICROBIOL</t>
  </si>
  <si>
    <t>Front. Microbiol.</t>
  </si>
  <si>
    <t>MAR 31</t>
  </si>
  <si>
    <t>10.3389/fmicb.2020.00525</t>
  </si>
  <si>
    <t>LE7WT</t>
  </si>
  <si>
    <t>Green Accepted, gold, Green Published</t>
  </si>
  <si>
    <t>WOS:000526935300001</t>
  </si>
  <si>
    <t>Ríos, P; Riesgo, A; Taboada, S; Cristobo, J</t>
  </si>
  <si>
    <t>Rios, Pilar; Riesgo, Ana; Taboada, Sergio; Cristobo, Javier</t>
  </si>
  <si>
    <t>A new species of Isodictya (Porifera: Poecilosclerida) from the Southern Ocean</t>
  </si>
  <si>
    <t>POLAR BIOLOGY</t>
  </si>
  <si>
    <t>Taxonomy; Biodiversity; Phylogeny; Bellingshausen Sea; Peter I island; Antarctica</t>
  </si>
  <si>
    <t>BELLINGSHAUSEN SEA; SHETLAND ISLANDS; SPATIAL-DISTRIBUTION; WEST ANTARCTICA; DEMOSPONGIAE; SYSTEMATICS; ASSEMBLAGES; POLYCHAETA; GASTROPODA; DIVERSITY</t>
  </si>
  <si>
    <t>We discovered a new species of Porifera belonging to the genus Isodictya Bowerbank, 1864 during cruises aboard R/V Hesperides in Antarctica. Collected samples are mostly part of the surveys of the Spanish project BENTART whose main objective has been to study the benthic communities inhabiting sea bottoms of Livingston and Deception Island in the South Shetlands archipelago and the Antarctic Peninsula. Isodictya filiformis sp. nov., described here, is characterized by its fragile and thin morphology (very different from other known species in the area) and by having microxeas as additional microscleres. Three specimens were collected from Marguerite Bay, Low Island and Deception Island (Antarctic Peninsula) and one specimen at Peter I Island (Bellingshausen Sea). Its presence in Peter Island is quite relevant as this location is 390 km away from the nearest coast in the Bellingshausen Sea, an area that has scarcely been investigated in the past. However, results from the Bentart 03 Expedition seem to indicate that Peter I Island has a wide variety of benthic organisms, in contrast to the deep adjacent areas of Bellingshausen Sea. Apart from the morphological analyses, we place the new Isodictya species within its phylogenetic context using two nuclear markers (18S rDNA and 28S rDNA) and provide some information about the ecological preferences of the new species.</t>
  </si>
  <si>
    <t>[Rios, Pilar; Cristobo, Javier] Ctr Oceanog Gijon, Inst Espanol Oceanog, C Principe de Asturias 70 Bis, Gijon 33212, Asturias, Spain; [Rios, Pilar; Cristobo, Javier] Univ Alcala, Dept Ciencias Vida, EU US Marine Biodivers Grp, Alcala De Henares 28871, Spain; [Riesgo, Ana; Taboada, Sergio] Nat Hist Museum London, Dept Life Sci, Cromwell Rd, London SW7 5BD, England; [Taboada, Sergio] Univ Autonoma Madrid, Fac Ciencias, Dept Biol Zool, E-28049 Madrid, Spain</t>
  </si>
  <si>
    <t>Spanish Institute of Oceanography; Universidad de Alcala; Natural History Museum London; Autonomous University of Madrid</t>
  </si>
  <si>
    <t>Ríos, P (corresponding author), Ctr Oceanog Gijon, Inst Espanol Oceanog, C Principe de Asturias 70 Bis, Gijon 33212, Asturias, Spain.;Ríos, P (corresponding author), Univ Alcala, Dept Ciencias Vida, EU US Marine Biodivers Grp, Alcala De Henares 28871, Spain.</t>
  </si>
  <si>
    <t>pilar.rios@ieo.es</t>
  </si>
  <si>
    <t>Riesgo, Ana/E-3341-2014; Rios, Pilar/L-1293-2014; Cristobo, Javier/M-1949-2014; Taboada, Sergi/AAB-9390-2021</t>
  </si>
  <si>
    <t>Riesgo, Ana/0000-0002-7993-1523; Rios, Pilar/0000-0001-9710-9114; Taboada, Sergi/0000-0003-1669-1152</t>
  </si>
  <si>
    <t>BENTART projects: Spanish Ministry of Science and Technology [REN2001-1074ANT, REN200301881/ANT, REN2003-00545/ANT, MEC CGL2004-21066-E]; Antarctic Programme of the Spanish Government [GLC2004-01856/ANT]; Natural History Museum of London [DIF: SDF14029]; ECOQUIM-2 project [CGL2004-03356/ANT]; ACTIQUIM project [CGL2007-65453/ANT]</t>
  </si>
  <si>
    <t>BENTART projects: Spanish Ministry of Science and Technology; Antarctic Programme of the Spanish Government; Natural History Museum of London; ECOQUIM-2 project; ACTIQUIM project</t>
  </si>
  <si>
    <t>This study was funded by the BENTART projects: Spanish Ministry of Science and Technology REN2001-1074ANT, REN200301881/ANT, REN2003-00545/ANT and MEC CGL2004-21066-E and a contribution to the ECOQUIM-2 (CGL2004-03356/ANT) and ACTIQUIM (CGL2007-65453/ANT) projects. The `BENTART-06' cruise was funded by the Antarctic Programme GLC2004-01856/ANT of the Spanish Government. Sequencing was performed using internal funds to AR at the Natural History Museum of London (DIF: SDF14029).</t>
  </si>
  <si>
    <t>ONE NEW YORK PLAZA, SUITE 4600, NEW YORK, NY, UNITED STATES</t>
  </si>
  <si>
    <t>0722-4060</t>
  </si>
  <si>
    <t>1432-2056</t>
  </si>
  <si>
    <t>POLAR BIOL</t>
  </si>
  <si>
    <t>Polar Biol.</t>
  </si>
  <si>
    <t>MAY</t>
  </si>
  <si>
    <t>10.1007/s00300-020-02654-x</t>
  </si>
  <si>
    <t>MAR 2020</t>
  </si>
  <si>
    <t>LK4GY</t>
  </si>
  <si>
    <t>Green Published</t>
  </si>
  <si>
    <t>WOS:000522724600002</t>
  </si>
  <si>
    <t>Moreira, E; Novillo, M; Eastman, JT; Barrera-Oro, E</t>
  </si>
  <si>
    <t>Moreira, Eugenia; Novillo, Manuel; Eastman, Joseph T.; Barrera-Oro, Esteban</t>
  </si>
  <si>
    <t>Degree of herbivory and intestinal morphology in nine notothenioid fishes from the western Antarctic Peninsula</t>
  </si>
  <si>
    <t>Notothenioidei; Relative intestine lengths; Trophic ecology; Potter cove; South Shetland Islands</t>
  </si>
  <si>
    <t>SOUTH-SHETLAND ISLANDS; POTTER COVE; ALIMENTARY-TRACT; FEEDING ECOLOGY; FOOD-WEB; DIET; MACROALGAE; CORIICEPS; PISCES; REPRODUCTION</t>
  </si>
  <si>
    <t>Although many notothenioid fishes are primarily carnivorous, some species consistently feed on macroalgae and are therefore omnivorous. Among fish, the degree of herbivory is usually reflected in the morphology of the gastrointestinal system especially intestine length. We examined a large number of juvenile and adult specimens of nine sympatric notothenioid species collected sequentially over eight summer seasons at Potter Cove, South Shetland Islands. We provide relative intestine lengths (RIL), distinct proportions of algae and animal prey in the diets (W%), and numbers of pyloric caeca for all species. The sister species Notothenia coriiceps (NOC) and N. rossii (NOR) evidenced significantly different intestinal growth over ontogeny and ate distinctly different proportions of algae and animal prey. We establish a ranking of the degree of herbivory for the fish species in the local ecosystem, and this was found to be related to their distinct feeding types and strategies. There is a correspondence between intestine length/RILs and degree of herbivory in six of the nine species analysed but no clear association between the number of pyloric caeca and degree of omnivory or carnivory. Compared to other teleosts, our results, and those in the literature, indicate modest divergence in notothenioids that include a phylogenetic decrease in the number of pyloric caeca, from 6 to 7 in most nototheniids to 2-3 in channichthyids, and a 1.8-fold difference in average relative intestine lengths which are most frequently 50-70% of body length and never exceed body length. This is consistent with the unspecialized gastrointestinal morphology that reflects the dietary and ecological plasticity of many notothenioids, exemplified by the high degree of omnivory in species such as NOC and NOR.</t>
  </si>
  <si>
    <t>[Moreira, Eugenia; Barrera-Oro, Esteban] Inst Antartico Argentino, Av 25 Mayo, RA-1143 San Martin, Buenos Aires, Argentina; [Moreira, Eugenia] UNCPBA, Lab Biol Func &amp; Biotecnol BIOLAB, Fac Agron, CICBA,INBIOTEC,CONICET, Av Republ Italia 780, RA-7300 Azul, Buenos Aires, Argentina; [Moreira, Eugenia; Novillo, Manuel; Barrera-Oro, Esteban] Consejo Nacl Invest Cient &amp; Tecn, RA-2290 Godoy Cruz, Buenos Aires, Argentina; [Novillo, Manuel; Barrera-Oro, Esteban] Consejo Nacl Invest Cient &amp; Tecn, Museo Argentino Ciencias Nat Bernardino Rivadavia, Div Ictiol, Angel Gallardo 470, Caba, Argentina; [Eastman, Joseph T.] Ohio Univ, Dept Biomed Sci, Athens, OH 45701 USA</t>
  </si>
  <si>
    <t>Instituto Antartico Argentino; Consejo Nacional de Investigaciones Cientificas y Tecnicas (CONICET); Consejo Nacional de Investigaciones Cientificas y Tecnicas (CONICET); Museo Argentino de Ciencias Naturales Bernardino Rivadavia (MACN); Consejo Nacional de Investigaciones Cientificas y Tecnicas (CONICET); University System of Ohio; Ohio University</t>
  </si>
  <si>
    <t>Moreira, E (corresponding author), Inst Antartico Argentino, Av 25 Mayo, RA-1143 San Martin, Buenos Aires, Argentina.;Moreira, E (corresponding author), UNCPBA, Lab Biol Func &amp; Biotecnol BIOLAB, Fac Agron, CICBA,INBIOTEC,CONICET, Av Republ Italia 780, RA-7300 Azul, Buenos Aires, Argentina.;Moreira, E (corresponding author), Consejo Nacl Invest Cient &amp; Tecn, RA-2290 Godoy Cruz, Buenos Aires, Argentina.</t>
  </si>
  <si>
    <t>eugeniamoreira@yahoo.com.ar</t>
  </si>
  <si>
    <t>Eastman, Joseph T./O-6150-2019</t>
  </si>
  <si>
    <t>Eastman, Joseph T./0000-0003-3868-261X; MOREIRA, EUGENIA/0000-0002-3704-1696</t>
  </si>
  <si>
    <t>Direccion Nacional del Antartico, Instituto Antartico Argentino [PICTA 0100, PIP 2017-2019 GI 11220170100219CO, PICT 2018-03310, 401/19]</t>
  </si>
  <si>
    <t>Direccion Nacional del Antartico, Instituto Antartico Argentino</t>
  </si>
  <si>
    <t>We thank Carlos Bellisio for his help in field activities and laboratory tasks and to Mina Gordon for her help in the manuscript preparation. We thank three referees, Drs. M. Vacchi, E. Riginella and R.R. Eakin, for their constructive comments. This study was supported by grants from Direccion Nacional del Antartico, Instituto Antartico Argentino (PICTA 0100), PIP 2017-2019 GI 11220170100219CO, Resolution 2018-8-APN-DIR#CONICET and PICT 2018-03310, Resolution 401/19.</t>
  </si>
  <si>
    <t>10.1007/s00300-020-02655-w</t>
  </si>
  <si>
    <t>WOS:000522724600001</t>
  </si>
  <si>
    <t>Maldonado-Márquez, A; Contador, T; Rendoll-Cárcamo, J; Moore, S; Pérez-Troncoso, C; Gomez-Uchida, D; Harrod, C</t>
  </si>
  <si>
    <t>Maldonado-Marquez, Alan; Contador, Tamara; Rendoll-Carcamo, Javier; Moore, Sabrina; Perez-Troncoso, Carolina; Gomez-Uchida, Daniel; Harrod, Chris</t>
  </si>
  <si>
    <t>Southernmost distribution limit for endangered Peladillas (Aplochiton taeniatus) and non-native coho salmon (Oncorhynchus kisutch) coexisting within the Cape Horn biosphere reserve, Chile</t>
  </si>
  <si>
    <t>JOURNAL OF FISH BIOLOGY</t>
  </si>
  <si>
    <t>endangered species; freshwater fish; invasive species; salmonids; sub-Antarctic</t>
  </si>
  <si>
    <t>FRESH-WATER; SOUTH; FISH; CONSERVATION; ECOLOGY; FAUNA</t>
  </si>
  <si>
    <t>The Cape Horn Biosphere Reserve, one of the last wild areas of the planet, is not exempt from the pressures of global change, such as non-native species introductions. During 2018 and 2019 we studied the Robalo river basin in order to update the diversity and distribution of fishes. Here, we report for the first time the native and endangered Peladillas Aplochiton taeniatus and the non-native coho salmon Oncorhynchus kisutch. The coexistence of native and non-native fishes poses a challenge for the management and conservation of aquatic biota from the Cape Horn Biosphere Reserve.</t>
  </si>
  <si>
    <t>[Maldonado-Marquez, Alan; Contador, Tamara; Rendoll-Carcamo, Javier; Moore, Sabrina; Perez-Troncoso, Carolina] Univ Magallanes, Wankara Subantarctic &amp; Antarctic Freshwater Ecosy, Teniente Munoz 166, Puerto Williams, Magallanes, Chile; [Maldonado-Marquez, Alan; Contador, Tamara; Rendoll-Carcamo, Javier; Perez-Troncoso, Carolina] Univ Magallanes, Subantarct Biocultural Conservat Program, Omora Ethnobot Pk, Puerto Williams, Chile; [Maldonado-Marquez, Alan; Contador, Tamara; Rendoll-Carcamo, Javier; Perez-Troncoso, Carolina] Univ Chile, Inst Ecol &amp; Biodivers, Santiago, Chile; [Maldonado-Marquez, Alan; Contador, Tamara; Moore, Sabrina; Perez-Troncoso, Carolina; Gomez-Uchida, Daniel; Harrod, Chris] Nucleo Milenio INVASAL, Concepcion, Chile; [Moore, Sabrina] Univ North Texas, Dept Biol Sci, Denton, TX 76203 USA; [Gomez-Uchida, Daniel] Univ Concepcion, Fac Ciencias Nat &amp; Oceanog, Gen Ecol Evolut &amp; Conservat Lab GEECLAB, Dept Zool, Concepcion, Chile; [Harrod, Chris] Univ Antofagasta, Inst Ciencias Nat Alexander von Humboldt, Antofagasta, Chile; [Harrod, Chris] Univ Antofagasta, Stable Isotope Facil, Inst Antofagasta, Antofagasta, Chile</t>
  </si>
  <si>
    <t>Universidad de Magallanes; Universidad de Magallanes; Universidad de Chile; University of North Texas System; University of North Texas Denton; Universidad de Concepcion; Universidad de Antofagasta; Universidad de Antofagasta</t>
  </si>
  <si>
    <t>Maldonado-Márquez, A (corresponding author), Univ Magallanes, Wankara Subantarctic &amp; Antarctic Freshwater Ecosy, Teniente Munoz 166, Puerto Williams, Magallanes, Chile.</t>
  </si>
  <si>
    <t>alan.maldonado@umag.cl</t>
  </si>
  <si>
    <t>Gomez-Uchida, Daniel/AAB-7043-2019; Contador, Tamara/AAC-2161-2021; Harrod, Chris/A-8830-2008</t>
  </si>
  <si>
    <t>Gomez-Uchida, Daniel/0000-0002-5150-2030; Contador, Tamara/0000-0002-0250-9877; Harrod, Chris/0000-0002-5353-1556; Maldonado Marquez, Alan/0000-0003-2189-5491; Rendoll, Javier/0000-0003-1928-0914; Moore, Sabrina/0000-0001-6237-0355</t>
  </si>
  <si>
    <t>Comision Nacional de Investigacion Cientifica y Tecnologica [PIA CTTE AFB 170008]; Nucleo Milenio INVASAL</t>
  </si>
  <si>
    <t>Comision Nacional de Investigacion Cientifica y Tecnologica; Nucleo Milenio INVASAL</t>
  </si>
  <si>
    <t>Comision Nacional de Investigacion Cientifica y Tecnologica, Grant/Award Number: PIA CTTE AFB 170008; Nucleo Milenio INVASAL</t>
  </si>
  <si>
    <t>0022-1112</t>
  </si>
  <si>
    <t>1095-8649</t>
  </si>
  <si>
    <t>J FISH BIOL</t>
  </si>
  <si>
    <t>J. Fish Biol.</t>
  </si>
  <si>
    <t>JUN</t>
  </si>
  <si>
    <t>10.1111/jfb.14309</t>
  </si>
  <si>
    <t>Fisheries; Marine &amp; Freshwater Biology</t>
  </si>
  <si>
    <t>MA3MX</t>
  </si>
  <si>
    <t>WOS:000522311600001</t>
  </si>
  <si>
    <t>Barnes, JJ; McCubbin, FM; Santos, AR; Day, JMD; Boyce, JW; Schwenzer, SP; Ott, U; Franchi, IA; Messenger, S; Anand, M; Agee, CB</t>
  </si>
  <si>
    <t>Barnes, Jessica J.; McCubbin, Francis M.; Santos, Alison R.; Day, James M. D.; Boyce, Jeremy W.; Schwenzer, Susanne P.; Ott, Ulrich; Franchi, Ian A.; Messenger, Scott; Anand, Mahesh; Agee, Carl B.</t>
  </si>
  <si>
    <t>Multiple early-formed water reservoirs in the interior of Mars</t>
  </si>
  <si>
    <t>NATURE GEOSCIENCE</t>
  </si>
  <si>
    <t>HOSTED MELT INCLUSIONS; MARTIAN METEORITES; ISOTOPIC COMPOSITION; SHERGOTTITE YAMATO-980459; DIFFERENTIATION HISTORY; HYDROTHERMAL ACTIVITY; HYDROGEN; MANTLE; EVOLUTION; AGE</t>
  </si>
  <si>
    <t>Mars's mantle is chemically heterogeneous and contains multiple primordial water reservoirs, according to an analysis of the hydrogen isotopic composition of minerals in Martian meteorites. The abundance and distribution of water within Mars through time plays a fundamental role in constraining its geological evolution and habitability. The isotopic composition of Martian hydrogen provides insights into the interplay between different water reservoirs on Mars. However, D/H (deuterium/hydrogen) ratios of Martian rocks and of the Martian atmosphere span a wide range of values. This has complicated identification of distinct water reservoirs in and on Mars within the confines of existing models that assume an isotopically homogenous mantle. Here we present D/H data collected by secondary ion mass spectrometry for two Martian meteorites. These data indicate that the Martian crust has been characterized by a constant D/H ratio over the last 3.9 billion years. The crust represents a reservoir with a D/H ratio that is intermediate between at least two isotopically distinct primordial water reservoirs within the Martian mantle, sampled by partial melts from geochemically depleted and enriched mantle sources. From mixing calculations, we find that a subset of depleted Martian basalts are consistent with isotopically light hydrogen (low D/H) in their mantle source, whereas enriched shergottites sampled a mantle source containing heavy hydrogen (high D/H). We propose that the Martian mantle is chemically heterogeneous with multiple water reservoirs, indicating poor mixing within the mantle after accretion, differentiation, and its subsequent thermochemical evolution.</t>
  </si>
  <si>
    <t>[Barnes, Jessica J.; McCubbin, Francis M.; Boyce, Jeremy W.; Messenger, Scott] NASA, Johnson Space Ctr, Cleveland, OH 77058 USA; [Barnes, Jessica J.] Univ Arizona, Lunar &amp; Planetary Lab, Tucson, AZ 85721 USA; [Santos, Alison R.] NASA, Glenn Res Ctr, Cleveland, OH USA; [Day, James M. D.] Scripps Inst Oceanog, La Jolla, CA USA; [Schwenzer, Susanne P.; Franchi, Ian A.; Anand, Mahesh] Open Univ, Milton Keynes, Bucks, England; [Ott, Ulrich] Max Planck Inst Chem, Mainz, Germany; [Ott, Ulrich] MIA Atomki, Debrecen, Hungary; [Anand, Mahesh] Nat Hist Museum, London, England; [Agee, Carl B.] Univ New Mexico, Dept Earth &amp; Planetary Sci, Inst Meteorit, Albuquerque, NM 87131 USA</t>
  </si>
  <si>
    <t>National Aeronautics &amp; Space Administration (NASA); NASA Johnson Space Center; University of Arizona; National Aeronautics &amp; Space Administration (NASA); NASA Glenn Research Center; University of California System; University of California San Diego; Scripps Institution of Oceanography; Open University - UK; Max Planck Society; Hungarian Academy of Sciences; Hungarian Research Network; HUN-REN Institute for Nuclear Research; Natural History Museum London; University of New Mexico</t>
  </si>
  <si>
    <t>Barnes, JJ (corresponding author), NASA, Johnson Space Ctr, Cleveland, OH 77058 USA.</t>
  </si>
  <si>
    <t>jjbarnes@lpl.arizona.edu</t>
  </si>
  <si>
    <t>Ott, Ulrich/ABH-2337-2020; Anand, Mahesh/E-9259-2013; Boyce, Jeremy W/A-7514-2008; McCubbin, Francis/AAG-1095-2020; Santos, Alison/JCN-4852-2023; Day, James/A-5099-2010</t>
  </si>
  <si>
    <t>Day, James/0000-0001-9520-3465; Anand, Mahesh/0000-0003-4026-4476; BARNES, JESSICA/0000-0002-7151-1014; McCubbin, Francis/0000-0002-2101-4431; Schwenzer, Susanne Petra/0000-0002-9608-0759; Boyce, Jeremy/0000-0003-0648-2533</t>
  </si>
  <si>
    <t>UK Science and Technology Facilities Council [ST/L000776/1]; NASA Postdoctoral Program; NASA's Planetary Science Research Program; NSF; NASA; STFC [ST/P000657/1] Funding Source: UKRI</t>
  </si>
  <si>
    <t>UK Science and Technology Facilities Council(UK Research &amp; Innovation (UKRI)Science &amp; Technology Facilities Council (STFC)); NASA Postdoctoral Program(National Aeronautics &amp; Space Administration (NASA)); NASA's Planetary Science Research Program; NSF(National Science Foundation (NSF)); NASA(National Aeronautics &amp; Space Administration (NASA)); STFC(UK Research &amp; Innovation (UKRI)Science &amp; Technology Facilities Council (STFC))</t>
  </si>
  <si>
    <t>This work was supported by the UK Science and Technology Facilities Council (grant no. ST/L000776/1 to M.A. and I.A.F.). J.J.B. thanks the NASA Postdoctoral Program for the fellowship under which part of the data collection and all the manuscript writing was performed. F.M.M. was supported by NASA's Planetary Science Research Program. We thank the Meteorite Working Group and the curation office at NASA Johnson Space Center (JSC) for allocation of Antarctic meteorite ALH84001,7 and 205. The US Antarctic meteorite samples are recovered by the Antarctic Search for Meteorites (ANSMET) programme, which has been funded by NSF and NASA and characterized and curated by the Department of Mineral Sciences of the Smithsonian Institution and Astromaterials Acquisition and Curation Office at NASA JSC. A. Nguyen is thanked for her assistance with NanoSIMS operations at JSC. D. K. Ross is thanked for assistance with electron microprobe analysis at JSC.</t>
  </si>
  <si>
    <t>NATURE PUBLISHING GROUP</t>
  </si>
  <si>
    <t>75 VARICK ST, 9TH FLR, NEW YORK, NY 10013-1917 USA</t>
  </si>
  <si>
    <t>1752-0894</t>
  </si>
  <si>
    <t>1752-0908</t>
  </si>
  <si>
    <t>NAT GEOSCI</t>
  </si>
  <si>
    <t>Nat. Geosci.</t>
  </si>
  <si>
    <t>+</t>
  </si>
  <si>
    <t>10.1038/s41561-020-0552-y</t>
  </si>
  <si>
    <t>LD0MB</t>
  </si>
  <si>
    <t>WOS:000522379900001</t>
  </si>
  <si>
    <t>Robinson, SA; Klekociuk, AR; King, DH; Rojas, MP; Zúñiga, GE; Bergstrom, DM</t>
  </si>
  <si>
    <t>Robinson, Sharon A.; Klekociuk, Andrew R.; King, Diana H.; Rojas, Marisol Pizarro; Zuniga, Gustavo E.; Bergstrom, Dana M.</t>
  </si>
  <si>
    <t>The 2019/2020 summer of Antarctic heatwaves</t>
  </si>
  <si>
    <t>GLOBAL CHANGE BIOLOGY</t>
  </si>
  <si>
    <t>Letter</t>
  </si>
  <si>
    <t>POLAR DESERT</t>
  </si>
  <si>
    <t>This summer, a heatwave across Antarctica saw temperatures soar above average. Temperatures above zero are especially significant because they accelerate ice melt. Casey Station had its highest temperature ever, reaching a maximum of 9.2 degrees C and minimum of 2.5 degrees C. The highest temperature in Antarctica was 20.75 degrees C on 9 February. Here we discuss the biological implications of such extreme events.</t>
  </si>
  <si>
    <t>[Robinson, Sharon A.; King, Diana H.; Bergstrom, Dana M.] Univ Wollongong, Ctr Sustainable Ecosyst Solut, Sch Earth Atmosphere &amp; Life Sci, Northfields Ave, Wollongong, NSW 2522, Australia; [Robinson, Sharon A.; King, Diana H.; Bergstrom, Dana M.] Univ Wollongong, Global Challenges Program, Northfields Ave, Wollongong, NSW 2522, Australia; [Klekociuk, Andrew R.; Bergstrom, Dana M.] Dept Agr Water &amp; Environm, Australian Antarctic Div, Kingston, Tas, Australia; [Klekociuk, Andrew R.] Univ Tasmania, Australian Antarctic Program Partnership, Hobart, Tas, Australia; [Rojas, Marisol Pizarro; Zuniga, Gustavo E.] Univ Santiago Chile, Fac Quim &amp; Biol, Santiago, Chile; [Rojas, Marisol Pizarro; Zuniga, Gustavo E.] Univ Santiago Chile, CEDENNA, Santiago, Chile</t>
  </si>
  <si>
    <t>University of Wollongong; University of Wollongong; Australian Antarctic Division; University of Tasmania; Universidad de Santiago de Chile; Universidad de Santiago de Chile</t>
  </si>
  <si>
    <t>Robinson, SA (corresponding author), Univ Wollongong, Ctr Sustainable Ecosyst Solut, Sch Earth Atmosphere &amp; Life Sci, Northfields Ave, Wollongong, NSW 2522, Australia.;Robinson, SA (corresponding author), Univ Wollongong, Global Challenges Program, Northfields Ave, Wollongong, NSW 2522, Australia.</t>
  </si>
  <si>
    <t>sharonr@uow.edu.au</t>
  </si>
  <si>
    <t>Klekociuk, Andrew R/A-4498-2015; King, Diana/K-1061-2019; Bergstrom, Dana/AAC-2837-2022; Robinson, Sharon/B-2683-2008</t>
  </si>
  <si>
    <t>King, Diana/0000-0001-6313-4450; Bergstrom, Dana/0000-0001-8484-8954; Robinson, Sharon/0000-0002-7130-9617; Zuniga, Gustavo/0000-0002-8286-9468</t>
  </si>
  <si>
    <t>Australian Antarctic Division (DMB); Instituto Antartico Chileno; Australian Research Council Discovery projects [DP180100113, DP200100223]; Australian Antarctic Science projects [4516, 4387]; INACH project [RT_14-17]; Australian Research Council [DP200100223] Funding Source: Australian Research Council</t>
  </si>
  <si>
    <t>Australian Antarctic Division (DMB); Instituto Antartico Chileno; Australian Research Council Discovery projects(Australian Research Council); Australian Antarctic Science projects; INACH project; Australian Research Council(Australian Research Council)</t>
  </si>
  <si>
    <t>Fieldwork in Antarctica was supported by the Australian Antarctic Division (DMB) and the Instituto Antartico Chileno (GEZ, MPR). NCEP/NCAR Reanalysis 1 data provided by the NOAA/OAR/ESRL PSD, Boulder, Colorado, USA, from their web site at . This work is a contribution to Australian Research Council Discovery projects DP180100113 and DP200100223, Australian Antarctic Science projects 4516 (SAR, DHK, DMB) and 4387 (ARK) and INACH project RT_14-17 (GEZ, MPR, SAR).</t>
  </si>
  <si>
    <t>1354-1013</t>
  </si>
  <si>
    <t>1365-2486</t>
  </si>
  <si>
    <t>GLOBAL CHANGE BIOL</t>
  </si>
  <si>
    <t>Glob. Change Biol.</t>
  </si>
  <si>
    <t>10.1111/gcb.15083</t>
  </si>
  <si>
    <t>Biodiversity Conservation; Ecology; Environmental Sciences</t>
  </si>
  <si>
    <t>LQ9HK</t>
  </si>
  <si>
    <t>WOS:000522276500001</t>
  </si>
  <si>
    <t>Renner, SS; Barreda, VD; Tellería, MC; Palazzesi, L; Schuster, TM</t>
  </si>
  <si>
    <t>Renner, Susanne S.; Barreda, Viviana D.; Telleria, Maria Cristina; Palazzesi, Luis; Schuster, Tanja M.</t>
  </si>
  <si>
    <t>Early evolution of Coriariaceae (Cucurbitales) in light of a new early Campanian (ca. 82 Mya) pollen record from Antarctica</t>
  </si>
  <si>
    <t>TAXON</t>
  </si>
  <si>
    <t>Antarctica; biogeography; chromosome numbers; Cretaceous; deciduousness; Oligocene; pollen</t>
  </si>
  <si>
    <t>COMPARATIVE FLORAL STRUCTURE; CHROMOSOME ATLAS; ROOT-NODULES; CORYNOCARPACEAE; CLASSIFICATION; BIOGEOGRAPHY; SYSTEMATICS; MORPHOLOGY; PHYLOGENY; MAFFT</t>
  </si>
  <si>
    <t>Coriariaceae comprise only Coriaria, a genus of shrubs with nine species in Australasia (but excluding Australia), five in the Himalayas, Taiwan, the Philippines, and Japan, one in the Mediterranean, and one ranging from Patagonia to Mexico. The sister family, Corynocarpaceae, comprises five species of evergreen trees from New Guinea to New Zealand and Australia. This distribution has long fascinated biogeographers as potential support for Wegener's theory of continental drift, with alternative scenarios invoking either Antarctic or Beringian range expansions. Here, we present the discovery of pollen grains from Early Campanian (ca. 82 Mya) deposits in Antarctica, which we describe as Coriaripites goodii sp. nov., and newly generated nuclear and plastid molecular data for most of the family's species and its outgroup. This greatly expands the family's fossil record and is the so far oldest fossil of the order Cucurbitales. We used the phylogeny, new fossil, and an Oligocene flowering branch assigned to a small subclade of Coriaria to generate a chronogram and to study changes in chromosome number, deciduousness, and andromonoecy. Coriaria comprises a Northern (NH) and a Southern Hemisphere (SH) clade that diverged from each other in the Paleocene (ca. 57 Mya), with the SH clade reaching the New World once, through Antarctica, as supported by the fossil pollen. While the SH clade retained perfect flowers and evergreen leaves, the NH clade evolved andromonoecy and deciduousness. Polyploidy occurs in both clades and points to hybridization, matching weak species boundaries throughout the genus.</t>
  </si>
  <si>
    <t>[Renner, Susanne S.; Schuster, Tanja M.] Ludwig Maximilian Univ Munich LMU, Systemat Bot &amp; Mycol, Menzinger Str 67, D-80638 Munich, Germany; [Barreda, Viviana D.; Palazzesi, Luis] Museo Argentino Ciencias Nat Bernardino Rivadavia, Av Angel Gallardo 470,C1407DJR, Buenos Aires, DF, Argentina; [Telleria, Maria Cristina] Museo La Plata, Lab Sistemat &amp; Biol Evolut, B1900FWA, La Plata, Argentina</t>
  </si>
  <si>
    <t>University of Munich; Museo Argentino de Ciencias Naturales Bernardino Rivadavia (MACN); National University of La Plata; Museo La Plata</t>
  </si>
  <si>
    <t>Renner, SS (corresponding author), Ludwig Maximilian Univ Munich LMU, Systemat Bot &amp; Mycol, Menzinger Str 67, D-80638 Munich, Germany.</t>
  </si>
  <si>
    <t>renner@lmu.de</t>
  </si>
  <si>
    <t>Renner, Susanne S/J-8895-2014</t>
  </si>
  <si>
    <t>Renner, Susanne S/0000-0003-3704-0703; Palazzesi, Luis/0000-0001-8026-4679; Barreda, Viviana Dora/0000-0002-1560-1277; Schuster, Tanja M./0000-0003-0851-3372</t>
  </si>
  <si>
    <t>0040-0262</t>
  </si>
  <si>
    <t>1996-8175</t>
  </si>
  <si>
    <t>Taxon</t>
  </si>
  <si>
    <t>FEB</t>
  </si>
  <si>
    <t>10.1002/tax.12203</t>
  </si>
  <si>
    <t>Plant Sciences; Evolutionary Biology</t>
  </si>
  <si>
    <t>LJ6PX</t>
  </si>
  <si>
    <t>WOS:000522486400001</t>
  </si>
  <si>
    <t>Sutherland, DL; Howard-Williams, C; Ralph, P; Hawes, I</t>
  </si>
  <si>
    <t>Sutherland, Donna L.; Howard-Williams, Clive; Ralph, Peter; Hawes, Ian</t>
  </si>
  <si>
    <t>Environmental drivers that influence microalgal species in meltwater pools on the McMurdo Ice Shelf, Antarctica</t>
  </si>
  <si>
    <t>Climate change; Microbial mat communities; Environmental gradients; Functional communities</t>
  </si>
  <si>
    <t>JAMES-ROSS-ISLAND; SOUTHERN VICTORIA LAND; DIATOM FLORA; DRY VALLEYS; FRESH-WATER; COMMUNITY COMPOSITION; CYANOBACTERIAL MATS; MICROBIAL MATS; NORTHERN PART; SALINE LAKES</t>
  </si>
  <si>
    <t>Rich in both microbial mat biomass and species diversity, the meltwater ponds of the McMurdo Ice Shelf (MIS) form important biodiversity and productivity elements in an otherwise barren landscape. These ponds are thought to be sensitive indicators of climate change-driven fluxes in pond water balance but our ability to predict such effects is confounded by our poor understanding of the inherent variability of these communities in response to the physico-chemical environment. Understanding how microbial communities are shaped across broad physico-chemical gradients may allow better predictions of the effects of climate change on the MIS wetlands. Our study found that distinct clustering of community types against environmental variables was apparent for both the diatom and cyanobacterial communities. For diatoms, conductivity was correlated with the separation of five significantly distinct communities. Significant differences in NH4-N concentrations were correlated to the three distinct cyanobacterial communities but many of the cyanobacteria morphotypes were recorded across a wide ecological range. More distinct community types suggested that diatoms were more sensitive to environmental change in these ponds than the cyanobacteria, despite the latter's overall dominance. Distinct community clusters for diatoms, and to a lesser extent cyanobacteria, suggest that changes at a functional group level may be more important than at the level of individual species. Further understanding of diatom functional groups would provide us with the opportunity to hindcast past climates and water budgets within the Antarctic region. However, the disconnect between biomass and community composition currently prevents hindcasting past productivities in relation to environmental changes.</t>
  </si>
  <si>
    <t>[Sutherland, Donna L.; Ralph, Peter] Univ Technol Sydney, Climate Change Cluster, Ultimo, NSW 2007, Australia; [Sutherland, Donna L.; Howard-Williams, Clive] Natl Inst Water &amp; Atmospher Res Ltd NIWA, POB 8062, Christchurch, New Zealand; [Hawes, Ian] Univ Waikato, Dept Biol Sci, Hamilton, New Zealand</t>
  </si>
  <si>
    <t>University of Technology Sydney; National Institute of Water &amp; Atmospheric Research (NIWA) - New Zealand; University of Waikato</t>
  </si>
  <si>
    <t>Sutherland, DL (corresponding author), Univ Technol Sydney, Climate Change Cluster, Ultimo, NSW 2007, Australia.;Sutherland, DL (corresponding author), Natl Inst Water &amp; Atmospher Res Ltd NIWA, POB 8062, Christchurch, New Zealand.</t>
  </si>
  <si>
    <t>Donna.Sutherland@uts.edu.au; Clive.Howard-Williams@niwa.co.nz; Peter.Ralph@uts.edu.au; Ian.Hawes@waikato.ac.nz</t>
  </si>
  <si>
    <t>; Ralph, Peter/C-5029-2009</t>
  </si>
  <si>
    <t>Howard-Williams, Clive/0000-0002-8323-6806; Sutherland, Donna/0000-0002-2119-1120; Ralph, Peter/0000-0002-3103-7346; Hawes, Ian/0000-0003-2471-6903</t>
  </si>
  <si>
    <t>10.1007/s00300-020-02649-8</t>
  </si>
  <si>
    <t>WOS:000522177400001</t>
  </si>
  <si>
    <t>Coleine, C; Stajich, JE; Zucconi, L; Onofri, S; Selbmann, L</t>
  </si>
  <si>
    <t>Coleine, Claudia; Stajich, Jason E.; Zucconi, Laura; Onofri, Silvano; Selbmann, Laura</t>
  </si>
  <si>
    <t>Sun exposure drives Antarctic cryptoendolithic community structure and composition</t>
  </si>
  <si>
    <t>Antarctica; Cryptoendolithic communities; Sun exposure; DGGE; qPCR</t>
  </si>
  <si>
    <t>GRADIENT GEL-ELECTROPHORESIS; BLACK FUNGI; DRY VALLEYS; TEMPERATURE-VARIATIONS; CLIMATE-CHANGE; RESISTANCE; DESERT; MICROORGANISMS; IDENTIFICATION; MICROBIOLOGY</t>
  </si>
  <si>
    <t>The harsh environmental conditions of the ice-free regions of Continental Antarctica are considered one of the closest Martian analogues on Earth. There, rocks play a pivotal role as substratum for life and endolithism represents a primary habitat for microorganisms when external environmental conditions become incompatible with active life on rock surfaces, allowing life to spread throughout these regions with extreme temperatures and low water availability. Previous research concluded that altitude and distance from sea do not play as driving factors in shaping microbial abundance and diversity, while sun exposure was hypothesized as significant parameter influencing endolithic settlement and development. With this in mind, eight localities were visited in the Victoria Land along an altitudinal transect from 834 to 3100 m a.s.l. and 48 differently sun-exposed rocks were collected. We explored our hypothesis that changes in sun exposure translate to shifts in community composition and abundances of main biological compartments (fungi, algae and bacteria) using Denaturing Gel Gradient Electrophoresis and quantitative PCR techniques. Major changes in community composition and abundance occurred between north and south sun-exposed samples. As Antarctic endolithic ecosystems are extremely adapted and specialized but scarcely resilient to external perturbation, any shifts in community structure may serve as early-alarm systems of climate change; our findings will be of wide interest for microbial ecologists of extreme environments such as arid and hyper-arid area.</t>
  </si>
  <si>
    <t>[Coleine, Claudia; Zucconi, Laura; Onofri, Silvano; Selbmann, Laura] Univ Tuscia, Dept Ecol &amp; Biol Sci DEB, Viterbo, Italy; [Stajich, Jason E.] Univ Calif Riverside, Dept Microbiol &amp; Plant Pathol, Riverside, CA 92521 USA; [Stajich, Jason E.] Univ Calif Riverside, Inst Integrat Genome Biol, Riverside, CA 92521 USA; [Selbmann, Laura] Italian Natl Antarctic Museum MNA, Mycol Sect, Genoa, Italy</t>
  </si>
  <si>
    <t>Tuscia University; University of California System; University of California Riverside; University of California System; University of California Riverside</t>
  </si>
  <si>
    <t>Selbmann, L (corresponding author), Univ Tuscia, Dept Ecol &amp; Biol Sci DEB, Viterbo, Italy.;Selbmann, L (corresponding author), Italian Natl Antarctic Museum MNA, Mycol Sect, Genoa, Italy.</t>
  </si>
  <si>
    <t>selbmann@unitus.it</t>
  </si>
  <si>
    <t>Stajich, Jason Eric/C-7297-2008; Coleine, Claudia/AAE-1889-2020; Zucconi, L./U-9781-2018</t>
  </si>
  <si>
    <t>Stajich, Jason Eric/0000-0002-7591-0020; Coleine, Claudia/0000-0002-9289-6179; Zucconi, L./0000-0001-9793-2303</t>
  </si>
  <si>
    <t>Italian National Program for Antarctic Researches (PNRA); Italian Antarctic National Museum (MNA)</t>
  </si>
  <si>
    <t>L.S., C.C. and L.Z. wish to thank the Italian National Program for Antarctic Researches (PNRA) for funding sampling campaigns and researches activities in Italy in the frame of PNRA Projects. The Italian Antarctic National Museum (MNA) is acknowledged for financial support to the Mycological Section on the MNA for preserving Antarctic rock samples analysed in this study and stored in the Culture Collection of Fungi from Extreme Environments (CCFEE), University of Tuscia, Italy.</t>
  </si>
  <si>
    <t>10.1007/s00300-020-02650-1</t>
  </si>
  <si>
    <t>Green Submitted, Green Published</t>
  </si>
  <si>
    <t>WOS:000522177400002</t>
  </si>
  <si>
    <t>Ashmore, DW; Bingham, RG; Ross, N; Siegert, M; Jordan, TA; Mair, DWF</t>
  </si>
  <si>
    <t>Ashmore, David W.; Bingham, Robert G.; Ross, Neil; Siegert, Martin; Jordan, Tom A.; Mair, Douglas W. F.</t>
  </si>
  <si>
    <t>Englacial Architecture and Age-Depth Constraints Across the West Antarctic Ice Sheet</t>
  </si>
  <si>
    <t>GEOPHYSICAL RESEARCH LETTERS</t>
  </si>
  <si>
    <t>Ice penetrating radar; Englacial stratigraphy; West Antarctica; Radio echo sounding; Holocene; AntArchitecture</t>
  </si>
  <si>
    <t>WEDDELL SEA SECTOR; CONTINENT-WIDE; CORE SITE; DOME C; FLOW; ACCUMULATION; STRATIGRAPHY; SURFACE; BED; INSTITUTE</t>
  </si>
  <si>
    <t>The englacial stratigraphic architecture of internal reflection horizons (IRHs) as imaged by ice-penetrating radar (IPR) across ice sheets reflects the cumulative effects of surface mass balance, basal melt, and ice flow. IRHs, considered isochrones, have typically been traced in interior, slow-flowing regions. Here, we identify three distinctive IRHs spanning the Institute and Moller catchments that cover 50% of West Antarctica's Weddell Sea Sector and are characterized by a complex system of ice stream tributaries. We place age constraints on IRHs through their intersections with previous geophysical surveys tied to Byrd Ice Core and by age-depth modeling. We further show where the oldest ice likely exists within the region and that Holocene ice-dynamic changes were limited to the catchment's lower reaches. The traced IRHs from this study have clear potential to nucleate a wider continental-scale IRH database for validating ice sheet models. Plain Language Summary Ice-penetrating radar is widely used to measure the thickness of ice sheets, critical to assessments of global sea level rise potential. This technique also captures reflections from chemical contrasts within the ice sheet, caused by the atmospheric deposition of conductive impurities, known as internal reflection horizons (IRHs) that can be traced over large distances. As these deposits are laid down in distinct events, most IRHs are isochronous age tracers and contain valuable information on past ice sheet processes. In this paper we trace and place age constraints on stratigraphic horizons across a large portion of the West Antarctic Ice Sheet, including regions where fast ice flow has disrupted the ice sheet stratigraphy. The resulting data set allows us to identify where the oldest ice is buried in the study region and provides evidence that flow of the ice sheet interior has been stable during the Holocene. Our results can be used to test the performance of ice sheet models, which seek to simulate the response of ice sheets to long-term environmental change.</t>
  </si>
  <si>
    <t>[Ashmore, David W.; Mair, Douglas W. F.] Univ Liverpool, Sch Environm Sci, Liverpool, Merseyside, England; [Bingham, Robert G.] Univ Edinburgh, Sch GeoSci, Edinburgh, Midlothian, Scotland; [Ross, Neil] Newcastle Univ, Sch Geog Polit &amp; Sociol, Newcastle Upon Tyne, Tyne &amp; Wear, England; [Siegert, Martin] Imperial Coll London, Grantham Inst, London, England; [Siegert, Martin] Imperial Coll London, Dept Earth Sci &amp; Engn, London, England; [Jordan, Tom A.] British Antarctic Survey, Cambridge, England</t>
  </si>
  <si>
    <t>University of Liverpool; University of Edinburgh; Newcastle University - UK; Imperial College London; Imperial College London; UK Research &amp; Innovation (UKRI); Natural Environment Research Council (NERC); NERC British Antarctic Survey</t>
  </si>
  <si>
    <t>Ashmore, DW (corresponding author), Univ Liverpool, Sch Environm Sci, Liverpool, Merseyside, England.</t>
  </si>
  <si>
    <t>d.ashmore@liverpool.ac.uk</t>
  </si>
  <si>
    <t>Bingham, Robert G/G-3576-2017; Siegert, Martin/M-9939-2019</t>
  </si>
  <si>
    <t>Siegert, Martin/0000-0002-0090-4806; Mair, Douglas/0000-0001-7009-5461; Ashmore, David/0000-0003-4829-7854; Jordan, Tom/0000-0003-2780-1986</t>
  </si>
  <si>
    <t>Trans-Antarctic Association [TAA-01-19]; NERC [NE/J005665/2, bas0100029, NE/G00465X/3] Funding Source: UKRI</t>
  </si>
  <si>
    <t>Trans-Antarctic Association; NERC(UK Research &amp; Innovation (UKRI)Natural Environment Research Council (NERC))</t>
  </si>
  <si>
    <t>D. W. A. would like to thank the Trans-Antarctic Association for Grant TAA-01-19 that allowed him to present and exchange ideas at the 2019 International Glaciological Society Radioglaciology Symposium. Thanks to the editor, Mattieu Morlighem, and Marie Cavitte and Joe MacGregor for their constructive and insightful comments. This paper was stimulated by the AntArchitecture Action Group of the Scientific Committee for Antarctic Research. Mapped IRHs are available online (https://doi.org/10.5281/zenodo.3635940).IMAFI IPR data were collected under NERC NE/G013071/1 and available from Siegert et al. (2017).</t>
  </si>
  <si>
    <t>AMER GEOPHYSICAL UNION</t>
  </si>
  <si>
    <t>2000 FLORIDA AVE NW, WASHINGTON, DC 20009 USA</t>
  </si>
  <si>
    <t>0094-8276</t>
  </si>
  <si>
    <t>1944-8007</t>
  </si>
  <si>
    <t>GEOPHYS RES LETT</t>
  </si>
  <si>
    <t>Geophys. Res. Lett.</t>
  </si>
  <si>
    <t>MAR 28</t>
  </si>
  <si>
    <t>e2019GL086663</t>
  </si>
  <si>
    <t>10.1029/2019GL086663</t>
  </si>
  <si>
    <t>LH9IV</t>
  </si>
  <si>
    <t>hybrid, Green Accepted, Green Published</t>
  </si>
  <si>
    <t>WOS:000529097700028</t>
  </si>
  <si>
    <t>Swart, S; du Plessis, MD; Thompson, AF; Biddle, LC; Giddy, I; Linders, T; Mohrmann, M; Nicholson, SA</t>
  </si>
  <si>
    <t>Swart, Sebastiaan; du Plessis, Marcel D.; Thompson, Andrew F.; Biddle, Louise C.; Giddy, Isabelle; Linders, Torsten; Mohrmann, Martin; Nicholson, Sarah-Anne</t>
  </si>
  <si>
    <t>Submesoscale Fronts in the Antarctic Marginal Ice Zone and Their Response to Wind Forcing</t>
  </si>
  <si>
    <t>submesoscales; mixed-layer; sea-ice; Southern Ocean; air-sea fluxes; gliders</t>
  </si>
  <si>
    <t>HORIZONTAL DENSITY STRUCTURE; SOUTHERN-OCEAN; SEA-ICE; MIXED-LAYER; SEASONAL RESTRATIFICATION; ARCTIC-OCEAN; EDDIES; VARIABILITY; CYCLE</t>
  </si>
  <si>
    <t>Submesoscale flows in the ocean are energetic motions, O(1-10 km), that influence stratification and the distributions of properties, such as heat and carbon. They are believed to play an important role in sea-ice-impacted oceans by modulating air-sea-ice fluxes and sea-ice extent. The intensity of these flows and their response to wind forcing are unobserved in the sea-ice regions of the Southern Ocean. We present the first submesoscale-resolving observations in the Antarctic marginal ice zone (MIZ) collected by surface and underwater autonomous vehicles, for &gt;3 months in austral summer. We observe salinity-dominated lateral density fronts occurring at sub-kilometer scales. Surface winds are shown to modify the magnitude of the mixed-layer density fronts, revealing strongly coupled atmosphere-ocean processes. We posture that these wind-front interactions occur as a continuous interplay between front slumping and vertical mixing, which leads to the dispersion of submesoscale fronts. Such processes are expected to be ubiquitous in the Southern Ocean MIZ. Plain Language Summary Satellite radar imagery shows evidence of 1-10 km eddies and jets in the ocean adjacent to the sea-ice edge around Antarctica. We use field observations of temperature, salinity, and wind speed from autonomous robotic platforms deployed in the sea-ice zone for &gt;3 months. These measurements provide estimates of the surface ocean density fronts which are controlled primarily by lateral variations in salinity. We show that, during high wind speeds, these surface fronts temporarily dissipate, indicating an atmosphere-ocean coupling occurring at the submesoscale. The fronts strengthen again during low wind speed, which is thought to be because the stirring of the fresher surface layer by mesoscale eddies leads to the generation of the submesoscale fronts. Providing in situ observations of such features improves our understanding of the small-scale ocean and climate processes at play, such as how heat and carbon may exchange between the atmosphere and the ocean.</t>
  </si>
  <si>
    <t>[Swart, Sebastiaan; Biddle, Louise C.; Giddy, Isabelle; Linders, Torsten; Mohrmann, Martin] Univ Gothenburg, Dept Marine Sci, Gothenburg, Sweden; [Swart, Sebastiaan; du Plessis, Marcel D.; Giddy, Isabelle] Univ Cape Town, Dept Oceanog, Rondebosch, South Africa; [du Plessis, Marcel D.; Nicholson, Sarah-Anne] CSIR, SOCCO, Cape Town, South Africa; [Thompson, Andrew F.] CALTECH, Environm Sci &amp; Engn, Pasadena, CA 91125 USA</t>
  </si>
  <si>
    <t>University of Gothenburg; University of Cape Town; Council for Scientific &amp; Industrial Research (CSIR) - South Africa; California Institute of Technology</t>
  </si>
  <si>
    <t>Swart, S (corresponding author), Univ Gothenburg, Dept Marine Sci, Gothenburg, Sweden.;Swart, S (corresponding author), Univ Cape Town, Dept Oceanog, Rondebosch, South Africa.</t>
  </si>
  <si>
    <t>sebastiaan.swart@marine.gu.se</t>
  </si>
  <si>
    <t>Nicholson, Sarah-Anne/AAN-2655-2021; Linders, Torsten/N-6802-2017; Swart, Sebastiaan/U-5498-2017</t>
  </si>
  <si>
    <t>Nicholson, Sarah-Anne/0000-0002-1226-1828; Biddle, Louise/0000-0002-4785-1959; Linders, Torsten/0000-0002-5962-7532; du Plessis, Marcel/0000-0003-2759-2467; Swart, Sebastiaan/0000-0002-2251-8826</t>
  </si>
  <si>
    <t>Wallenberg Academy Fellowship [WAF 2015.0186]; Swedish Research Council [VR 2019-04400]; STINT-NRF Mobility Grant; NRF-SANAP [SNA170522231782]; Terrestrial Hazard Observations and Reporting (THOR); ONR [N00014-19-1-2421]; Swedish Research Council [2019-04400] Funding Source: Swedish Research Council</t>
  </si>
  <si>
    <t>Wallenberg Academy Fellowship; Swedish Research Council(Swedish Research Council); STINT-NRF Mobility Grant; NRF-SANAP; Terrestrial Hazard Observations and Reporting (THOR); ONR(Office of Naval Research); Swedish Research Council(Swedish Research Council)</t>
  </si>
  <si>
    <t>This work was supported by the following grants: Wallenberg Academy Fellowship (WAF 2015.0186), Swedish Research Council (VR 2019-04400), STINT-NRF Mobility Grant and NRF-SANAP (SNA170522231782), and AFT was supported by the Terrestrial Hazard Observations and Reporting (THOR) and ONR (N00014-19-1-2421). We thank Sea Technology Services (STS), SANAP, the captain and crew of the S.A. Agulhas II for their field-work/technical assistance. We thank David Peddie of Offshore Sensing AS for assistance with the Sailbuoy. S.S. is grateful to Geoff Shilling and Craig Lee (APL, University of Washington) for hosting the gliders on IOP and the technical advice provided. ERA5 data are generated using Copernicus Climate Change Service Information, available online (www.ecmwf.int/en/forecasts/datasets/archive-datasets/reanalysis-datasets/era5).Data are available online (ftp://roammiz.com via anonymous login).</t>
  </si>
  <si>
    <t>e2019GL086649</t>
  </si>
  <si>
    <t>10.1029/2019GL086649</t>
  </si>
  <si>
    <t>WOS:000529097700038</t>
  </si>
  <si>
    <t>Sedlar, J; Tjernström, M; Rinke, A; Orr, A; Cassano, J; Fettweis, X; Heinemann, G; Seefeldt, M; Solomon, A; Matthes, H; Phillips, T; Webster, S</t>
  </si>
  <si>
    <t>Sedlar, Joseph; Tjernstrom, Michael; Rinke, Annette; Orr, Andrew; Cassano, John; Fettweis, Xavier; Heinemann, Guenther; Seefeldt, Mark; Solomon, Amy; Matthes, Heidrun; Phillips, Tony; Webster, Stuart</t>
  </si>
  <si>
    <t>Confronting Arctic Troposphere, Clouds, and Surface Energy Budget Representations in Regional Climate Models With Observations</t>
  </si>
  <si>
    <t>JOURNAL OF GEOPHYSICAL RESEARCH-ATMOSPHERES</t>
  </si>
  <si>
    <t>BOUNDARY-LAYER; SEA-ICE; THERMODYNAMIC STRUCTURE; VERTICAL MOTIONS; SCALE MODELS; MASS-BALANCE; WATER-VAPOR; HEAT-BUDGET; WARM-AIR; SUMMER</t>
  </si>
  <si>
    <t>A coordinated regional climate model (RCM) evaluation and intercomparison project based on observations from a July-October 2014 trans-Arctic Ocean field experiment (ACSE-Arctic Clouds during Summer Experiment) is presented. Six state-of-the-art RCMs were constrained with common reanalysis lateral boundary forcing and upper troposphere nudging techniques to explore how the RCMs represented the evolution of the surface energy budget (SEB) components and their relation to cloud properties. We find that the main reasons for the modeled differences in the SEB components are a direct consequence of the RCM treatment of cloud and cloud-radiative interactions. The RCMs could be separated into groups by their overestimation or underestimation of cloud liquid. While radiative and turbulent heat flux errors were relatively large, they often invoke compensating errors. In addition, having the surface sea-ice concentrations constrained by the reanalysis or satellite observations limited how errors in the modeled radiative fluxes could affect the SEB and ultimately the surface evolution and its coupling with lower tropospheric mixing and cloud properties. Many of these results are consistent with RCM biases reported in studies over a decade ago. One of the six models was a fully coupled ocean-ice-atmosphere model. Despite the biases in overestimating cloud liquid, and associated SEB errors due to too optically thick clouds, its simulations were useful in understanding how the fully coupled system is forced by, and responds to, the SEB evolution. Moving forward, we suggest that development of RCM studies need to consider the fully coupled climate system.</t>
  </si>
  <si>
    <t>[Sedlar, Joseph; Cassano, John; Seefeldt, Mark; Solomon, Amy] Univ Colorado, Cooperat Inst Res Environm Sci, Boulder, CO 80309 USA; [Sedlar, Joseph] NOAA, Global Monitoring Div, Earth Syst Res Lab, Boulder, CO 80305 USA; [Tjernstrom, Michael] Stockholm Univ, Dept Meteorol, Stockholm, Sweden; [Tjernstrom, Michael] Stockholm Univ, Bert Bolin Ctr Climate Res, Stockholm, Sweden; [Rinke, Annette; Matthes, Heidrun] Helmholtz Ctr Polar &amp; Marie Res, Alfred Wegener Inst, Potsdam, Germany; [Orr, Andrew; Phillips, Tony] British Antarctic Survey, Natl Environm Res Council, Cambridge, England; [Cassano, John] Univ Colorado, Dept Atmospher &amp; Ocean Sci, Boulder, CO 80309 USA; [Fettweis, Xavier] Univ Liege, Dept Geog, Liege, Belgium; [Heinemann, Guenther] Univ Trier, Dept Environm Meteorol, Trier, Germany; [Solomon, Amy] NOAA, Phys Sci Div, Earth Syst Res Lab, Boulder, CO USA; [Webster, Stuart] Met Off, Exeter, Devon, England</t>
  </si>
  <si>
    <t>University of Colorado System; University of Colorado Boulder; National Oceanic Atmospheric Admin (NOAA) - USA; Stockholm University; Stockholm University; Helmholtz Association; Alfred Wegener Institute, Helmholtz Centre for Polar &amp; Marine Research; UK Research &amp; Innovation (UKRI); Natural Environment Research Council (NERC); NERC British Antarctic Survey; University of Colorado System; University of Colorado Boulder; University of Liege; Universitat Trier; National Oceanic Atmospheric Admin (NOAA) - USA; Met Office - UK</t>
  </si>
  <si>
    <t>Sedlar, J (corresponding author), Univ Colorado, Cooperat Inst Res Environm Sci, Boulder, CO 80309 USA.;Sedlar, J (corresponding author), NOAA, Global Monitoring Div, Earth Syst Res Lab, Boulder, CO 80305 USA.</t>
  </si>
  <si>
    <t>joseph.sedlar@colorado.edu</t>
  </si>
  <si>
    <t>Solomon, Amy B/L-8988-2013; Cassano, John/HKW-8817-2023; Matthes, Heidrun/N-1833-2018; Sedlar, Joseph/AAD-1060-2022; amplification, ³ - Arctic/AAU-6640-2020; Seefeldt, Mark W/D-3121-2011; Rinke, Annette/B-4922-2014</t>
  </si>
  <si>
    <t>Matthes, Heidrun/0000-0001-9913-7696; Sedlar, Joseph/0000-0003-3101-9401; Seefeldt, Mark W/0000-0003-0719-2570; Tjernstrom, Michael/0000-0002-6908-7410; Phillips, Tony/0000-0002-3058-9157; SOLOMON, AMY/0000-0002-8966-6727; Rinke, Annette/0000-0002-6685-9219; CASSANO, JOHN/0000-0003-3176-3978; Fettweis, Xavier/0000-0002-4140-3813</t>
  </si>
  <si>
    <t>Federal Ministry of Education and Research (BMBF) [03F0776D]; Deutsche Forschungsgemeinschaft (DFG, German Research Foundation) within the Transregional Collaborative Research Center ArctiC Amplification: Climate Relevant Atmospheric and SurfaCe Processes, and Feedback Mechanisms (AC)3 [268020496-TRR 172]; NOAA/ESRL Physical Science Division; Regional and Global Model Analysis (RGMA) component of the U.S. Department of Energy's Office of Science; NERC [bas0100032] Funding Source: UKRI</t>
  </si>
  <si>
    <t>Federal Ministry of Education and Research (BMBF)(Federal Ministry of Education &amp; Research (BMBF)); Deutsche Forschungsgemeinschaft (DFG, German Research Foundation) within the Transregional Collaborative Research Center ArctiC Amplification: Climate Relevant Atmospheric and SurfaCe Processes, and Feedback Mechanisms (AC)3(German Research Foundation (DFG)); NOAA/ESRL Physical Science Division; Regional and Global Model Analysis (RGMA) component of the U.S. Department of Energy's Office of Science(United States Department of Energy (DOE)); NERC(UK Research &amp; Innovation (UKRI)Natural Environment Research Council (NERC))</t>
  </si>
  <si>
    <t>We thank the ECMWF for making reanalysis products freely available. The CCLM contribution (G. H.) was funded by the Federal Ministry of Education and Research (BMBF) under grant 03F0776D (CATS). A. R. acknowledges the funding by the Deutsche Forschungsgemeinschaft (DFG, German Research Foundation)project 268020496-TRR 172, within the Transregional Collaborative Research Center ArctiC Amplification: Climate Relevant Atmospheric and SurfaCe Processes, and Feedback Mechanisms (AC)3. A. S. acknowledges support from NOAA/ESRL Physical Science Division in supporting CAFS. M. S. acknowledges that the wrf_cu effort was supported by the Regional and Global Model Analysis (RGMA) component of the U.S. Department of Energy's Office of Science, as contribution to the HiLAT-RASM project. The observational and regional climate model data sets used in this study have been merged into two NetCDF files and are published and freely available from the following web address: https://bolin.su.se/data/swerus-2014-rcm-metobs (Sedlar, 2020).</t>
  </si>
  <si>
    <t>2169-897X</t>
  </si>
  <si>
    <t>2169-8996</t>
  </si>
  <si>
    <t>J GEOPHYS RES-ATMOS</t>
  </si>
  <si>
    <t>J. Geophys. Res.-Atmos.</t>
  </si>
  <si>
    <t>MAR 27</t>
  </si>
  <si>
    <t>e2019JD031783</t>
  </si>
  <si>
    <t>10.1029/2019JD031783</t>
  </si>
  <si>
    <t>Meteorology &amp; Atmospheric Sciences</t>
  </si>
  <si>
    <t>LH9NV</t>
  </si>
  <si>
    <t>WOS:000529111600040</t>
  </si>
  <si>
    <t>Li, FJ; Pandey, P; Janussen, D; Chittiboyina, AG; Ferreira, D; Tasdemir, D</t>
  </si>
  <si>
    <t>Li, Fengjie; Pandey, Pankaj; Janussen, Dorte; Chittiboyina, Amar G.; Ferreira, Daneel; Tasdemir, Deniz</t>
  </si>
  <si>
    <t>Tridiscorhabdin and Didiscorhabdin, the First Discorhabdin Oligomers Linked with a Direct C-N Bridge from the Sponge Latrunculia biformis Collected from the Deep Sea in Antarctica</t>
  </si>
  <si>
    <t>JOURNAL OF NATURAL PRODUCTS</t>
  </si>
  <si>
    <t>CYTOTOXIC PYRROLOIMINOQUINONES; NATURAL-PRODUCTS; ALKALOIDS; MODELS</t>
  </si>
  <si>
    <t>Guided by LC-MS/MS molecular networking-based metabolomics and cytotoxic activity, two new discorhabdin-type alkaloids, tridiscorhabdin (1) and didiscorhabdin (2), were isolated from the sponge Latrunculia biformis, collected from the Weddell Sea (Antarctica) at -291 m depth. Their structures were established by HRESIMS, NMR, [alpha](D), and ECD data coupled with DFT calculations. Both compounds bear a novel C-N bridge (C-1/N-13) between discorhabdin monomers, and 1 represents the first trimeric discorhabdin molecule isolated from Nature. Tridiscorhabdin (1) exhibited strong cytotoxic activity against the human colon cancer cell line HCT-116 (IC50 value 0.31 mu M).</t>
  </si>
  <si>
    <t>[Li, Fengjie; Tasdemir, Deniz] GEOMAR Helmholtz Ctr Ocean Res Kiel, Res Unit Marine Nat Prod Chem, GEOMAR Ctr Marine Biotechnol GEOMAR Biotech, D-24106 Kiel, Germany; [Tasdemir, Deniz] Univ Kiel, Fac Math &amp; Nat Sci, Olshaussenstr 40, D-24118 Kiel, Germany; [Pandey, Pankaj; Chittiboyina, Amar G.; Ferreira, Daneel] Univ Mississippi, Sch Pharm, Natl Ctr Nat Prod Res, Div Pharmacognosy, University, MS 38677 USA; [Pandey, Pankaj; Chittiboyina, Amar G.; Ferreira, Daneel] Univ Mississippi, Sch Pharm, Dept Biomol Sci, Div Pharmacognosy, University, MS 38677 USA; [Janussen, Dorte] Senckenberg Res Inst, D-60325 Frankfurt, Germany; [Janussen, Dorte] Nat Hist Museum, D-60325 Frankfurt, Germany</t>
  </si>
  <si>
    <t>Helmholtz Association; GEOMAR Helmholtz Center for Ocean Research Kiel; University of Kiel; University of Mississippi; University of Mississippi; Senckenberg Gesellschaft fur Naturforschung (SGN)</t>
  </si>
  <si>
    <t>Tasdemir, D (corresponding author), GEOMAR Helmholtz Ctr Ocean Res Kiel, Res Unit Marine Nat Prod Chem, GEOMAR Ctr Marine Biotechnol GEOMAR Biotech, D-24106 Kiel, Germany.;Tasdemir, D (corresponding author), Univ Kiel, Fac Math &amp; Nat Sci, Olshaussenstr 40, D-24118 Kiel, Germany.</t>
  </si>
  <si>
    <t>dtasdemir@geomar.de</t>
  </si>
  <si>
    <t>Pandey, Pankaj/AAW-4910-2020; Chittiboyina, Amar G/F-4898-2016</t>
  </si>
  <si>
    <t>Pandey, Pankaj/0000-0001-9128-8254; Chittiboyina, Amar G/0000-0002-7047-5373; li, Fengjie/0000-0001-7825-7509; Tasdemir, Deniz/0000-0002-7841-6271</t>
  </si>
  <si>
    <t>China Scholarship Council; Deutsche Forschungsgemeinschaft (DFG) [JA 1063/17-1]; NSF [MRI 1338056]</t>
  </si>
  <si>
    <t>China Scholarship Council(China Scholarship Council); Deutsche Forschungsgemeinschaft (DFG)(German Research Foundation (DFG)); NSF(National Science Foundation (NSF))</t>
  </si>
  <si>
    <t>The China Scholarship Council is acknowledged for a Ph.D. scholarship to F.L. D.J. thanks the Deutsche Forschungsgemeinschaft (DFG) for financial support in her Antarctic sponge research (JA 1063/17-1). We thank J. Heumann for performing the cytotoxicity assays and J. Grotzinger for granting access to the ECD spectrometer. Supercomputer support is acknowledged from NSF (No. MRI 1338056) and the Mississippi Center for Supercomputer Research.</t>
  </si>
  <si>
    <t>AMER CHEMICAL SOC</t>
  </si>
  <si>
    <t>1155 16TH ST, NW, WASHINGTON, DC 20036 USA</t>
  </si>
  <si>
    <t>0163-3864</t>
  </si>
  <si>
    <t>1520-6025</t>
  </si>
  <si>
    <t>J NAT PROD</t>
  </si>
  <si>
    <t>J. Nat. Prod.</t>
  </si>
  <si>
    <t>10.1021/acs.jnatprod.0c00023</t>
  </si>
  <si>
    <t>Plant Sciences; Chemistry, Medicinal; Pharmacology &amp; Pharmacy</t>
  </si>
  <si>
    <t>Science Citation Index Expanded (SCI-EXPANDED); Index Chemicus (IC)</t>
  </si>
  <si>
    <t>Plant Sciences; Pharmacology &amp; Pharmacy</t>
  </si>
  <si>
    <t>LD8VT</t>
  </si>
  <si>
    <t>WOS:000526306000017</t>
  </si>
  <si>
    <t>Humple, DL; Cormier, RL; Richardson, TW; Burnett, RD; Seavy, NE; Dybala, KE; Gardali, T</t>
  </si>
  <si>
    <t>Humple, Diana L.; Cormier, Renee L.; Richardson, T. Will; Burnett, Ryan D.; Seavy, Nathaniel E.; Dybala, Kristen E.; Gardali, Thomas</t>
  </si>
  <si>
    <t>Migration tracking reveals geographic variation in the vulnerability of a Nearctic-Neotropical migrant bird</t>
  </si>
  <si>
    <t>SCIENTIFIC REPORTS</t>
  </si>
  <si>
    <t>CLIMATE-CHANGE; POPULATION; ROUTES</t>
  </si>
  <si>
    <t>We compared the vulnerability of a Nearctic-Neotropical migrant (Swainson's Thrush, Catharus ustulatus) for three geographically-defined breeding populations in California by linking breeding and wintering regions, estimating migration distances, and quantifying relative forest loss. Using data from light-level geolocator and GPS tags, we found that breeding birds from the relatively robust coastal population in the San Francisco Bay area wintered predominantly in western Mexico (n = 18), whereas the far rarer breeding birds from two inland populations that occur near one another in the Sierra Nevada and southern Cascades mountain ranges migrated to farther wintering destinations, with birds from the Lassen region (n = 5) predominantly going to Central America and birds from the Tahoe region (n = 7) predominantly to South America. Landscape-level relative forest loss was greater in the breeding and wintering regions of the two Cascade-Sierra populations than those of coastal birds. Longer migration distances and greater exposure to recent forest loss suggest greater current vulnerability of Cascade-Sierra birds. Our results demonstrate that for some species, quantifying migration distances and destinations across relatively small distances among breeding populations (in this case, 140-250 km apart) can identify dramatically different vulnerabilities that need to be considered in conservation planning.</t>
  </si>
  <si>
    <t>[Humple, Diana L.; Cormier, Renee L.; Burnett, Ryan D.; Seavy, Nathaniel E.; Dybala, Kristen E.; Gardali, Thomas] Point Blue Conservat Sci, 3820 Cypress Dr 11, Petaluma, CA 94954 USA; [Richardson, T. Will] Tahoe Inst Nat Sci, 948 Incline Way, Incline Village, NV 89451 USA; [Seavy, Nathaniel E.] Natl Audubon Soc, 220 Montgomery St,Suite 1000, San Francisco, CA 94104 USA</t>
  </si>
  <si>
    <t>Humple, DL (corresponding author), Point Blue Conservat Sci, 3820 Cypress Dr 11, Petaluma, CA 94954 USA.</t>
  </si>
  <si>
    <t>dhumple@pointblue.org</t>
  </si>
  <si>
    <t>Dybala, Kristen/P-4629-2015; Cormier, Renee/JNE-2787-2023</t>
  </si>
  <si>
    <t>Dybala, Kristen/0000-0002-2787-4600;</t>
  </si>
  <si>
    <t>March Conservation Fund; Richard Grand Foundation; Sacramento and Sierra Foothill Audubon Society chapters; Point Reyes National Seashore; Golden Gate National Recreation Area; Marin County Parks; TomKat Ranch; USDA Forest Service</t>
  </si>
  <si>
    <t>March Conservation Fund; Richard Grand Foundation; Sacramento and Sierra Foothill Audubon Society chapters; Point Reyes National Seashore; Golden Gate National Recreation Area; Marin County Parks; TomKat Ranch; USDA Forest Service(United States Department of Agriculture (USDA)United States Forest Service)</t>
  </si>
  <si>
    <t>We thank the March Conservation Fund, the Richard Grand Foundation, and the Sacramento and Sierra Foothill Audubon Society chapters for funding; Migrate Technology Ltd (especially James Fox), Lotek Wireless, and British Antarctic Survey for logistical support; Point Blue intern and staff field assistants; Point Reyes National Seashore, Golden Gate National Recreation Area, Marin County Parks, TomKat Ranch, and USDA Forest Service for site access and support; and the US Bird Banding Lab for permitting support. This is Point Blue Conservation Science contribution #2275 and Tahoe Institute for Natural Science contribution #118.</t>
  </si>
  <si>
    <t>NATURE PORTFOLIO</t>
  </si>
  <si>
    <t>BERLIN</t>
  </si>
  <si>
    <t>HEIDELBERGER PLATZ 3, BERLIN, 14197, GERMANY</t>
  </si>
  <si>
    <t>2045-2322</t>
  </si>
  <si>
    <t>SCI REP-UK</t>
  </si>
  <si>
    <t>Sci Rep</t>
  </si>
  <si>
    <t>MAR 26</t>
  </si>
  <si>
    <t>10.1038/s41598-020-62132-6</t>
  </si>
  <si>
    <t>NF5JG</t>
  </si>
  <si>
    <t>WOS:000563332000001</t>
  </si>
  <si>
    <t>Remsberg, E; Harvey, VL; Krueger, A; Gordley, L; Gille, JC; Russell, JM</t>
  </si>
  <si>
    <t>Remsberg, Ellis; Harvey, V. Lynn; Krueger, Arlin; Gordley, Larry; Gille, John C.; Russell, James M., III</t>
  </si>
  <si>
    <t>Technical note: LIMS observations of lower stratospheric ozone in the southern polar springtime of 1978</t>
  </si>
  <si>
    <t>ATMOSPHERIC CHEMISTRY AND PHYSICS</t>
  </si>
  <si>
    <t>NITRIC-ACID; DEPLETION; ANTARCTICA</t>
  </si>
  <si>
    <t>The Nimbus 7 Limb Infrared Monitor of the Stratosphere (LIMS) instrument operated from 25 October 1978 through 28 May 1979. This note focuses on its Version 6 (V6) data and indications of ozone loss in the lower stratosphere of the Southern Hemisphere subpolar region during the last week of October 1978. We provide profiles and maps that show V6 ozone values of only 2 to 3 ppmv at 46 hPa within the edge of the polar vortex near 60 degrees S from late October through mid-November 1978. There are also low values of V6 nitric acid (similar to 3 to 6 ppbv) and nitrogen dioxide (&lt; 1 ppbv) at the same locations, indicating that conditions were suitable for a chemical loss of Antarctic ozone some weeks earlier. These first light LIMS observations provide the earliest space-based view of conditions within the lower stratospheric ozone layer of the southern polar region in springtime.</t>
  </si>
  <si>
    <t>[Remsberg, Ellis] NASA, Langley Res Ctr, Sci Directorate, 21 Langley Blvd,Mail Stop 401B, Hampton, VA 23681 USA; [Harvey, V. Lynn] Univ Colorado, Lab Atmospher &amp; Space Phys, 3665 Discovery Dr, Boulder, CO 80303 USA; [Krueger, Arlin] NASA, Goddard Space Flight Ctr, Code 614, Greenbelt, MD 20771 USA; [Gordley, Larry] GATS Inc, 11864 Canon Blvd,Suite 101, Newport News, VA 23606 USA; [Gille, John C.] Natl Ctr Atmospher Res, POB 3000, Boulder, CO 80307 USA; [Russell, James M., III] Hampton Univ, Ctr Atmospher Sci, Hampton, VA 23668 USA</t>
  </si>
  <si>
    <t>National Aeronautics &amp; Space Administration (NASA); NASA Langley Research Center; University of Colorado System; University of Colorado Boulder; National Aeronautics &amp; Space Administration (NASA); NASA Goddard Space Flight Center; National Center Atmospheric Research (NCAR) - USA; Hampton University</t>
  </si>
  <si>
    <t>Remsberg, E (corresponding author), NASA, Langley Res Ctr, Sci Directorate, 21 Langley Blvd,Mail Stop 401B, Hampton, VA 23681 USA.</t>
  </si>
  <si>
    <t>ellis.e.remsberg@nasa.gov</t>
  </si>
  <si>
    <t>; HARVEY, V LYNN/M-3995-2017</t>
  </si>
  <si>
    <t>Remsberg, Ellis/0000-0002-6452-2794; HARVEY, V LYNN/0000-0002-7928-0804</t>
  </si>
  <si>
    <t>NASA Langley Research Center</t>
  </si>
  <si>
    <t>NASA Langley Research Center(National Aeronautics &amp; Space Administration (NASA))</t>
  </si>
  <si>
    <t>This research has been supported by the NASA Langley Research Center (Science Directorate).</t>
  </si>
  <si>
    <t>COPERNICUS GESELLSCHAFT MBH</t>
  </si>
  <si>
    <t>GOTTINGEN</t>
  </si>
  <si>
    <t>BAHNHOFSALLEE 1E, GOTTINGEN, 37081, GERMANY</t>
  </si>
  <si>
    <t>1680-7316</t>
  </si>
  <si>
    <t>1680-7324</t>
  </si>
  <si>
    <t>ATMOS CHEM PHYS</t>
  </si>
  <si>
    <t>Atmos. Chem. Phys.</t>
  </si>
  <si>
    <t>10.5194/acp-20-3663-2020</t>
  </si>
  <si>
    <t>Environmental Sciences; Meteorology &amp; Atmospheric Sciences</t>
  </si>
  <si>
    <t>Environmental Sciences &amp; Ecology; Meteorology &amp; Atmospheric Sciences</t>
  </si>
  <si>
    <t>KX8WJ</t>
  </si>
  <si>
    <t>gold, Green Submitted</t>
  </si>
  <si>
    <t>WOS:000522156100004</t>
  </si>
  <si>
    <t>Murcia, S; Riul, P; Mendez, F; Rodriguez, JP; Rosenfeld, S; Ojeda, J; Marambio, J; Mansilla, A</t>
  </si>
  <si>
    <t>Murcia, Silvia; Riul, Pablo; Mendez, Fabio; Rodriguez, Juan Pablo; Rosenfeld, Sebastian; Ojeda, Jaime; Marambio, Johanna; Mansilla, Andres</t>
  </si>
  <si>
    <t>Predicting distributional shifts of commercially important seaweed species in the Subantarctic tip of South America under future environmental changes</t>
  </si>
  <si>
    <t>JOURNAL OF APPLIED PHYCOLOGY</t>
  </si>
  <si>
    <t>Species distribution models (SDM); Marine habitat niches; Warming temperatures; Nutrient concentrations</t>
  </si>
  <si>
    <t>CLIMATE-CHANGE; DISTRIBUTION MODELS; RANGE SHIFTS; COASTAL; IMPACTS; TEMPERATURE; RESPONSES; BIODIVERSITY; PHYSIOLOGY; SELECTION</t>
  </si>
  <si>
    <t>Shifts in species distributions are among the observed consequences of climate change, forcing species to follow suitable environmental conditions. Using species distribution models (SDMs), we aimed at predicting trends in habitat shifts of two seaweed species of commercial interest in the Subantarctic Patagonian region in response to ongoing environmental changes across temperate South America and worldwide. We gathered occurrence data from direct, on-site visual, and taxonomic identification (2009-2018) from global databases of species occurrence and from the scientific literature. We built the SDMs selecting putative predictors of biological relevance to Lessonia flavicans and Gigartina skottsbergii. We calibrated the SDMs using MaxEnt and GLMs for model evaluation, splitting our occurrence datasets into two parts: for model training and for model testing. The models were projected to future climate change scenarios (Representative Concentration Pathway: RCP 2.6 and RCP 8.5) to examine trends in shifting habitat suitability for each species. Maximum sea surface temperature was the main predictor variable, followed by minimum nitrate concentration, explaining both species' distributional shift across Subantarctic shorelines by the year 2050. Projection of the SDM for each species under altered environmental conditions to 30-40 years into the future resulted in a south poleward shift with a reduction in habitat range for both species. Such responses would threaten their persistence, local marine species richness, biodiversity, ecological function, and thereby, the commercial and ecosystem services provided by L. flavicans and G. skottsbergii in Subantarctic South America.</t>
  </si>
  <si>
    <t>[Murcia, Silvia; Mendez, Fabio; Rodriguez, Juan Pablo; Rosenfeld, Sebastian; Ojeda, Jaime; Marambio, Johanna; Mansilla, Andres] Univ Magallanes, Dept Sci, Lab Antarctic &amp; Sub Antarctic Marine Ecosyst LEMA, Punta Arenas 6200000, Chile; [Riul, Pablo] Univ Fed Paraiba, Dept Sistemat &amp; Ecol, BR-58059900 Joao Pessoa, Paraiba, Brazil; [Mendez, Fabio; Rodriguez, Juan Pablo; Rosenfeld, Sebastian; Mansilla, Andres] Univ Chile, IEB, Santiago 7750000, Chile; [Ojeda, Jaime] Univ Victoria, Dept Environm Studies, Victoria, BC V8P 5C2, Canada; [Marambio, Johanna] Univ Bremen, Dept Marine Bot, Postfach 330 440, D-28334 Bremen, Germany</t>
  </si>
  <si>
    <t>Universidad de Magallanes; Universidade Federal da Paraiba; Universidad de Chile; University of Victoria; University of Bremen</t>
  </si>
  <si>
    <t>Murcia, S (corresponding author), Univ Magallanes, Dept Sci, Lab Antarctic &amp; Sub Antarctic Marine Ecosyst LEMA, Punta Arenas 6200000, Chile.</t>
  </si>
  <si>
    <t>silvia.murcia@umag.cl; pabloriul@gmail.com</t>
  </si>
  <si>
    <t>Riul, Pablo/H-5843-2012; Ojeda, Jaime/HHN-1455-2022</t>
  </si>
  <si>
    <t>Riul, Pablo/0000-0003-4035-1975; Rosenfeld, Sebastian/0000-0002-4363-8018; Mansilla, Andres/0000-0003-3505-7018; marambio, johanna/0000-0003-1958-0351; ojeda, jaime/0000-0003-3863-9750</t>
  </si>
  <si>
    <t>Chile's Fondo Nacional de Desarrollo Cientifico y Tecnologico (FONDECYT/National Funding for Scientific and Technological Development) Program [1180433]; National Commission for Scientific and Technological Research (CONICYT in Spanish) [1140940]; CONICYT's Program for Investigacion Asociativa (PIA CCTE - Institute of Ecology and Biodiversity (IEB), University of Chile) [AFB170008]; IEB of the Millennium Scientific Initiative (ICM in Spanish) [P05-002 ICM, PFB-23-2008 ICM]</t>
  </si>
  <si>
    <t>Chile's Fondo Nacional de Desarrollo Cientifico y Tecnologico (FONDECYT/National Funding for Scientific and Technological Development) Program; National Commission for Scientific and Technological Research (CONICYT in Spanish); CONICYT's Program for Investigacion Asociativa (PIA CCTE - Institute of Ecology and Biodiversity (IEB), University of Chile); IEB of the Millennium Scientific Initiative (ICM in Spanish)</t>
  </si>
  <si>
    <t>Funding was provided by Chile's Fondo Nacional de Desarrollo Cientifico y Tecnologico (FONDECYT/National Funding for Scientific and Technological Development) Program, grant #1180433 and grant #1140940 of the National Commission for Scientific and Technological Research (CONICYT in Spanish), as well as provided by CONICYT's Program for Investigacion Asociativa (PIA CCTE AFB170008 - Institute of Ecology and Biodiversity (IEB), University of Chile). We thank the graduate scholarships by IEB of the Millennium Scientific Initiative (ICM in Spanish) granted to FM, JPR, SR, and JM, grant #P05-002 ICM and #PFB-23-2008 ICM. We give especial thanks to Cruceros Australis S.A. for their cruise ships' logistic-transportation support to reach the study sites, as well as Ernesto Davis and Mathias Hune (Centre ICEA) for their on-site assistance throughout the study.</t>
  </si>
  <si>
    <t>0921-8971</t>
  </si>
  <si>
    <t>1573-5176</t>
  </si>
  <si>
    <t>J APPL PHYCOL</t>
  </si>
  <si>
    <t>J. Appl. Phycol.</t>
  </si>
  <si>
    <t>10.1007/s10811-020-02084-6</t>
  </si>
  <si>
    <t>Biotechnology &amp; Applied Microbiology; Marine &amp; Freshwater Biology</t>
  </si>
  <si>
    <t>ME0MX</t>
  </si>
  <si>
    <t>WOS:000521873000001</t>
  </si>
  <si>
    <t>Hopkins, DW; Dennis, PG; Rushton, SP; Newsham, KK; O'Donnell, TG</t>
  </si>
  <si>
    <t>Hopkins, David W.; Dennis, Paul G.; Rushton, Steven P.; Newsham, Kevin K.; O'Donnell, Tony G.</t>
  </si>
  <si>
    <t>Lean and keen: Microbial activity in soils from the Maritime Antarctic</t>
  </si>
  <si>
    <t>EUROPEAN JOURNAL OF SOIL SCIENCE</t>
  </si>
  <si>
    <t>Antarctica; biomass; carbon; latitude; microorganisms; respiration</t>
  </si>
  <si>
    <t>ORGANIC-MATTER; BIOMASS; RESPONSES; CARBON; VALLEY; COMMUNITIES; BACTERIAL; NITROGEN; SUPPLEMENTATION; MICROORGANISMS</t>
  </si>
  <si>
    <t>The soils of the Maritime and sub-Antarctic experience extreme environmental conditions but nonetheless host biological communities that can survive low temperatures, limited water availability and short day lengths or even the complete absence of solar radiation during the winter. We determined the soil organic carbon (SOC) and total nitrogen (N), soil microbial biomass (SMB), labile carbon (LC) and respiration rate (RR) in soil samples from the longest latitudinal transect (approximately 2,000 km) ever sampled exclusively in the Maritime and sub-Antarctic, comprising 69 sites located between South Georgia (54 degrees S) and south-eastern Alexander Island (72 degrees S). With the exception of the most northerly location (South Georgia), the greatest SMB values occurred at 67-68 degrees S, despite the harsh environmental conditions. This is consistent with the relative nutrient richness of the soils at these latitudes, as indicated by large SOC and total soil N concentrations, which are in turn probably linked to more abundant guano and excreta deposition by sea birds and seals, which have fewer and smaller areas of ice-free terrain to land or haul out on further south. South of 68 degrees S, SOC values declined with increasing latitude, which is probably due to increasingly extreme environmental conditions. We also found that the SOC and SMB values, the proportion of SOC considered labile (LC/SOC) and the carbon mineralization rates expressed as either RR/SOC or RR/SMB were all small compared with values from less extreme temperate and tropical regions. However, the proportion of the SOC in the microbial biomass (SMB/SOC) was substantially greater than that reported for non-polar soils. We conclude that although the soils of the Maritime and sub-Antarctic have small and relatively inactive microbial communities, they are characterized by efficient conversion of organic resources into microbial biomass and large affinities for added substrates. Highlights Soil carbon parameters are reported from sites along the longest latitudinal transect in Antarctica ever sampled. The soil microbial biomass tended to peak at 67-68 degrees S, coinciding with relative SOC and N abundance in the soil, probably arising from guano and excreta from sea birds and mammals. The soil microbial community was small but highly efficient at converting organic resources into microbial biomass, as indicated by large microbial biomass/soil organic carbon ratios.</t>
  </si>
  <si>
    <t>[Hopkins, David W.] SRUC Scotlands Rural Coll, West Mains Rd, Edinburgh EH9 3JG, Midlothian, Scotland; [Dennis, Paul G.] Univ Queensland, Sch Earth &amp; Environm Sci, St Lucia, Qld, Australia; [Rushton, Steven P.] Newcastle Univ, Sch Biol, Newcastle Upon Tyne, Tyne &amp; Wear, England; [Newsham, Kevin K.] NERC British Antarctic Survey, Cambridge, England; [O'Donnell, Tony G.] Univ Western Australia, Fac Sci, Crawley, WA, Australia</t>
  </si>
  <si>
    <t>Scotland's Rural College; University of Queensland; Newcastle University - UK; University of Western Australia</t>
  </si>
  <si>
    <t>Hopkins, DW (corresponding author), SRUC Scotlands Rural Coll, West Mains Rd, Edinburgh EH9 3JG, Midlothian, Scotland.</t>
  </si>
  <si>
    <t>david.hopkins@sruc.ac.uk</t>
  </si>
  <si>
    <t>Dennis, Paul G/H-2141-2017</t>
  </si>
  <si>
    <t>Hopkins, David/0000-0003-0953-8643; O'Donnell, Tony/0000-0003-2001-4533</t>
  </si>
  <si>
    <t>UK Natural Environment Research Council [NE/D00893X/1, AFI 7/05]; NERC [bas0100036] Funding Source: UKRI</t>
  </si>
  <si>
    <t>UK Natural Environment Research Council(UK Research &amp; Innovation (UKRI)Natural Environment Research Council (NERC)); NERC(UK Research &amp; Innovation (UKRI)Natural Environment Research Council (NERC))</t>
  </si>
  <si>
    <t>We are grateful to the UK Natural Environment Research Council (project number NE/D00893X/1; AFI 7/05) for financial support. We are also grateful to British Antarctic Survey field assistants for field support, Lorna English and Gillian Banks for laboratory support, and Peter Convey, Peter Fretwell, John Smellie and Andrew Fleming for advice on site locations and assistance. We also acknowledge the extensive practical and logistic support from the British Antarctic Survey and Royal Navy.</t>
  </si>
  <si>
    <t>1351-0754</t>
  </si>
  <si>
    <t>1365-2389</t>
  </si>
  <si>
    <t>EUR J SOIL SCI</t>
  </si>
  <si>
    <t>Eur. J. Soil Sci.</t>
  </si>
  <si>
    <t>JAN</t>
  </si>
  <si>
    <t>10.1111/ejss.12957</t>
  </si>
  <si>
    <t>Soil Science</t>
  </si>
  <si>
    <t>Agriculture</t>
  </si>
  <si>
    <t>PN6CF</t>
  </si>
  <si>
    <t>WOS:000521633200001</t>
  </si>
  <si>
    <t>Johnson, KM; Hofmann, GE</t>
  </si>
  <si>
    <t>Johnson, Kevin M.; Hofmann, Gretchen E.</t>
  </si>
  <si>
    <t>Combined stress of ocean acidification and warming influence survival and drives differential gene expression patterns in the Antarctic pteropod, Limacina helicina antarctica</t>
  </si>
  <si>
    <t>CONSERVATION PHYSIOLOGY</t>
  </si>
  <si>
    <t>Limacina helicina antarctica; ocean acidification; ocean warming; physiological plasticity; Pteropod; RNAseq</t>
  </si>
  <si>
    <t>CLIMATE-CHANGE; MULTIPLE STRESSORS; PHYSIOLOGICAL-RESPONSES; THERMAL-STRESS; MARINE; LIFE; TEMPERATURE; IMPACT; INVERTEBRATES; DISSOLUTION</t>
  </si>
  <si>
    <t>The ecologically important thecosome pteropods in the Limacina spp. complex have recently been the focus of studies examining the impacts global change factors - e.g., ocean acidification (OA) and ocean warming (OW) - on their performance and physiology. This focus is driven by conservation concerns where the health of pteropod populations is threatened by the high susceptibility of their shells to dissolution in lowaragonite saturation states associated with OA and how coupling of these stressors may push pteropods past the limits of physiological plasticity. In this manipulation experiment, we describe changes in the transcriptome of the Antarctic pteropod, Limacina helicina antarctica, to these combined stressors. The conditions used in the laboratory treatments met or exceeded those projected for the Southern Ocean by the year 2100. We made two general observations regarding the outcome of the data: (1) Temperature was more influential than pH in terms of changing patterns of gene expression, and (2) these Antarctic pteropods appeared to have a significant degree of transcriptomic plasticity to respond to acute abiotic stress in the laboratory. In general, differential gene expression was observed amongst the treatments; here, for example, transcripts associated with maintaining protein structure and cell proliferation were up-regulated. To disentangle the effects of OA and OW, we used a weighted gene co-expression network analysis to explore patterns of change in the transcriptome. This approach identified gene networks associated with OW that were enriched for transcripts proposed to be involved in increasing membrane fluidity at warmer temperatures. Together these data provide evidence that L.h.antarctica has a limited capacity to acclimate to the combined conditions of OA and OW used in this study. This reduced scope of acclimation argues for continued study of how adaptation to polar aquatic environments may limit the plasticity of present-day populations in responding to future environmental change.</t>
  </si>
  <si>
    <t>[Johnson, Kevin M.] Louisiana State Univ, Dept Biol Sci, Baton Rouge, LA 70803 USA; [Hofmann, Gretchen E.] Univ Calif Santa Barbara, Dept Ecol Evolut &amp; Marine Biol, Santa Barbara, CA 93106 USA</t>
  </si>
  <si>
    <t>Louisiana State University System; Louisiana State University; University of California System; University of California Santa Barbara</t>
  </si>
  <si>
    <t>Hofmann, GE (corresponding author), Univ Calif Santa Barbara, Dept Ecol Evolut &amp; Marine Biol, Santa Barbara, CA 93106 USA.</t>
  </si>
  <si>
    <t>gretchen.hofmann@lifesci.ucsb.edu</t>
  </si>
  <si>
    <t>; Marquez Johnson, Kevin/Q-1310-2018</t>
  </si>
  <si>
    <t>Hofmann, Gretchen/0000-0003-0931-1238; Marquez Johnson, Kevin/0000-0003-3278-3508</t>
  </si>
  <si>
    <t>U.S. National Science Foundation (NSF) [PLR-1246202]; U.S. NSF Graduate Research Fellowship [1650114]</t>
  </si>
  <si>
    <t>U.S. National Science Foundation (NSF)(National Science Foundation (NSF)); U.S. NSF Graduate Research Fellowship(National Science Foundation (NSF))</t>
  </si>
  <si>
    <t>This work was supported by a grant from the U.S. National Science Foundation (NSF) to GEH (PLR-1246202). In addition, KMJ was supported by a U.S. NSF Graduate Research Fellowship under grant no. 1650114.</t>
  </si>
  <si>
    <t>OXFORD UNIV PRESS</t>
  </si>
  <si>
    <t>GREAT CLARENDON ST, OXFORD OX2 6DP, ENGLAND</t>
  </si>
  <si>
    <t>2051-1434</t>
  </si>
  <si>
    <t>CONSERV PHYSIOL</t>
  </si>
  <si>
    <t>Conserv. Physiol.</t>
  </si>
  <si>
    <t>coaa013</t>
  </si>
  <si>
    <t>10.1093/conphys/coaa013</t>
  </si>
  <si>
    <t>Biodiversity Conservation; Ecology; Environmental Sciences; Physiology</t>
  </si>
  <si>
    <t>Biodiversity &amp; Conservation; Environmental Sciences &amp; Ecology; Physiology</t>
  </si>
  <si>
    <t>KY8HH</t>
  </si>
  <si>
    <t>WOS:000522814800001</t>
  </si>
  <si>
    <t>Cárdenas, L; Leclerc, JC; Bruning, P; Garrido, I; Détrée, C; Figueroa, A; Astorga, M; Navarro, JM; Johnson, LE; Carlton, JT; Pardo, L</t>
  </si>
  <si>
    <t>Cardenas, Leyla; Leclerc, Jean-Charles; Bruning, Paulina; Garrido, Ignacio; Detree, Camille; Figueroa, Alvaro; Astorga, Marcela; Navarro, Jorge M.; Johnson, Ladd E.; Carlton, James T.; Pardo, Luis</t>
  </si>
  <si>
    <t>First mussel settlement observed in Antarctica reveals the potential for future invasions</t>
  </si>
  <si>
    <t>MYTILUS-EDULIS; CLIMATE-CHANGE; DISPERSAL; SPP.; TRANSPORT; LINEAGES; HISTORY</t>
  </si>
  <si>
    <t>Global biodiversity is both declining and being redistributed in response to multiple drivers characterizing the Anthropocene, including synergies between biological invasions and climate change. The Antarctic marine benthos may constitute the last biogeographic realm where barriers (oceanographic currents, climatic gradients) have not yet been broken. Here we report the successful settlement of a cohort of Mytilus cf. platensis in a shallow subtidal habitat of the South Shetland Islands in 2019, which demonstrates the ability of this species to complete its early life stages in this extreme environment. Genetic analyses and shipping records show that this observation is consistent with the dominant vectors and pathways linking southern Patagonia with the Antarctic Peninsula and demonstrates the potential for impending invasions of Antarctic ecosystems.</t>
  </si>
  <si>
    <t>[Cardenas, Leyla; Bruning, Paulina; Garrido, Ignacio; Detree, Camille; Figueroa, Alvaro; Navarro, Jorge M.; Pardo, Luis] Ctr FONDAP Invest Dinam Ecosistemas Marinos Altas, Valdivia, Chile; [Cardenas, Leyla; Figueroa, Alvaro] Univ Austral Chile, Fac Ciencias, Inst Ciencias Ambientales &amp; Evolut, Valdivia, Chile; [Leclerc, Jean-Charles] Univ Catolica Santisima Concepcion, Ctr Invest Biodiversidad &amp; Ambientes Sustentables, Concepcion, Chile; [Astorga, Marcela] Univ Austral Chile, Inst Acuicultura, Puerto Montt, Chile; [Navarro, Jorge M.; Pardo, Luis] Univ Austral Chile, Fac Ciencias, Inst Ciencias Marinas &amp; Limnol, Valdivia, Chile; [Bruning, Paulina; Garrido, Ignacio; Johnson, Ladd E.] Laval Univ, Dept Biol, Quebec City, PQ, Canada; [Bruning, Paulina; Garrido, Ignacio; Johnson, Ladd E.] Laval Univ, Quebec Ocean Inst, Quebec City, PQ, Canada; [Carlton, James T.] Williams Coll, Maritime Studies Program, Mystic, CT USA</t>
  </si>
  <si>
    <t>Universidad Austral de Chile; Universidad Catolica de la Santisima Concepcion; Universidad Austral de Chile; Universidad Austral de Chile; Laval University; Laval University; Williams College</t>
  </si>
  <si>
    <t>Cárdenas, L (corresponding author), Ctr FONDAP Invest Dinam Ecosistemas Marinos Altas, Valdivia, Chile.;Cárdenas, L (corresponding author), Univ Austral Chile, Fac Ciencias, Inst Ciencias Ambientales &amp; Evolut, Valdivia, Chile.</t>
  </si>
  <si>
    <t>leylacardenas@uach.cl</t>
  </si>
  <si>
    <t>Leclerc, Jean-Charles/T-1400-2018; Johnson, Ladd E/C-7449-2012; Detree, Camille/P-7073-2019; Pardo, L M/A-3178-2008; Cardenas, Leyla/AAY-5671-2020; Carlton, James/HTR-5219-2023</t>
  </si>
  <si>
    <t>Leclerc, Jean-Charles/0000-0003-3663-3785; Cardenas, Leyla/0000-0003-0676-6704; Carlton, James/0000-0002-3748-8893; Pardo, Luis Miguel/0000-0002-8179-5057; Bruning, Paulina/0000-0002-2064-719X; Astorga, Marcela/0000-0002-9364-2365; Figueroa, Alvaro/0000-0001-6137-3140; Detree, Camille/0000-0001-5518-2380</t>
  </si>
  <si>
    <t>National Commission of Scientific and Technological Investigation of Chile through the Fondo de Financiamiento de Centros de Investigacion en Areas Prioritarias (FONDAP) programme research centre (IDEAL): Dynamics of High Latitude Marine Ecosystems [15150003]; Fondecyt [1170591]</t>
  </si>
  <si>
    <t>National Commission of Scientific and Technological Investigation of Chile through the Fondo de Financiamiento de Centros de Investigacion en Areas Prioritarias (FONDAP) programme research centre (IDEAL): Dynamics of High Latitude Marine Ecosystems; Fondecyt(Comision Nacional de Investigacion Cientifica y Tecnologica (CONICYT)CONICYT FONDECYT)</t>
  </si>
  <si>
    <t>We are grateful to Chilean Navy and the Instituto Antartico Chileno (INACh) for the field logistic help during the 2019 season. This work was supported and funded by the National Commission of Scientific and Technological Investigation of Chile through the Fondo de Financiamiento de Centros de Investigacion en Areas Prioritarias (FONDAP) programme research centre (IDEAL): Dynamics of High Latitude Marine Ecosystems (grant no 15150003). LC acknowledges financial support from Fondecyt 1170591. We further thank anonymous reviewers for their comments.</t>
  </si>
  <si>
    <t>10.1038/s41598-020-62340-0</t>
  </si>
  <si>
    <t>NF5NB</t>
  </si>
  <si>
    <t>WOS:000563342300011</t>
  </si>
  <si>
    <t>Zeeden, C; Obreht, I; Veres, D; Kaboth-Bahr, S; Hosek, J; Markovic, SB; Bösken, J; Lehmkuhl, F; Rolf, C; Hambach, U</t>
  </si>
  <si>
    <t>Zeeden, Christian; Obreht, Igor; Veres, Daniel; Kaboth-Bahr, Stefanie; Hosek, Jan; Markovic, Slobodan B.; Boesken, Janina; Lehmkuhl, Frank; Rolf, Christian; Hambach, Ulrich</t>
  </si>
  <si>
    <t>Smoothed millennial-scale palaeoclimatic reference data as unconventional comparison targets: Application to European loess records</t>
  </si>
  <si>
    <t>LAST GLACIAL PERIOD; WESTERN INTERIOR BASIN; HIGH-RESOLUTION RECORD; GREENLAND ICE-CORE; PALEOSOL SEQUENCE; TIME-SCALE; CHINESE LOESS; ASTRONOMICAL CALIBRATION; CHRONOLOGY AICC2012; ANTARCTIC ICE</t>
  </si>
  <si>
    <t>Millennial-scale palaeoclimate variability has been documented in various terrestrial and marine palaeoclimate proxy records throughout the Northern Hemisphere for the last glacial cycle. Its clear expression and rapid shifts between different states of climate (Greenland Interstadials and Stadials) represents a correlation tool beyond the resolution of e.g. luminescence dating, especially relevant for terrestrial deposits. Usually, comparison of terrestrial proxy datasets and the Greenland ice cores indicates a complex expression of millennial-scale climate variability as recorded in terrestrial geoarchives including loess. Loess is the most widespread terrestrial geoarchive of the Quaternary and especially widespread over Eurasia. However, loess often records a smoothed representation of millennial-scale variability without all fidelity when compared to the Greenland data, this being a relevant limiting feature in integrating loess with other palaeoclimate records. To better understand the loess proxy-response to millennial-scale climate variability, we simulate a proxy signal smoothing by natural processes through application of low-pass filters of delta O-18 data from Greenland, a high-resolution palaeoclimate reference record, alongside speleothem isotope records from the Black Sea-Mediterranean region. We show that low-pass filters represent rather simple models for better constraining the expression of millennial-scale climate variability in low sedimentation environments, and in sediments where proxy-response signals are most likely affected by natural smoothing (by e.g. bioturbation). Interestingly, smoothed datasets from Greenland and the Black Sea-Mediterranean region are most similar in the last similar to 15 ka and between similar to 50-30 ka. Between similar to 30-15 ka, roughly corresponding to the Last Glacial Maximum and the deglaciation, the records show dissimilarities, challenging the construction of robust correlative time-scales in this age range. From our analysis it becomes apparent that patterns of palaeoclimate signals in loess-palaeosol sequences often might be better explained by smoothed Greenland reference data than the original high-resolution Greenland dataset, or other reference data. This opens the possibility to better assess the temporal resolution and palaeoclimate potential of loess-palaeosol sequences in recording supra-regional climate patterns, as well as to securely integrate loess with other chronologically better-resolved palaeoclimate records.</t>
  </si>
  <si>
    <t>[Zeeden, Christian; Rolf, Christian] Leibniz Inst Appl Geophys, LIAG, Hannover, Germany; [Zeeden, Christian] UPMC Univ Paris 06, PSL Res Univ, Univ Lille, Sorbonne Univ,Observ Paris,IMCCE,CNRS, Paris, France; [Obreht, Igor] Univ Bremen, MARUM Ctr Marine Environm Sci, Organ Geochem Grp, Bremen, Germany; [Obreht, Igor] Univ Bremen, Dept Geosci, Bremen, Germany; [Veres, Daniel] Romanian Acad, Inst Speleol, Cluj Napoca, Romania; [Kaboth-Bahr, Stefanie] Heidelberg Univ, Inst Earth Sci, Heidelberg, Germany; [Kaboth-Bahr, Stefanie] Univ Potsdam, Inst Geowissensch, Potsdam, Germany; [Hosek, Jan] Czech Geol Survey, Prague, Czech Republic; [Hosek, Jan] Charles Univ Prague, Ctr Theoret Study, Prague, Czech Republic; [Hosek, Jan] Acad Sci, Prague, Czech Republic; [Markovic, Slobodan B.] Univ Novi Sad, Fac Sci, Chair Phys Geog, Novi Sad, Serbia; [Boesken, Janina; Lehmkuhl, Frank] Rhein Westfal TH Aachen, Dept Geog, Aachen, Germany; [Hambach, Ulrich] Univ Bayreuth, BayCEER, Bayreuth, Germany; [Hambach, Ulrich] Univ Bayreuth, Chair Geomorphol, Bayreuth, Germany</t>
  </si>
  <si>
    <t>Leibniz Institut fur Angewandte Geophysik (LIAG); Universite PSL; Observatoire de Paris; Universite de Lille; Sorbonne Universite; Centre National de la Recherche Scientifique (CNRS); University of Bremen; University of Bremen; Romanian Academy of Sciences; Emil Racovita Institute of Speleology; Ruprecht Karls University Heidelberg; University of Potsdam; Czech Geological Survey; Charles University Prague; Czech Academy of Sciences; University of Novi Sad; RWTH Aachen University; University of Bayreuth; University of Bayreuth</t>
  </si>
  <si>
    <t>Zeeden, C (corresponding author), Leibniz Inst Appl Geophys, LIAG, Hannover, Germany.;Zeeden, C (corresponding author), UPMC Univ Paris 06, PSL Res Univ, Univ Lille, Sorbonne Univ,Observ Paris,IMCCE,CNRS, Paris, France.</t>
  </si>
  <si>
    <t>christian.zeeden@leibniz-liag.de</t>
  </si>
  <si>
    <t>Veres, Daniel/GNH-2718-2022; Veres, Daniel/AAX-3319-2020; Hosek, Jan/AAA-1271-2020; Zeeden, Christian/AFO-4070-2022; Veres, Daniel S/GNH-2578-2022; Kaboth-Bahr, Stefanie/ABF-7573-2021</t>
  </si>
  <si>
    <t>Veres, Daniel/0000-0003-3932-577X; Hosek, Jan/0000-0002-3463-0874; Kaboth-Bahr, Stefanie/0000-0002-4449-2938; Zeeden, Christian/0000-0002-8617-0443; Rolf, Christian/0000-0002-1459-6664; Markovic, Slobodan/0000-0002-4977-634X; Hambach, Ulrich Friedrich/0000-0001-8455-6812</t>
  </si>
  <si>
    <t>Deutsche Forschungsgemeinschaft (DFG, German Research Foundation) [57444011 - SFB 806]; Serbian Ministry of Education, Science and Technological Development [176020]; European Research Council (ERC) under the European Union [678106]; Charles University [UNCE 204069]; PSL fellowship; European Research Council (ERC) [678106] Funding Source: European Research Council (ERC)</t>
  </si>
  <si>
    <t>Deutsche Forschungsgemeinschaft (DFG, German Research Foundation)(German Research Foundation (DFG)); Serbian Ministry of Education, Science and Technological Development; European Research Council (ERC) under the European Union(European Research Council (ERC)); Charles University; PSL fellowship; European Research Council (ERC)(European Research Council (ERC)Spanish Government)</t>
  </si>
  <si>
    <t>C.Z. was funded by a PSL fellowship. These investigations were partly carried out in the context of the CRC 806 Our way to Europe, subproject B1 The Eastern Trajectory: Last Glacial Palaeogeography and Archaeology of the Eastern Mediterranean and of the Balkan Peninsula, funded by the Deutsche Forschungsgemeinschaft (DFG, German Research Foundation) - Projektnummer 57444011 - SFB 806. S.B.M. acknowledges the financial support from grant 176020 of the Serbian Ministry of Education, Science and Technological Development. D.V. acknowledges funding from the European Research Council (ERC) under the European Union's Horizon 2020 research and innovation programme ERC-2015-STG (grant agreement No. [678106]). J.H. has been supported by the Charles University (UNCE 204069).</t>
  </si>
  <si>
    <t>MACMILLAN BUILDING, 4 CRINAN ST, LONDON N1 9XW, ENGLAND</t>
  </si>
  <si>
    <t>MAR 25</t>
  </si>
  <si>
    <t>10.1038/s41598-020-61528-8</t>
  </si>
  <si>
    <t>NA7SB</t>
  </si>
  <si>
    <t>Green Published, Green Submitted, gold</t>
  </si>
  <si>
    <t>WOS:000560015500011</t>
  </si>
  <si>
    <t>Godoi, VA; Torres, AR</t>
  </si>
  <si>
    <t>Godoi, Victor A.; Torres Junior, Audalio R.</t>
  </si>
  <si>
    <t>A global analysis of austral summer ocean wave variability during SAM-ENSO phase combinations</t>
  </si>
  <si>
    <t>CLIMATE DYNAMICS</t>
  </si>
  <si>
    <t>Climate patterns; El Nino-Southern Oscillation (ENSO); Global wave climate; Southern Annular Mode (SAM); SAM-ENSO interactions; Wave variability</t>
  </si>
  <si>
    <t>NINO-SOUTHERN-OSCILLATION; SPRING ANTARCTIC OSCILLATION; MADDEN-JULIAN OSCILLATION; EL-NINO; ANNULAR MODE; ATMOSPHERIC TELECONNECTIONS; INTERANNUAL VARIABILITY; PART I; CLIMATE; PACIFIC</t>
  </si>
  <si>
    <t>Anticipating and mitigating wave-related hazards rely heavily on understanding wave variability drivers. Here, we describe wave conditions related to concurrent Southern Annular Mode (SAM) and El Nino-Southern Oscillation (ENSO) phases during the austral summer. To identify such conditions, significant wave height (H-s) and peak wave period (T-p) daily anomalies were composited during different SAM-ENSO phase combinations over the last four decades (1979-2018). Surface wind anomalies were also composited to assist in the interpretation of wave conditions. The composites show significant wave variability across all ocean basins and in several semi-enclosed seas throughout the different SAM-ENSO phase combinations. The Southern, Indian, and Pacific Oceans generally experience the strongest T-p anomalies during combinations of SAM phases with El Nino, and the weakest T-p anomalies during combinations of SAM phases with La Nina. The anomalously large waves observed in the south-western Pacific, Tasman Sea, and the Southern Ocean, previously ascribed to ENSO conditions, seem to be instead associated with the SAM variability. SAM-related atmospheric conditions are found to be able to modulate the intensity of ENSO-related winds over the South China Sea, which, in turn, alter the magnitude of waves in that region. These and other wave anomaly structures described here, especially those contrasting the behaviour expected for a given ENSO phase, such as the one found along the California coast, stress the importance of understanding relationships between wave parameters and climate patterns interactions.</t>
  </si>
  <si>
    <t>[Godoi, Victor A.; Torres Junior, Audalio R.] Univ Fed Maranhao, Marine Sci Inst ICMar, Ave Portugueses 1966, BR-65080805 Sao Luis, Maranhao, Brazil</t>
  </si>
  <si>
    <t>Universidade Federal do Maranhao</t>
  </si>
  <si>
    <t>Godoi, VA (corresponding author), Univ Fed Maranhao, Marine Sci Inst ICMar, Ave Portugueses 1966, BR-65080805 Sao Luis, Maranhao, Brazil.</t>
  </si>
  <si>
    <t>victorgodoirj@gmail.com</t>
  </si>
  <si>
    <t>Godoi, Victor Azevedo/AAH-1242-2019; Rebelo Torres Junior, Audalio/O-8374-2015</t>
  </si>
  <si>
    <t>Godoi, Victor Azevedo/0000-0001-7951-3017; Rebelo Torres Junior, Audalio/0000-0003-1864-2645</t>
  </si>
  <si>
    <t>Brazilian National Council for Scientific and Technological Development (CNPq) [153284/2018-8]</t>
  </si>
  <si>
    <t>Brazilian National Council for Scientific and Technological Development (CNPq)(Conselho Nacional de Desenvolvimento Cientifico e Tecnologico (CNPQ))</t>
  </si>
  <si>
    <t>This research has been funded by the Brazilian National Council for Scientific and Technological Development (CNPq) (Grant number 153284/2018-8). The authors are thankful to the reviewers of this article, whose comments improved its earlier version, and also to the Australian Bureau of Meteorology, CSIRO, and NOAA for data provision.</t>
  </si>
  <si>
    <t>0930-7575</t>
  </si>
  <si>
    <t>1432-0894</t>
  </si>
  <si>
    <t>CLIM DYNAM</t>
  </si>
  <si>
    <t>Clim. Dyn.</t>
  </si>
  <si>
    <t>9-10</t>
  </si>
  <si>
    <t>10.1007/s00382-020-05217-2</t>
  </si>
  <si>
    <t>ME6PE</t>
  </si>
  <si>
    <t>WOS:000521792500001</t>
  </si>
  <si>
    <t>Requena, S; Oppel, S; Bond, AL; Hall, J; Cleeland, J; Crawford, RJM; Davies, D; Dilley, BJ; Glass, T; Makhado, A; Ratcliffe, N; Reid, TA; Ronconi, RA; Schofield, A; Steinfurth, A; Wege, M; Bester, M; Ryan, PG</t>
  </si>
  <si>
    <t>Requena, S.; Oppel, S.; Bond, A. L.; Hall, J.; Cleeland, J.; Crawford, R. J. M.; Davies, D.; Dilley, B. J.; Glass, T.; Makhado, A.; Ratcliffe, N.; Reid, T. A.; Ronconi, R. A.; Schofield, A.; Steinfurth, A.; Wege, M.; Bester, M.; Ryan, P. G.</t>
  </si>
  <si>
    <t>Marine hotspots of activity inform protection of a threatened community of pelagic species in a large oceanic jurisdiction</t>
  </si>
  <si>
    <t>ANIMAL CONSERVATION</t>
  </si>
  <si>
    <t>seabird; pinniped; satellite tracking; time-in-area; marine-protected area; marine conservation planning</t>
  </si>
  <si>
    <t>ENVIRONMENTAL VARIABILITY; SPATIAL AUTOCORRELATION; DIVERSITY HOTSPOTS; IMPORTANT AREAS; FORAGING RANGE; CONSERVATION; SEABIRDS; ALBATROSSES; HABITATS; TRACKING</t>
  </si>
  <si>
    <t>Remote oceanic islands harbour unique biodiversity, especially of species that rely on the marine trophic resources around their breeding islands. Identifying marine areas used by such species is essential to manage and limit processes that threaten these species. The Tristan da Cunha territory in the South Atlantic Ocean hosts several endemic and globally threatened seabirds, and pinnipeds; how they use the waters surrounding the islands must be considered when planning commercial activities. To inform marine management in the Tristan da Cunha Exclusive Economic Zone (EEZ), we identified statistically significant areas of concentrated activity by collating animal tracking data from nine seabirds and one marine mammal. We first calculated the time that breeding adults of the tracked species spent in 10 x 10 km cells within the EEZ, for each of four seasons to account for temporal variability in space use. By applying a spatial aggregation statistic over these grids for each season, we detected areas that are used more than expected by chance. Most of the activity hotspots were either within 100 km of breeding colonies or were associated with seamounts, being spatially constant across several seasons. Our simple and effective approach highlights important areas for pelagic biodiversity that will benefit conservation planning and marine management strategies.</t>
  </si>
  <si>
    <t>[Requena, S.; Oppel, S.; Bond, A. L.; Hall, J.; Cleeland, J.; Schofield, A.; Steinfurth, A.] Royal Soc Protect Birds, RSPB Ctr Conservat Sci, Sandy, Beds, England; [Bond, A. L.] Natl Hist Museum, Dept Life Sci, Bird Grp, Tring, England; [Crawford, R. J. M.; Makhado, A.] Branch Oceans &amp; Coasts, Dept Environm Affairs, Cape Town, South Africa; [Davies, D.; Dilley, B. J.; Makhado, A.; Reid, T. A.; Ryan, P. G.] Univ Cape Town, FitzPatrick Inst African Ornithol, DST NRF Ctr Excellence, Rondebosch, South Africa; [Glass, T.] Tristan Cunha Conservat Dept, Edinburgh, Midlothian, Scotland; [Ratcliffe, N.] British Antarctic Survey, Cambridge, England; [Ronconi, R. A.] Dalhousie Univ, Dept Biol, Halifax, NS, Canada; [Ronconi, R. A.] Environm &amp; Climate Change Canada, Canadian Wildlife Serv, Dartmouth, NS, Canada; [Wege, M.; Bester, M.] Univ Pretoria, Mammal Res Inst, Dept Zool &amp; Entomol, Pretoria, South Africa</t>
  </si>
  <si>
    <t>Royal Society for Protection of Birds; Department of Environment, Forestry &amp; Fisheries; University of Cape Town; National Research Foundation - South Africa; UK Research &amp; Innovation (UKRI); Natural Environment Research Council (NERC); NERC British Antarctic Survey; Dalhousie University; Environment &amp; Climate Change Canada; Canadian Wildlife Service; University of Pretoria</t>
  </si>
  <si>
    <t>Requena, S (corresponding author), RSPB Ctr Conservat Sci, RSPB Headquarters, Potton Rd, Sandy SG19 2DL, Beds, England.</t>
  </si>
  <si>
    <t>susana.requena@rspb.org.uk</t>
  </si>
  <si>
    <t>Bond, Alexander L/A-3786-2010; Oppel, Steffen/H-2771-2019; Wege, Mia/B-1103-2016</t>
  </si>
  <si>
    <t>Oppel, Steffen/0000-0002-8220-3789; Wege, Mia/0000-0002-9022-3069; Bond, Alexander/0000-0003-2125-7238; Requena Moreno, Susana/0000-0002-4424-7385; Cleeland, Jaimie/0000-0003-2196-3968</t>
  </si>
  <si>
    <t>DEFRA Darwin Plus Programme Project Pinnamin [DPLUS059]; South African National Antarctic Programme (SANAP); National Research Foundation; BirdLife International; BirdLife International (RSPB); NERC [bas0100035, NE/T012439/1] Funding Source: UKRI</t>
  </si>
  <si>
    <t>DEFRA Darwin Plus Programme Project Pinnamin; South African National Antarctic Programme (SANAP); National Research Foundation; BirdLife International; BirdLife International (RSPB); NERC(UK Research &amp; Innovation (UKRI)Natural Environment Research Council (NERC))</t>
  </si>
  <si>
    <t>DEFRA Darwin Plus Programme Project Pinnamin (DPLUS059). South African National Antarctic Programme (SANAP) and the National Research Foundation. BirdLife International (through its partners in South Africa and the RSPB).</t>
  </si>
  <si>
    <t>1367-9430</t>
  </si>
  <si>
    <t>1469-1795</t>
  </si>
  <si>
    <t>ANIM CONSERV</t>
  </si>
  <si>
    <t>Anim. Conserv.</t>
  </si>
  <si>
    <t>OCT</t>
  </si>
  <si>
    <t>10.1111/acv.12572</t>
  </si>
  <si>
    <t>Science Citation Index Expanded (SCI-EXPANDED); Social Science Citation Index (SSCI)</t>
  </si>
  <si>
    <t>OA2KU</t>
  </si>
  <si>
    <t>WOS:000521404800001</t>
  </si>
  <si>
    <t>Toullec, JY; Cascella, K; Ruault, S; Geffroy, A; Lorieux, D; Montagné, N; Ollivaux, C; Lee, CY</t>
  </si>
  <si>
    <t>Toullec, Jean-Yves; Cascella, Kevin; Ruault, Stephanie; Geffroy, Alexandre; Lorieux, David; Montagne, Nicolas; Ollivaux, Celine; Lee, Chi-Ying</t>
  </si>
  <si>
    <t>Antarctic krill (Euphausia superba) in a warming ocean: thermotolerance and deciphering Hsp70 responses</t>
  </si>
  <si>
    <t>CELL STRESS &amp; CHAPERONES</t>
  </si>
  <si>
    <t>Krill; Euphausia superba; Heat shock; CTmax; Hsp70 expression</t>
  </si>
  <si>
    <t>HEAT-SHOCK PROTEINS; TEMPERATURE; GENES; ACCLIMATION; ADAPTATION; DIVERSITY; PATTERNS; RATES; LIMIT; SIZE</t>
  </si>
  <si>
    <t>The Antarctic krill, Euphausia superba, is a Southern Ocean endemic species of proven ecological importance to the region. In the context of predicted global warming, it is particularly important to understand how classic biomarkers of heat stress function in this species. In this respect, Hsp70s are acknowledged as good candidates. However, previous studies of expression kinetics have not been able to demonstrate significant upregulation of these genes in response to heat shocks at 3 degrees C and 6 degrees C for 3 and 6 h. The current work complements these previous results and broadens the prospects for the use of Hsp70s as a relevant marker of thermal shock in this krill species. New experiments demonstrate that induction of Hsp70 isoforms was not detected during exposure to heat shock, but increased expression was observed after several hours of recovery. To complete the analysis of the expression kinetics of the different isoforms, experiments were carried out over short time scales (1 and 2 h at 3 degrees C and 6 degrees C) as well as at higher temperatures (9 degrees C, 12 degrees C, and 15 degrees C for 3 h), without any significant response. A 6-week monitoring of animals at 3 degrees C showed that the time factor is decisive in the establishment of the response. CTmax experiments with incremental times of 1 degrees C per day or 1 degrees C every 3 days have shown a particularly high resilience of the animals. The demonstration of the abundance of Hsp70s present before thermal stress in various species of krill, as well as in specimens of E. superba of various origins, showed that the delay in the response in expression could be related to the high constitutive levels of Hsp70 available before the stress experiments. The alternative labelling of the two main isoforms of Hsp70 according to the origin of the animals allowed hypotheses to be put forward on the functioning of thermoregulation in Antarctic krill as well as ice krill.</t>
  </si>
  <si>
    <t>[Toullec, Jean-Yves; Cascella, Kevin; Ruault, Stephanie; Geffroy, Alexandre; Lorieux, David] Sorbonne Univ, Fac Sci, CNRS, UMR 7144,AD2M,Stn Biol Roscoff, F-29682 Roscoff, France; [Montagne, Nicolas] Sorbonne Univ, iEES Paris, Fac Sci, F-75005 Paris, France; [Ollivaux, Celine] Sorbonne Univ, Fac Sci, CNRS, UMR,LBI2M,Stn Biol Roscoff, F-29682 Roscoff, France; [Lee, Chi-Ying] Natl Changhua Univ Educ, Dept Biol, Changhua 50058, Taiwan</t>
  </si>
  <si>
    <t>Sorbonne Universite; Centre National de la Recherche Scientifique (CNRS); CNRS - Institute of Ecology &amp; Environment (INEE); Universite Paris-Est-Creteil-Val-de-Marne (UPEC); Sorbonne Universite; Universite Paris Cite; Centre National de la Recherche Scientifique (CNRS); Sorbonne Universite; National Changhua University of Education</t>
  </si>
  <si>
    <t>Toullec, JY (corresponding author), Sorbonne Univ, Fac Sci, CNRS, UMR 7144,AD2M,Stn Biol Roscoff, F-29682 Roscoff, France.</t>
  </si>
  <si>
    <t>jean-yves.toullec@sb-roscoff.fr</t>
  </si>
  <si>
    <t>Montagne, Nicolas/0000-0001-8810-3853</t>
  </si>
  <si>
    <t>Emergence-UPMC 2011 research program; Region Bretagne; Institut Paul Emile Victor (IPEV) (KREVET program); Region Bretagne (SAD-1 - DRAKAR program)</t>
  </si>
  <si>
    <t>Emergence-UPMC 2011 research program; Region Bretagne(Region Bretagne); Institut Paul Emile Victor (IPEV) (KREVET program); Region Bretagne (SAD-1 - DRAKAR program)</t>
  </si>
  <si>
    <t>KC received a PhD grant from the Emergence-UPMC 2011 research program and the Region Bretagne. JYT benefited from funding provided by Institut Paul Emile Victor (IPEV) (KREVET program) and also from the Region Bretagne (SAD-1 - DRAKAR program). JYT would like to thank all the IPEV staff at the base Dumont d'Urville and Astrolabe's crew for their help during different Antarctic campaigns in Terre Adelie. JYT would also like to thank Dr. So Kawaguchi and Rob King for their invaluable advice and support in setting up the aquarium experiments at the AAD in Kingston, Tasmania. Many thanks to Drs. Juan Hofer (IDEAL, Chile) and Marcelo Gonzalez-Aravena (INACH, Chile) for providing krill samples from western Antarctica. The authors would like to thank also the reviewers for their constructive comments.</t>
  </si>
  <si>
    <t>1355-8145</t>
  </si>
  <si>
    <t>1466-1268</t>
  </si>
  <si>
    <t>CELL STRESS CHAPERON</t>
  </si>
  <si>
    <t>Cell Stress Chaperones</t>
  </si>
  <si>
    <t>10.1007/s12192-020-01103-2</t>
  </si>
  <si>
    <t>Cell Biology</t>
  </si>
  <si>
    <t>LI7XR</t>
  </si>
  <si>
    <t>Green Submitted, Green Published, hybrid</t>
  </si>
  <si>
    <t>WOS:000521771800002</t>
  </si>
  <si>
    <t>Bowman, KL; Lamborg, CH; Agather, AM</t>
  </si>
  <si>
    <t>Bowman, Katlin L.; Lamborg, Carl H.; Agather, Alison M.</t>
  </si>
  <si>
    <t>A global perspective on mercury cycling in the ocean</t>
  </si>
  <si>
    <t>SCIENCE OF THE TOTAL ENVIRONMENT</t>
  </si>
  <si>
    <t>GEOTRACES; Methylmercury; Speciation; Fluxes; Sources; Sinks</t>
  </si>
  <si>
    <t>AIR-SEA EXCHANGE; SUBMARINE GROUNDWATER DISCHARGE; REACTIVE GASEOUS MERCURY; NORTH-ATLANTIC OCEAN; ELEMENTAL MERCURY; PACIFIC-OCEAN; WATER COLUMN; METHYLATED MERCURY; HYDRIDE GENERATION; SURFACE WATERS</t>
  </si>
  <si>
    <t>Mercury (Hg) is a ubiquitous metal in the ocean that undergoes in situ chemical transformations in seawater and marine sediment. Most relevant to public health is the production of monomethyl-Hg. a neurotoxin to humans that accumulates in marine fish and mammals. Here we synthesize 30 years of Hg measurements in the ocean to discuss sources, sinks, and internal cycling of this toxic metal. Global-scale oceanographic survey programs ( i.e. CLIVAR and GEOTRACES), refined protocols for clean sampling, and analytical advancements have produced over 200 high-resolution, full-depth profiles of total Hg, methylated Hg, and gaseous elemental Hg throughout the Atlantic, Pacific, Arctic, and Southern Oceans. Vertical maxima of methylated Hg were found in surface waters, near the subsurface chlorophyll maximum, and in low-oxygen thermocline waters. The greatest concentration of Hg in deep water was measured in Antarctic Bottom Water, and in newly formed Labrador Sea Water, Hg showed a decreasing trend over the past 20 years. Distribution of Hg in polar oceans was unique relative to lower latitudes with higher concentrations of total Hg near the surface and vertical trends of Hg speciation driven by water column stratification and seasonal ice cover. Global models of Hg in the ocean require a better understanding of bio-geochemical controls on Hg speciation and improved accuracy of methylated Hg measurements within the international community. (C) 2019 Elsevier B.V. All rights reserved.</t>
  </si>
  <si>
    <t>[Bowman, Katlin L.] Moss Landing Marine Labs, 8272 Moss Landing Rd, Moss Landing, CA 95039 USA; [Bowman, Katlin L.; Lamborg, Carl H.] Univ Calif Santa Cruz, Ocean Sci Dept, 1156 High St, Santa Cruz, CA 95064 USA; [Agather, Alison M.] NOAA, 1325 East West Highway, Silver Spring, MD 20910 USA</t>
  </si>
  <si>
    <t>Moss Landing Marine Laboratories; University of California System; University of California Santa Cruz; National Oceanic Atmospheric Admin (NOAA) - USA</t>
  </si>
  <si>
    <t>Bowman, KL (corresponding author), 117 Handley St, Santa Cruz, CA 95060 USA.</t>
  </si>
  <si>
    <t>klbowman@ucsc.edu; clamborg@ucsc.edu; alison.agather@noaa.gov</t>
  </si>
  <si>
    <t>Adamczyk, Katlin/0000-0003-3324-0062</t>
  </si>
  <si>
    <t>U.S. National Science Foundation (Chemical Oceanography)</t>
  </si>
  <si>
    <t>U.S. National Science Foundation (Chemical Oceanography)(National Science Foundation (NSF)NSF - Directorate for Geosciences (GEO))</t>
  </si>
  <si>
    <t>This paper is part of a virtual special issue on advances in Hg research. We thank our GEOTRACES collaborators Chad Hammerschmidt and Rob Mason, as well as Fei Wang and Lars-Eric Heimburger who contributed data. Thank you to the U.S. and International GEOTRACES programs and administrators. The research of the Lamborg, Hammerschmidt, and Mason laboratories has been supported by the U.S. National Science Foundation (Chemical Oceanography).</t>
  </si>
  <si>
    <t>0048-9697</t>
  </si>
  <si>
    <t>1879-1026</t>
  </si>
  <si>
    <t>SCI TOTAL ENVIRON</t>
  </si>
  <si>
    <t>Sci. Total Environ.</t>
  </si>
  <si>
    <t>10.1016/j.scitotenv.2019.136166</t>
  </si>
  <si>
    <t>Environmental Sciences</t>
  </si>
  <si>
    <t>KI1EZ</t>
  </si>
  <si>
    <t>WOS:000511088800003</t>
  </si>
  <si>
    <t>Nanni, V; Caprio, E; Bombieri, G; Schiaparelli, S; Chiorri, C; Mammola, S; Pedrini, P; Penteriani, V</t>
  </si>
  <si>
    <t>Nanni, Veronica; Caprio, Enrico; Bombieri, Giulia; Schiaparelli, Stefano; Chiorri, Carlo; Mammola, Stefano; Pedrini, Paolo; Penteriani, Vincenzo</t>
  </si>
  <si>
    <t>Social Media and Large Carnivores: Sharing Biased News on Attacks on Humans</t>
  </si>
  <si>
    <t>FRONTIERS IN ECOLOGY AND EVOLUTION</t>
  </si>
  <si>
    <t>emotional contagion; human-wildlife conflict; media reports; attacks on humans; Twitter; Facebook; sensationalism</t>
  </si>
  <si>
    <t>NEGATIVITY; RISK</t>
  </si>
  <si>
    <t>The Internet and social media have profoundly changed the way the public receives and transmits news. The ability of the web to quickly disperse information both geographically and temporally allows social media to reach a much wider audience compared to traditional mass media. A powerful role is played by sharing, as millions of people routinely share news on social media platforms, influencing each other by transmitting their mood and feelings to others through emotional contagion. Thus, social media has become crucial in driving public perception and opinion. Humans have an instinctive fear of large carnivores, but such a negative attitude may be amplified by news media presentations and their diffusion on social media. Here, we investigated how reports of predator attacks on humans published in online newspapers spread on social media. By means of multi-model inference, we explored the contribution of four factors in driving the number of total shares (NTS) of news reports on social media: the graphic/sensationalistic content, the presence of images, the species, as well as the newspaper coverage. According to our results, the information delivered by social media is highly biased toward a graphic/sensationalistic view of predators. Thus, such negative coverage might lead to an unjustified and amplified fear in the public with consequent lower tolerance toward predators and decrease in the support for conservation plans. However, because social media represents a powerful communication tool, its role might be reversed to positive if used appropriately. Thus, constant engagement of scientists on social media would be needed to both disseminate more accurate information on large carnivores and stem the tide of misinformation before its widespread diffusion, a crucial step for effective predator conservation.</t>
  </si>
  <si>
    <t>[Nanni, Veronica; Schiaparelli, Stefano] Univ Genoa, Dept Earth Environm &amp; Life Sci DISTAV, Genoa, Italy; [Nanni, Veronica; Bombieri, Giulia; Penteriani, Vincenzo] CSIC UO PA, Res Unit Biodivers UMIB, Mieres, Spain; [Caprio, Enrico] Univ Turin, Dept Life Sci &amp; Syst Biol, Turin, Italy; [Bombieri, Giulia; Pedrini, Paolo] MUSE Sci Museum, Vertebrate Zool Sect, Trento, Italy; [Schiaparelli, Stefano] Univ Genoa, Italian Natl Antarctic Museum MNA, Sect Genoa, Genoa, Italy; [Chiorri, Carlo] Univ Genoa, Dept Educ Sci, Genoa, Italy; [Mammola, Stefano] Univ Helsinki, LIBRe Lab Integrat Biodivers Res, Finnish Museum Nat Hist, Helsinki, Finland; [Mammola, Stefano] Natl Res Council Italy CNR IRSA, Water Res Inst, Mol Ecol Grp MEG, Verbania, Italy</t>
  </si>
  <si>
    <t>University of Genoa; Consejo Superior de Investigaciones Cientificas (CSIC); University of Turin; University of Genoa; University of Genoa; University of Helsinki; Consiglio Nazionale delle Ricerche (CNR); Istituto di Ricerca sulle Acque (IRSA-CNR)</t>
  </si>
  <si>
    <t>Nanni, V (corresponding author), Univ Genoa, Dept Earth Environm &amp; Life Sci DISTAV, Genoa, Italy.;Nanni, V (corresponding author), CSIC UO PA, Res Unit Biodivers UMIB, Mieres, Spain.</t>
  </si>
  <si>
    <t>veronicananni7@gmail.com</t>
  </si>
  <si>
    <t>Nanni, Veronica/AAK-1194-2021; Caprio, Enrico/G-1310-2011; Mammola, Stefano/I-1518-2019; Chiorri, Carlo/AAI-6712-2020; Penteriani, Vincenzo/H-1463-2015</t>
  </si>
  <si>
    <t>Nanni, Veronica/0000-0001-6379-7764; Mammola, Stefano/0000-0002-4471-9055; Chiorri, Carlo/0000-0002-1640-3897; Penteriani, Vincenzo/0000-0002-9333-7846</t>
  </si>
  <si>
    <t>Excellence Project - Spanish Ministry of Science, Innovation and Universities [CGL2017-82782-P]; Agencia Estatal de Investigacion (AEI); Fondo Europeo de Desarrollo Regional (FEDER, EU); GRUPIN research grant from the Regional Government of Asturias [IDI/2018/000151]; MUSE-Museo delle Scienze of Trento (Italy)</t>
  </si>
  <si>
    <t>Excellence Project - Spanish Ministry of Science, Innovation and Universities; Agencia Estatal de Investigacion (AEI); Fondo Europeo de Desarrollo Regional (FEDER, EU)(European Union (EU)Spanish Government); GRUPIN research grant from the Regional Government of Asturias(Principality of Asturias); MUSE-Museo delle Scienze of Trento (Italy)</t>
  </si>
  <si>
    <t>VP was financially supported by the Excellence Project CGL2017-82782-P financed by the Spanish Ministry of Science, Innovation and Universities, the Agencia Estatal de Investigacion (AEI) and the Fondo Europeo de Desarrollo Regional (FEDER, EU). VP was also funded by a GRUPIN research grant from the Regional Government of Asturias (Ref.: IDI/2018/000151). GB was financially supported by a collaboration contract with the MUSE-Museo delle Scienze of Trento (Italy).</t>
  </si>
  <si>
    <t>2296-701X</t>
  </si>
  <si>
    <t>FRONT ECOL EVOL</t>
  </si>
  <si>
    <t>Front. Ecol. Evol.</t>
  </si>
  <si>
    <t>MAR 24</t>
  </si>
  <si>
    <t>10.3389/fevo.2020.00071</t>
  </si>
  <si>
    <t>PC3MW</t>
  </si>
  <si>
    <t>WOS:000596910800001</t>
  </si>
  <si>
    <t>Martínez, DP; Sousa, C; Oyarzún, R; Pontigo, JP; Canario, AVM; Power, DM</t>
  </si>
  <si>
    <t>Martinez, D. P.; Sousa, C.; Oyarzun, R.; Pontigo, J. P.; Canario, A. V. M.; Power, D. M.</t>
  </si>
  <si>
    <t>LPS Modulates the Expression of Iron-Related Immune Genes in Two Antarctic Notothenoids (vol 11, 102, 2020)</t>
  </si>
  <si>
    <t>FRONTIERS IN PHYSIOLOGY</t>
  </si>
  <si>
    <t>Correction</t>
  </si>
  <si>
    <t>Notothenia coriiceps; Notothenia rossii; iron metabolism; Antarctic fish; nutritional immunity</t>
  </si>
  <si>
    <t>Canario, Adelino/C-7942-2009; Power, Deborah M/D-3333-2011; Pontigo, Juan Pablo/AAS-2367-2021; Oyarzún-Salazar, Ricardo/HGU-6035-2022; Sousa, Carla/Y-5183-2019</t>
  </si>
  <si>
    <t>Canario, Adelino/0000-0002-6244-6468; Power, Deborah M/0000-0003-1366-0246; Pontigo, Juan Pablo/0000-0003-0084-0862; Sousa, Carla/0000-0003-2313-0775</t>
  </si>
  <si>
    <t>1664-042X</t>
  </si>
  <si>
    <t>FRONT PHYSIOL</t>
  </si>
  <si>
    <t>Front. Physiol.</t>
  </si>
  <si>
    <t>10.3389/fphys.2020.00262</t>
  </si>
  <si>
    <t>Physiology</t>
  </si>
  <si>
    <t>PC3IP</t>
  </si>
  <si>
    <t>WOS:000596899600001</t>
  </si>
  <si>
    <t>Dumont, M; Pichevin, L; Geibert, W; Crosta, X; Michel, E; Moreton, S; Dobby, K; Ganeshram, R</t>
  </si>
  <si>
    <t>Dumont, M.; Pichevin, L.; Geibert, W.; Crosta, X.; Michel, E.; Moreton, S.; Dobby, K.; Ganeshram, R.</t>
  </si>
  <si>
    <t>The nature of deep overturning and reconfigurations of the silicon cycle across the last deglaciation</t>
  </si>
  <si>
    <t>NATURE COMMUNICATIONS</t>
  </si>
  <si>
    <t>ATMOSPHERIC CO2 CONCENTRATIONS; WATER MASS STRUCTURE; SOUTHERN-OCEAN; CLIMATE VARIABILITY; PACIFIC SECTOR; BIOGENIC OPAL; ATLANTIC; NUTRIENT; SI; CIRCULATION</t>
  </si>
  <si>
    <t>Changes in ocean circulation and the biological carbon pump have been implicated as the drivers behind the rise in atmospheric CO2 across the last deglaciation; however, the processes involved remain uncertain. Previous records have hinted at a partitioning of deep ocean ventilation across the two major intervals of atmospheric CO2 rise, but the consequences of differential ventilation on the Si cycle has not been explored. Here we present three new records of silicon isotopes in diatoms and sponges from the Southern Ocean that together show increased Si supply from deep mixing during the deglaciation with a maximum during the Younger Dryas (YD). We suggest Antarctic sea ice and Atlantic overturning conditions favoured abyssal ocean ventilation at the YD and marked an interval of Si cycle reorganisation. By regulating the strength of the biological pump, the glacial-interglacial shift in the Si cycle may present an important control on Pleistocene CO2 concentrations.</t>
  </si>
  <si>
    <t>[Dumont, M.; Pichevin, L.; Dobby, K.; Ganeshram, R.] Univ Edinburgh, Sch Geosci, Edinburgh, Midlothian, Scotland; [Dumont, M.] Univ St Andrews, Sch Earth &amp; Environm Sci, St Andrews, Fife, Scotland; [Geibert, W.] Alfred Wegener Inst, Bremerhaven, Germany; [Crosta, X.] Univ Bordeaux, UMR EPOC 5805, Bordeaux, France; [Michel, E.] Inst Pierre Simon Laplace, Lab Sci Climat &amp; Environm, Labo CNRS CEA UVSQ, Gif Sur Yvette, France; [Moreton, S.] Scottish Univ Environm Res Ctr, East Kilbride, Scotland</t>
  </si>
  <si>
    <t>University of Edinburgh; University of St Andrews; Helmholtz Association; Alfred Wegener Institute, Helmholtz Centre for Polar &amp; Marine Research; Universite de Bordeaux; Centre National de la Recherche Scientifique (CNRS); Universite Paris Cite; CEA; Centre National de la Recherche Scientifique (CNRS); Universite Paris Saclay</t>
  </si>
  <si>
    <t>Dumont, M (corresponding author), Univ Edinburgh, Sch Geosci, Edinburgh, Midlothian, Scotland.;Dumont, M (corresponding author), Univ St Andrews, Sch Earth &amp; Environm Sci, St Andrews, Fife, Scotland.</t>
  </si>
  <si>
    <t>md76@st-andrews.ac.uk</t>
  </si>
  <si>
    <t>Ganeshram, Raja S/JPX-5314-2023; Geibert, Walter/ABA-9785-2020; Moreton, Steven/C-2373-2009</t>
  </si>
  <si>
    <t>Geibert, Walter/0000-0001-8646-2334; Michel, Elisabeth/0000-0001-7810-8888; Moreton, Steven/0000-0002-8030-2433</t>
  </si>
  <si>
    <t>NERC E3 DTP studentship; NERC [1883.0415, ne/j02371x/1]; NERC [NE/J02371X/1] Funding Source: UKRI</t>
  </si>
  <si>
    <t>NERC E3 DTP studentship; NERC(UK Research &amp; Innovation (UKRI)Natural Environment Research Council (NERC)); NERC(UK Research &amp; Innovation (UKRI)Natural Environment Research Council (NERC))</t>
  </si>
  <si>
    <t>This work was supported by the NERC E3 DTP studentship awarded to M. Dumont and NERC Grant (ne/j02371x/1) award to R.S. Ganeshram and L.E. Pichevin. We would also like to thank S. Mowbray and C. Chilcott from the University of Edinburgh for their invaluable technical assistance. Radiocarbon analyses were supported by the NERC Radiocarbon Facility (allocation 1883.0415).</t>
  </si>
  <si>
    <t>2041-1723</t>
  </si>
  <si>
    <t>NAT COMMUN</t>
  </si>
  <si>
    <t>Nat. Commun.</t>
  </si>
  <si>
    <t>10.1038/s41467-020-15101-6</t>
  </si>
  <si>
    <t>LJ2UK</t>
  </si>
  <si>
    <t>Green Submitted, Green Published, gold</t>
  </si>
  <si>
    <t>WOS:000530024600004</t>
  </si>
  <si>
    <t>Reisinger, RR; Penfold, M; Bester, MN; Steenkamp, G</t>
  </si>
  <si>
    <t>Reisinger, Ryan R.; Penfold, Miles; Bester, Marthan N.; Steenkamp, Gerhard</t>
  </si>
  <si>
    <t>Seal bites at sub-Antarctic Marion Island: Incidence, outcomes and treatment recommendations</t>
  </si>
  <si>
    <t>JOURNAL OF THE SOUTH AFRICAN VETERINARY ASSOCIATION</t>
  </si>
  <si>
    <t>marine mammal; bite; treatment; infection; zoonoses</t>
  </si>
  <si>
    <t>WOUND IRRIGATION; MANAGEMENT; DOG; PRINCIPLES; FINGER</t>
  </si>
  <si>
    <t>Seal biologists at Marion Island (Southern Ocean) are in frequent contact with seals. During research activities, biologists may be bitten by seals, yet no standardised protocol for treating such bites is in place. Information on 22 seal bite cases at Marion Island was collected. Treatment of these bites varied, reflecting a need for standardised protocols for the treatment of bites. Recommendations for the in-field treatment of bites are presented. Five of the 22 cases had some symptoms which resembled 'seal finger' - a zoonotic infection, usually of the hands, that is contracted after a person comes into contact with tissues of seals or is bitten by one. However, in four of these cases, symptoms subsided within 4 days without antibiotic treatment; in the fifth case antibiotics were administered and symptoms subsided in 4 days. There is little evidence of the occurrence of seal finger at Marion Island, but this deserves further investigation.</t>
  </si>
  <si>
    <t>[Reisinger, Ryan R.; Bester, Marthan N.; Steenkamp, Gerhard] Univ Pretoria, Mammal Res Inst, Dept Zool &amp; Entomol, Pretoria, South Africa; [Reisinger, Ryan R.] Nelson Mandela Univ, Dept Zool, Port Elizabeth, South Africa; [Penfold, Miles; Steenkamp, Gerhard] Univ Pretoria, Dept Compan Anim Clin Studies, Fac Vet Sci, Pretoria, South Africa</t>
  </si>
  <si>
    <t>University of Pretoria; Nelson Mandela University; University of Pretoria</t>
  </si>
  <si>
    <t>Steenkamp, G (corresponding author), Univ Pretoria, Mammal Res Inst, Dept Zool &amp; Entomol, Pretoria, South Africa.;Steenkamp, G (corresponding author), Univ Pretoria, Dept Compan Anim Clin Studies, Fac Vet Sci, Pretoria, South Africa.</t>
  </si>
  <si>
    <t>gerhard.steenkamp@up.ac.za</t>
  </si>
  <si>
    <t>Steenkamp, Gerhard/AAP-3362-2021; Reisinger, Ryan/D-6151-2014</t>
  </si>
  <si>
    <t>Reisinger, Ryan/0000-0002-8933-6875; Steenkamp, Gerhard/0000-0001-8428-7309</t>
  </si>
  <si>
    <t>South African Department of Science and Technology; National Research Foundation South African Network for Coastal and Oceanic Research (SANCOR) grant [94916]</t>
  </si>
  <si>
    <t>South African Department of Science and Technology; National Research Foundation South African Network for Coastal and Oceanic Research (SANCOR) grant</t>
  </si>
  <si>
    <t>Funding for marine mammal research at the Prince Edward Islands was provided by the South African Department of Science and Technology, administered by the National Research Foundation, whilst the Department of Environmental Affairs provided logistical support. R.R.R. was supported by a National Research Foundation South African Network for Coastal and Oceanic Research (SANCOR) grant (94916) whilst preparing this article.</t>
  </si>
  <si>
    <t>AOSIS</t>
  </si>
  <si>
    <t>CAPE TOWN</t>
  </si>
  <si>
    <t>POSTNET SUITE 55, PRIVATE BAG X22, TYGERVALLEY, CAPE TOWN, 00000, SOUTH AFRICA</t>
  </si>
  <si>
    <t>1019-9128</t>
  </si>
  <si>
    <t>2224-9435</t>
  </si>
  <si>
    <t>J S AFR VET ASSOC</t>
  </si>
  <si>
    <t>J. S. Afr. Vet. Assoc.</t>
  </si>
  <si>
    <t>a1720</t>
  </si>
  <si>
    <t>10.4102/jsava.v91i0.1720</t>
  </si>
  <si>
    <t>Veterinary Sciences</t>
  </si>
  <si>
    <t>LA5LZ</t>
  </si>
  <si>
    <t>gold, Green Accepted, Green Published</t>
  </si>
  <si>
    <t>WOS:000523990000001</t>
  </si>
  <si>
    <t>Crawford, AJ; Mueller, D; Crocker, G; Mingo, L; Desjardins, L; Dumont, D; Babin, M</t>
  </si>
  <si>
    <t>Crawford, Anna J.; Mueller, Derek; Crocker, Gregory; Mingo, Laurent; Desjardins, Luc; Dumont, Dany; Babin, Marcel</t>
  </si>
  <si>
    <t>Ice island thinning: rates and model calibration with in situ observations from Baffin Bay, Nunavut</t>
  </si>
  <si>
    <t>CRYOSPHERE</t>
  </si>
  <si>
    <t>ANTARCTIC ICEBERGS; SEA-ICE; OCEAN; DISTRIBUTIONS; EVOLUTION; DRIFT; MELT</t>
  </si>
  <si>
    <t>A 130 km(2) tabular iceberg calved from Petermann Glacier in northwestern Greenland on 5 August 2012. Subsequent fracturing generated many individual large ice islands, including Petermann ice island (PII)-A-1-f, which drifted between Nares Strait and the North Atlantic. Thinning caused by basal and surface ablation increases the likelihood that these ice islands will fracture and disperse further, thereby increasing the risk to marine transport and infrastructure as well as affecting the distribution of freshwater from the polar ice sheets. We use a unique stationary and mobile ice-penetrating radar dataset collected over four campaigns to PII-A-1-f to quantify and contextualize ice island surface and basal ablation rates and calibrate a forced convection basal ablation model. The ice island thinned by 4.7 m over 11 months. The majority of thinning (73 %) resulted from basal ablation, but the volume loss associated with basal ablation was similar to 12 times less than that caused by areal reduction (e.g. wave erosion, calving, and fracture). However, localized thinning may have influenced a large fracture event that occurred along a section of ice that was similar to 40 m thinner than the remainder of the ice island. The calibration of the basal ablation model, the first known to be conducted with field data, supports assigning the theoretically derived value of 1.2 x 10(-5) m(2/5) s(-1/5) degrees C-1 to the model's bulk heat transfer coefficient with the use of an empirically estimated ice- ocean interface temperature. Overall, this work highlights the value of systematically collecting ice island field data for analyzing deterioration processes, assessing their connections to ice island morphology, and adequately developing models for operational and research purposes.</t>
  </si>
  <si>
    <t>[Crawford, Anna J.; Mueller, Derek; Crocker, Gregory; Desjardins, Luc] Carleton Univ, Dept Geog &amp; Environm Studies, Ottawa, ON K1S 5B6, Canada; [Crawford, Anna J.] Univ St Andrews, Sch Geog &amp; Sustainable Dev, St Andrews KY16 9AJ, Fife, Scotland; [Mingo, Laurent] Blue Syst Integrat Ltd, Vancouver, BC V5W 3H4, Canada; [Dumont, Dany] Univ Quebec Rimouski, Inst Sci Rimouski, Rimouski, PQ G5L 3A1, Canada; [Babin, Marcel] Univ Laval, Dept Biol, Quebec City, PQ G1V 0A6, Canada</t>
  </si>
  <si>
    <t>Carleton University; University of St Andrews; University of Quebec; Universite du Quebec a Rimouski; Laval University</t>
  </si>
  <si>
    <t>Crawford, AJ (corresponding author), Carleton Univ, Dept Geog &amp; Environm Studies, Ottawa, ON K1S 5B6, Canada.;Crawford, AJ (corresponding author), Univ St Andrews, Sch Geog &amp; Sustainable Dev, St Andrews KY16 9AJ, Fife, Scotland.</t>
  </si>
  <si>
    <t>ajc44@st-andrews.ac.uk</t>
  </si>
  <si>
    <t>Dumont, Dany/J-6664-2017</t>
  </si>
  <si>
    <t>Dumont, Dany/0000-0003-4107-1799; Mueller, Derek/0000-0003-1974-319X; Babin, Marcel/0000-0001-9233-2253; Mingo, Laurent/0000-0001-7863-1257</t>
  </si>
  <si>
    <t>Polar Knowledge Canada Safe Passage project [1516-065]; GarfieldWeston Foundation; Natural Sciences and Engineering Research Council (Canada); Environment and Climate Change Canada</t>
  </si>
  <si>
    <t>Polar Knowledge Canada Safe Passage project; GarfieldWeston Foundation; Natural Sciences and Engineering Research Council (Canada)(Natural Sciences and Engineering Research Council of Canada (NSERC)); Environment and Climate Change Canada</t>
  </si>
  <si>
    <t>Instrument development and fieldwork were supported by the Northern Transportation Adaptation Initiative of Transport Canada, the Polar Knowledge Canada Safe Passage project (no. 1516-065), and Polar Knowledge Canada's Northern Scientific Training Program. Anna J. Crawford received personal funding from the GarfieldWeston Foundation, the Natural Sciences and Engineering Research Council (Canada), and Environment and Climate Change Canada.</t>
  </si>
  <si>
    <t>1994-0416</t>
  </si>
  <si>
    <t>1994-0424</t>
  </si>
  <si>
    <t>Cryosphere</t>
  </si>
  <si>
    <t>10.5194/tc-14-1067-2020</t>
  </si>
  <si>
    <t>Geography, Physical; Geosciences, Multidisciplinary</t>
  </si>
  <si>
    <t>Physical Geography; Geology</t>
  </si>
  <si>
    <t>KX5TU</t>
  </si>
  <si>
    <t>Green Submitted, gold</t>
  </si>
  <si>
    <t>WOS:000521943800001</t>
  </si>
  <si>
    <t>Correia, E; Raunheitte, LTM; Bageston, JV; D'Amico, DE</t>
  </si>
  <si>
    <t>Correia, Emilia; Medeiros Raunheitte, Luis Tiago; Bageston, Jose Valentin; D'Amico, Dino Enrico</t>
  </si>
  <si>
    <t>Characterization of gravity waves in the lower ionosphere using very low frequency observations at Comandante Ferraz Brazilian Antarctic Station</t>
  </si>
  <si>
    <t>ANNALES GEOPHYSICAE</t>
  </si>
  <si>
    <t>MOMENTUM FLUX; BEHAVIOR</t>
  </si>
  <si>
    <t>The goal of this work is to investigate the gravity wave (GW) characteristics in the low ionosphere using very low frequency (VLF) radio signals. The spatial modulations produced by the GWs affect the conditions of the electron density at reflection height of the VLF signals, which produce fluctuations of the electrical conductivity in the D region that can be detected as variations in the amplitude and phase of VLF narrowband signals. The analysis considered the VLF signal transmitted from the US Cutler, Maine (NAA) station that was received at Comandante Ferraz Brazilian Antarctic Station (EACF, 62.1 degrees S, 58.4 degrees W), with its great circle path crossing the Drake Passage longitudinally. The wave periods of the GWs detected in the low ionosphere are obtained using the wavelet analysis applied to the VLF amplitude. Here the VLF technique was used as a new aspect for monitoring GW activity. It was validated comparing the wave period and duration properties of one GW event observed simultaneously with a co-located airglow all-sky imager both operating at EACF. The statistical analysis of the seasonal variation of the wave periods detected using VLF technique for 2007 showed that the GW events occurred all observed days, with the waves with a period between 5 and 10 min dominating during night hours from May to September, while during daytime hours the waves with a period between 0 and 5 min are predominant the whole year and dominate all days from November to April. These results show that VLF technique is a powerful tool to obtain the wave period and duration of GW events in the low ionosphere, with the advantage of being independent of sky conditions, and it can be used during the whole day and year-round.</t>
  </si>
  <si>
    <t>[Correia, Emilia] INPE, Sao Jose Dos Campos, SP, Brazil; [Correia, Emilia; Medeiros Raunheitte, Luis Tiago; D'Amico, Dino Enrico] Univ Presbiteriana Mackenzie, Ctr Radio Astron &amp; Astrofis Mackenzie, Sao Paulo, SP, Brazil; [Bageston, Jose Valentin] CRS INPE, Ctr Reg Sul Pesquisas Espaciais, Santa Maria, RS, Brazil</t>
  </si>
  <si>
    <t>Instituto Nacional de Pesquisas Espaciais (INPE); Universidade Presbiteriana Mackenzie; Instituto Nacional de Pesquisas Espaciais (INPE)</t>
  </si>
  <si>
    <t>Correia, E (corresponding author), INPE, Sao Jose Dos Campos, SP, Brazil.;Correia, E (corresponding author), Univ Presbiteriana Mackenzie, Ctr Radio Astron &amp; Astrofis Mackenzie, Sao Paulo, SP, Brazil.</t>
  </si>
  <si>
    <t>ecorreia@craam.mackenzie.br; bage-ston@gmail.com</t>
  </si>
  <si>
    <t>Correia, Emilia/F-6802-2012; Bageston, Jose Valentin/F-1269-2018</t>
  </si>
  <si>
    <t>Correia, Emilia/0000-0003-4778-3834; Bageston, Jose V/0000-0003-2931-8488</t>
  </si>
  <si>
    <t>Conselho Nacional de Desenvolvimento Cientifico e Tecnologico - CNPq [406690/2013-8, 303299/2016-9]; Sao Paulo Research Foundation - FAPESP [2019/05455-2]; Coordenacao de Aperfeicoamento de Pessoal de Nivel Superior - Brasil (CAPES) [001]; Fundacao de Amparo a Pesquisa do Estado de Sao Paulo (FAPESP) [19/05455-2] Funding Source: FAPESP</t>
  </si>
  <si>
    <t>Conselho Nacional de Desenvolvimento Cientifico e Tecnologico - CNPq(Conselho Nacional de Desenvolvimento Cientifico e Tecnologico (CNPQ)); Sao Paulo Research Foundation - FAPESP(Fundacao de Amparo a Pesquisa do Estado de Sao Paulo (FAPESP)); Coordenacao de Aperfeicoamento de Pessoal de Nivel Superior - Brasil (CAPES)(Coordenacao de Aperfeicoamento de Pessoal de Nivel Superior (CAPES)); Fundacao de Amparo a Pesquisa do Estado de Sao Paulo (FAPESP)(Fundacao de Amparo a Pesquisa do Estado de Sao Paulo (FAPESP))</t>
  </si>
  <si>
    <t>This research has been supported by the Conselho Nacional de Desenvolvimento Cientifico e Tecnologico - CNPq (grant nos. 406690/2013-8 and 303299/2016-9), the Sao Paulo Research Foundation - FAPESP (grant no. 2019/05455-2), and the Coordenacao de Aperfeicoamento de Pessoal de Nivel Superior - Brasil (CAPES) - Finance Code 001.</t>
  </si>
  <si>
    <t>0992-7689</t>
  </si>
  <si>
    <t>1432-0576</t>
  </si>
  <si>
    <t>ANN GEOPHYS-GERMANY</t>
  </si>
  <si>
    <t>Ann. Geophys.</t>
  </si>
  <si>
    <t>10.5194/angeo-38-385-2020</t>
  </si>
  <si>
    <t>Astronomy &amp; Astrophysics; Geosciences, Multidisciplinary; Meteorology &amp; Atmospheric Sciences</t>
  </si>
  <si>
    <t>Astronomy &amp; Astrophysics; Geology; Meteorology &amp; Atmospheric Sciences</t>
  </si>
  <si>
    <t>KX5TL</t>
  </si>
  <si>
    <t>WOS:000521942700001</t>
  </si>
  <si>
    <t>Cullen-knox, C; Flaming, A; Lester, L; Ogier, E</t>
  </si>
  <si>
    <t>Cullen-knox, Coco; Flaming, Aysha; Lester, Libby; Ogier, Emily</t>
  </si>
  <si>
    <t>Tracing Environmental Sustainability Discourses: An Australia-Asia Seafood Case Study</t>
  </si>
  <si>
    <t>FRONTIERS IN MARINE SCIENCE</t>
  </si>
  <si>
    <t>environment; sustainability; Australia; Asia; seafood; aquaculture; transnational</t>
  </si>
  <si>
    <t>GOVERNANCE; CERTIFICATION; CONSUMPTION; CONFLICT; TRADE</t>
  </si>
  <si>
    <t>The seafood market is highly globalised with a growing demand for seafood and fish products worldwide. The capacity of wild fisheries is limited and therefore aquaculture is fast becoming the most stable source of seafood to meet increasing demand. Subsequently, the perceived environmental risk of fin-fish aquaculture has been the focus of substantial environmental campaigning, media and public scrutiny around the world. This paper places localised tensions regarding the environmental impacts of salmon aquaculture within transnational environmental sustainability debates concerning seafood production and vice-versa, with a focus on the Australia-Asia region. The results contribute to understanding the interpretation and communication of environmental sustainability of seafood through international supply chains and to audiences at different spatial scales. The paper draws particularly on the case of salmon aquaculture in Tasmania, Australia's southern island state. It highlights mechanisms, such as certification, for which information flows transnationally regarding the environmental sustainability of seafood production, the resultant transnational and local public sphere and the implications for local discourse, market access, governance and certification of seafood production.</t>
  </si>
  <si>
    <t>[Cullen-knox, Coco; Flaming, Aysha; Lester, Libby; Ogier, Emily] Univ Tasmania, Ctr Marine Socioecol, Hobart, Tas, Australia; [Cullen-knox, Coco; Lester, Libby] Univ Tasmania, Media Sch, Hobart, Tas, Australia; [Flaming, Aysha] CSIRO Land &amp; Water, Hobart, Tas, Australia; [Lester, Libby] Univ Tasmania, Inst Social Change, Hobart, Tas, Australia; [Ogier, Emily] Univ Tasmania, Inst Marine &amp; Antarctic Studies, Hobart, Tas, Australia</t>
  </si>
  <si>
    <t>University of Tasmania; University of Tasmania; Commonwealth Scientific &amp; Industrial Research Organisation (CSIRO); University of Tasmania; University of Tasmania</t>
  </si>
  <si>
    <t>Cullen-knox, C (corresponding author), Univ Tasmania, Ctr Marine Socioecol, Hobart, Tas, Australia.;Cullen-knox, C (corresponding author), Univ Tasmania, Media Sch, Hobart, Tas, Australia.</t>
  </si>
  <si>
    <t>cullenc@utas.edu.au</t>
  </si>
  <si>
    <t>Fleming, Aysha/E-8753-2011; Lester, Libby/J-7148-2014</t>
  </si>
  <si>
    <t>Fleming, Aysha/0000-0001-9895-1928; Ogier, Emily/0000-0001-6157-5279; Lester, Libby/0000-0003-1046-2412</t>
  </si>
  <si>
    <t>Australian Government Research Training Program Scholarship; Australian Government through the Australian Research Council [DP150103454]; Centre for Marine Socioecology</t>
  </si>
  <si>
    <t>Australian Government Research Training Program Scholarship(Australian GovernmentDepartment of Industry, Innovation and Science); Australian Government through the Australian Research Council(Australian Research Council); Centre for Marine Socioecology</t>
  </si>
  <si>
    <t>The authors of this paper would like to acknowledge the support of The Centre for Marine Socioecology and the Australian Government Research Training Program Scholarship. This research was also supported in part by the Australian Government through the Australian Research Council's Discovery Projects funding scheme (DP150103454) Transnational Environmental Campaigns in the Australia-Asian Region. This research did not receive any specific grant from funding agencies in the public, commercial or not-for-profit sectors.</t>
  </si>
  <si>
    <t>2296-7745</t>
  </si>
  <si>
    <t>FRONT MAR SCI</t>
  </si>
  <si>
    <t>Front. Mar. Sci.</t>
  </si>
  <si>
    <t>10.3389/fmars.2020.00176</t>
  </si>
  <si>
    <t>Environmental Sciences; Marine &amp; Freshwater Biology</t>
  </si>
  <si>
    <t>Environmental Sciences &amp; Ecology; Marine &amp; Freshwater Biology</t>
  </si>
  <si>
    <t>KW5VG</t>
  </si>
  <si>
    <t>gold, Green Published</t>
  </si>
  <si>
    <t>WOS:000521233000001</t>
  </si>
  <si>
    <t>Maturana, CS; Segovia, NI; González-Wevar, CA; Díaz, A; Rosenfeld, S; Poulin, E; Jackson, JA; Convey, P</t>
  </si>
  <si>
    <t>Maturana, Claudia S.; Segovia, Nicolas, I; Gonzalez-Wevar, Claudio A.; Diaz, Angie; Rosenfeld, Sebastian; Poulin, Elie; Jackson, Jennifer A.; Convey, Peter</t>
  </si>
  <si>
    <t>Evidence of strong small-scale population structure in the Antarctic freshwater copepod Boeckella poppei in lakes on Signy Island, South Orkney Islands</t>
  </si>
  <si>
    <t>LIMNOLOGY AND OCEANOGRAPHY</t>
  </si>
  <si>
    <t>LONG-DISTANCE DISPERSAL; TERRESTRIAL LIFE; EAST ANTARCTICA; GLACIAL REFUGIA; LARSEMANN HILLS; VICTORIA LAND; RESTING EGGS; COLONIZATION; BIOGEOGRAPHY; EVOLUTION</t>
  </si>
  <si>
    <t>Environmental conditions were particularly severe during the Last Glacial Maximum, altering the distribution of the Southern Hemisphere biota, particularly at higher latitudes. The copepodBoeckella poppeiis the only macroscopic continental invertebrate species known to be distributed today across the three main biogeographic regions in Antarctica as well as in southern South America. Signy Island (South Orkney Islands) is a unique location for the study of Antarctic freshwater ecosystems due to its location and geographic isolation; it contains 17 lakes in several low altitude catchments. We conducted phylogeographic and demographic analyses using thecox1 gene on 84 individuals ofB. poppeifrom seven lakes across Signy Island. We recorded low levels of genetic diversity and a strong genetic differentiation signal between the eastern and western valleys within the island. Phylogeographic structure and demographic inference analyses suggested at least one asymmetrical dispersal event from west to east. Demographic inference detected a strong signal of population growth during the deglaciation process, which may have followed either (1) a strong genetic bottleneck due to a reduction in population size during the last glacial period, or (2) a founder effect associated with postglacial recolonization of Signy Island from elsewhere. The genetic architecture of this island's populations ofB. poppeishows that historical events, rather than continuous dispersal events, likely played a major role in the species' current distribution. Finally, our study considers possible mechanisms for dispersal and colonization success of the most dominant species in the Antarctic freshwater community.</t>
  </si>
  <si>
    <t>[Maturana, Claudia S.; Poulin, Elie] Univ Chile, Fac Ciencias, Dept Ciencias Ecol, Lab Ecol Mol, Santiago, Chile; [Maturana, Claudia S.; Segovia, Nicolas, I; Gonzalez-Wevar, Claudio A.; Rosenfeld, Sebastian; Poulin, Elie] Inst Ecol &amp; Biodiversidad IEB, Santiago, Chile; [Segovia, Nicolas, I] Univ Catolica Norte, Fac Ciencias Mar, Dept Biol Marina, Lab Diversidad Mol, Coquimbo, Chile; [Gonzalez-Wevar, Claudio A.] Univ Austral Chile, Fac Ciencias, Inst Ciencias Marinas &amp; Limnol ICML, Valdivia, Chile; [Gonzalez-Wevar, Claudio A.] Univ Austral Chile, Ctr FONDAP Invest Dinam Ecosistemas Marinos Altas, Valdivia, Chile; [Diaz, Angie] Univ Concepcion, Fac Ciencias Nat &amp; Oceanograf, Dept Zool, Concepcion, Chile; [Rosenfeld, Sebastian] Univ Magallanes, Lab Ecosistemas Marinos Antart &amp; Subantart, Punta Arenas, Chile; [Maturana, Claudia S.; Jackson, Jennifer A.; Convey, Peter] NERC, British Antarctic Survey, Cambridge, England</t>
  </si>
  <si>
    <t>Universidad de Chile; Universidad Catolica del Norte; Universidad Austral de Chile; Universidad Austral de Chile; Universidad de Concepcion; Universidad de Magallanes; UK Research &amp; Innovation (UKRI); Natural Environment Research Council (NERC); NERC British Antarctic Survey</t>
  </si>
  <si>
    <t>Poulin, E (corresponding author), Univ Chile, Fac Ciencias, Dept Ciencias Ecol, Lab Ecol Mol, Santiago, Chile.;Poulin, E (corresponding author), Inst Ecol &amp; Biodiversidad IEB, Santiago, Chile.</t>
  </si>
  <si>
    <t>epoulin@uchile.cl</t>
  </si>
  <si>
    <t>Poulin, Elie/C-2654-2012; Jackson, Jennifer A/E-7997-2013; Convey, Peter/AAV-5728-2020; Maturana, Claudia/JOK-7975-2023; González-Wevar, Claudio Alejandro/AAD-6513-2021</t>
  </si>
  <si>
    <t>Poulin, Elie/0000-0001-7736-0969; Convey, Peter/0000-0001-8497-9903; Maturana, Claudia/0000-0002-4427-8093; Segovia, Nicolas/0000-0003-3212-7527; Jackson, Jennifer/0000-0003-4158-1924</t>
  </si>
  <si>
    <t>PIA CONICYT [ACT172065]; CONICYT [21150317]; FONDECYT [3190482]; CONICYT PIA APOYO CCTE from the Institute of Ecology and Biodiversity (IEB) [AFB170008]; INACH [DT_04-16]; NERC; [P05-002 ICM]; NERC [bas0100036, bas0100035] Funding Source: UKRI</t>
  </si>
  <si>
    <t>PIA CONICYT(Comision Nacional de Investigacion Cientifica y Tecnologica (CONICYT)); CONICYT(Comision Nacional de Investigacion Cientifica y Tecnologica (CONICYT)); FONDECYT(Comision Nacional de Investigacion Cientifica y Tecnologica (CONICYT)CONICYT FONDECYT); CONICYT PIA APOYO CCTE from the Institute of Ecology and Biodiversity (IEB); INACH; NERC(UK Research &amp; Innovation (UKRI)Natural Environment Research Council (NERC)); ; NERC(UK Research &amp; Innovation (UKRI)Natural Environment Research Council (NERC))</t>
  </si>
  <si>
    <t>Funding was obtained from PIA CONICYT ACT172065 to C.S.M., E.P., C.G.W., N.I.S. and A.D. CONICYT Ph.D. Grant 21150317, Postdoctoral FONDECYT project 3190482 to N.I.S. P05-002 ICM, CONICYT PIA APOYO CCTE AFB170008 from the Institute of Ecology and Biodiversity (IEB), INACH DT_04-16 to C.S.M., and NERC core funding to the BAS Ecosystems and Biodiversity, Evolution and Adaptation teams to J.A.J. and P.C. C.S.M. gratefully acknowledges the support of BAS station staff on Signy Island, especially Michael Dunn and Stacey Adlard for organizing and supporting the data collection. We thank Lafayette Eaton for American English revision and editing. All the authors are also grateful to three anonymous reviewers for their constructive comments.</t>
  </si>
  <si>
    <t>0024-3590</t>
  </si>
  <si>
    <t>1939-5590</t>
  </si>
  <si>
    <t>LIMNOL OCEANOGR</t>
  </si>
  <si>
    <t>Limnol. Oceanogr.</t>
  </si>
  <si>
    <t>SEP</t>
  </si>
  <si>
    <t>10.1002/lno.11435</t>
  </si>
  <si>
    <t>Limnology; Oceanography</t>
  </si>
  <si>
    <t>Marine &amp; Freshwater Biology; Oceanography</t>
  </si>
  <si>
    <t>NO4ON</t>
  </si>
  <si>
    <t>hybrid, Green Accepted</t>
  </si>
  <si>
    <t>WOS:000563700200001</t>
  </si>
  <si>
    <t>Meilland, J; Howa, H; Vivien, H; Demangel, I; Salaün, J; Garlan, T</t>
  </si>
  <si>
    <t>Meilland, Julie; Howa, Helene; Vivien, Hulot; Demangel, Isaline; Salaun, Joelle; Garlan, Thierry</t>
  </si>
  <si>
    <t>Population dynamics of modern planktonic foraminifera in the western Barents Sea</t>
  </si>
  <si>
    <t>BIOGEOSCIENCES</t>
  </si>
  <si>
    <t>PTEROPOD CLIONE-LIMACINA; SOUTHWEST INDIAN-OCEAN; BIOCHEMICAL-COMPOSITION; ANTARCTIC ZOOPLANKTON; ATLANTIC WATER; ENERGY CONTENT; FRAM STRAIT; PHYTOPLANKTON; METABOLISM; LIPIDS</t>
  </si>
  <si>
    <t>This study reports on diversity and distribution of planktonic foraminifera (PF) in the Barents Sea Opening (BSO). Populations of PF living in late summer (collected by means of stratified plankton tows) and recently deposited individuals (sampled by interface corer) were compared. High abundances reaching up to 400 ind.m(-3) in tow samples and 8000 ind.m(-3) in surface sediments were recorded in the centre of the studied area while low abundances were observed in coastal areas, likely due to continental influences. The living and core-top assemblages are mainly composed of the same four species Neogloboquadrina pachyderma, Neogloboquadrina incompta, Turborotalita quinqueloba and Globigerinita uvula. The two species G. uvula and T. quinqueloba dominate the upper water column, whereas surface sediment assemblages display particularly high concentrations of N. pachyderma. The unusual dominance of G. uvula in the water sample assemblages compared to its low proportion in surface sediments might be the signature of (1) a seasonal signal due to summer phytoplankton composition changes at the BSO, linked to the increase in summer temperature at the study site, and/or (2) a signal of a larger timescale and wider geographical reach phenomenon reflecting poleward temperate/subpolar species migration and consecutive foraminiferal assemblage diversification at high latitudes due to global change. Protein concentrations were measured on single specimens and used as a proxy of individual carbon biomass. Specimens of all species show the same trend, a northward decrease in their size-normalized-protein concentration. This suggests that foraminiferal biomass is potentially controlled by different constituents of their organelles (e.g. lipids). The coupling of data from plankton tows, protein measurements and surface sediments allows us to hypothesize that PF dynamics (seasonality and distribution) are decoupled from their metabolism.</t>
  </si>
  <si>
    <t>[Meilland, Julie] MARUM Ctr Marine Environm Sci, Leobener Str 8, D-28359 Bremen, Germany; [Howa, Helene] Univ Angers, UMR CNRS 6112, LPG BIAF, Angers, France; [Vivien, Hulot] Univ French Polynesia, UMR 241, EIO, Labex Corail,FAAA, Tahiti, French Polynesi, France; [Vivien, Hulot] Ifremer, Dept Ressources Biol &amp; Environm, UMR 241, EIO,Labex Corail, Tahiti, French Polynesi, France; [Demangel, Isaline] Karl Franzens Univ Graz, NAWI Graz Geoctr, Inst Earth Sci, Graz, Austria; [Demangel, Isaline] Lund Univ, Dept Geol, Lund, Sweden; [Salaun, Joelle; Garlan, Thierry] SHOM Sci &amp; Tech Marines Geol Marine, Brest, France</t>
  </si>
  <si>
    <t>University of Bremen; Universite d'Angers; Centre National de la Recherche Scientifique (CNRS); Ifremer; Ifremer; University of Graz; Lund University</t>
  </si>
  <si>
    <t>Meilland, J (corresponding author), MARUM Ctr Marine Environm Sci, Leobener Str 8, D-28359 Bremen, Germany.</t>
  </si>
  <si>
    <t>jmeilland@marum.de</t>
  </si>
  <si>
    <t>Meilland, Julie/AAE-9031-2021</t>
  </si>
  <si>
    <t>Meilland, Julie/0000-0001-8966-3115; Demangel, Isaline/0000-0001-7238-6908; Howa, Helene/0000-0003-1532-4211</t>
  </si>
  <si>
    <t>1726-4170</t>
  </si>
  <si>
    <t>1726-4189</t>
  </si>
  <si>
    <t>Biogeosciences</t>
  </si>
  <si>
    <t>MAR 23</t>
  </si>
  <si>
    <t>10.5194/bg-17-1437-2020</t>
  </si>
  <si>
    <t>Ecology; Geosciences, Multidisciplinary</t>
  </si>
  <si>
    <t>Environmental Sciences &amp; Ecology; Geology</t>
  </si>
  <si>
    <t>KX1KD</t>
  </si>
  <si>
    <t>WOS:000521640600001</t>
  </si>
  <si>
    <t>Catán, SP; Bubach, D; Arribere, M; Ansaldo, M; Kitaura, MJ; Scur, MC; Lirio, JM</t>
  </si>
  <si>
    <t>Perez Catan, Soledad; Bubach, Debora; Arribere, Maria; Ansaldo, Martin; Kitaura, Marcos J.; Scur, Mayara C.; Lirio, Juan M.</t>
  </si>
  <si>
    <t>Trace elements baseline levels in Usnea antarctica from Clearwater Mesa, James Ross Island, Antarctica</t>
  </si>
  <si>
    <t>ENVIRONMENTAL MONITORING AND ASSESSMENT</t>
  </si>
  <si>
    <t>Lichen; Biomonitor; Antarctica; Trace elements</t>
  </si>
  <si>
    <t>KING GEORGE ISLAND; ATMOSPHERIC MERCURY; GLACIAL HISTORY; HEAVY-METALS; LICHEN; SPECIATION; PENINSULA; OCEAN; SIZE</t>
  </si>
  <si>
    <t>Clearwater Mesa is a pristine area located SE of Croft Bay in James Ross Island, at the northeast of the Antarctic Peninsula. The closest anthropic construction is the summer Mendel station located 25 km to the NE. Clearwater is a remote basalt volcanic mesa, (64 degrees 01 ' S, 57 degrees 42 ' W) located at similar to 250 m a.s.l., with around 50 small shallow lakes, a well-developed lichens flora and scarce fauna. The mesa offers a good opportunity to use lichens, like Usnea antarctica, as a biomonitor species. The aim of this study was to determine the baseline levels of trace elements in Usnea antarctica and their relationships with geographical parameters and climatological aspects, to use them as reference levels in futures studies. Usnea antarctica was collected in 23 sites in two transects: perpendicular and parallel to the shore. We found high contents of the elements associated with long-distance transport like Sm, La, Sc, Fe, Co, Hg, and Ca. The elements linked to the marine biogenic cycle as Sr, Rb, Cs, K, Na, Sb, As, Se, and Br were less significant. The distance to the sea was the factor that related the element contents. Hg, Se, As, and Br content in Usnea antarctica increased from the inland towards the sea coast.</t>
  </si>
  <si>
    <t>[Perez Catan, Soledad; Bubach, Debora; Arribere, Maria] CNEA, CAB, Lab Anal Activac Neutron, Av Bustillo Km 9-5, RA-8400 San Carlos De Bariloche, Rio Negro, Argentina; [Ansaldo, Martin; Lirio, Juan M.] Inst Antartico Argentine, 25 Mayo 1143, Buenos Aires, DF, Argentina; [Kitaura, Marcos J.; Scur, Mayara C.] Univ Fed Mato Grosso do Sul, Lab Ecol &amp; Biol Evolut, INBio, Av Costa e Silva S-N, BR-79070900 Campo Grande, MS, Brazil</t>
  </si>
  <si>
    <t>Comision Nacional de Energia Atomica (CNEA); Centro Atomico Bariloche; Instituto Antartico Argentino; Universidade Federal de Mato Grosso do Sul</t>
  </si>
  <si>
    <t>Lirio, JM (corresponding author), Inst Antartico Argentine, 25 Mayo 1143, Buenos Aires, DF, Argentina.</t>
  </si>
  <si>
    <t>liriojm@gmail.com</t>
  </si>
  <si>
    <t>Perez Catan, Soledad/0000-0002-5410-2518; Lirio, Juan Manuel/0000-0002-1019-8407</t>
  </si>
  <si>
    <t>Coordenacao de Aperfeicoamento de Pessoal de Nivel Superior - Brazil (CAPES) [001]</t>
  </si>
  <si>
    <t>Coordenacao de Aperfeicoamento de Pessoal de Nivel Superior - Brazil (CAPES)(Coordenacao de Aperfeicoamento de Pessoal de Nivel Superior (CAPES))</t>
  </si>
  <si>
    <t>M.J. Kitaura and M.C. Scur are grateful to Coordenacao de Aperfeicoamento de Pessoal de Nivel Superior - Brazil (CAPES) - Finance Code 001, which financed part of this study and scholarships, and to the Evolution and Dispersal of Antarctic Bipolar Species of Mosses and Lichens project (MCTI/CNPq).</t>
  </si>
  <si>
    <t>0167-6369</t>
  </si>
  <si>
    <t>1573-2959</t>
  </si>
  <si>
    <t>ENVIRON MONIT ASSESS</t>
  </si>
  <si>
    <t>Environ. Monit. Assess.</t>
  </si>
  <si>
    <t>10.1007/s10661-020-8212-7</t>
  </si>
  <si>
    <t>KX6XX</t>
  </si>
  <si>
    <t>WOS:000522023000003</t>
  </si>
  <si>
    <t>Lau, SCY; Wilson, NG; Silva, CNS; Strugnell, JM</t>
  </si>
  <si>
    <t>Lau, Sally C. Y.; Wilson, Nerida G.; Silva, Catarina N. S.; Strugnell, Jan M.</t>
  </si>
  <si>
    <t>Detecting glacial refugia in the Southern Ocean</t>
  </si>
  <si>
    <t>ECOGRAPHY</t>
  </si>
  <si>
    <t>Review</t>
  </si>
  <si>
    <t>Antarctic; benthic; genetic; glacial cycles; invertebrates; refugia</t>
  </si>
  <si>
    <t>ANTARCTIC ICE-SHEET; BENTHIC MARINE-INVERTEBRATES; POPULATION-GENETICS; MITOCHONDRIAL-DNA; DEMOGRAPHIC HISTORY; WHOLE-GENOME; REPRODUCTIVE ISOLATION; CRYPTIC SPECIATION; SEASONAL-VARIATION; PELAGIC LARVAE</t>
  </si>
  <si>
    <t>Throughout the Quaternary, the continental-based Antarctic ice sheets expanded and contracted repeatedly. Evidence suggests that during glacial maxima, grounded ice eliminated most benthic (bottom-dwelling) fauna across the Antarctic continental shelf. However, paleontological and molecular evidence indicates most extant Antarctica benthic taxa have persisted in situ throughout the Quaternary. Where and how the Antarctic benthic fauna survived throughout repeated glacial maxima remain mostly hypothesised. If understood, this would provide valuable insights into the ecology and evolution of Southern Ocean biota over geological timescales. Here we synthesised and appraised recent studies and presented an approach to demonstrate how genetic data can be effective in identifying where and how Antarctic benthic fauna survived glacial periods. We first examined the geological and ecological evidence for how glacial periods influenced past species demography in order to provide testable frameworks for future studies. We outlined past ice-free areas from Antarctic ice sheet reconstructions that could serve as glacial refugia and discussed how benthic fauna with pelagic or non-pelagic dispersal strategies moved into and out of glacial refugia. We also reviewed current molecular studies and collated proposed locations of Southern Ocean glacial refugia on the continental shelf around Antarctica, in the deep sea, and around sub-Antarctic islands. Interestingly, the proposed glacial refugia based on molecular data generally do not correspond to the ice-free areas identified by Antarctic ice sheet reconstructions. The potential biases in sampling and in the choice of molecular markers in current literature are discussed, along with the future directions for employing testable frameworks and genomic methods in Southern Ocean molecular studies. Continued data syntheses will elucidate greater understanding of where and how Southern Ocean benthic fauna persisted throughout glacial periods and provide insights into their resilience against climate changes in the future.</t>
  </si>
  <si>
    <t>[Lau, Sally C. Y.; Silva, Catarina N. S.; Strugnell, Jan M.] James Cook Univ, Ctr Sustainable Trop Fisheries &amp; Aquaculture, Townsville, Qld, Australia; [Lau, Sally C. Y.; Silva, Catarina N. S.; Strugnell, Jan M.] James Cook Univ, Coll Sci &amp; Engn, Townsville, Qld, Australia; [Strugnell, Jan M.] La Trobe Univ, Sch Life Sci, Dept Ecol Environm &amp; Evolut, Melbourne, Vic, Australia; [Wilson, Nerida G.] Western Australian Museum, Collect &amp; Res Ctr, Welshpool, WA, Australia; [Wilson, Nerida G.] Univ Western Australia, Sch Biol Sci, Perth, WA, Australia</t>
  </si>
  <si>
    <t>James Cook University; James Cook University; Melbourne Genomics Health Alliance; La Trobe University; Western Australian Museum; University of Western Australia</t>
  </si>
  <si>
    <t>Lau, SCY (corresponding author), James Cook Univ, Ctr Sustainable Trop Fisheries &amp; Aquaculture, Townsville, Qld, Australia.;Lau, SCY (corresponding author), James Cook Univ, Coll Sci &amp; Engn, Townsville, Qld, Australia.</t>
  </si>
  <si>
    <t>cheukying.lau@my.jcu.edu.au</t>
  </si>
  <si>
    <t>Silva, Catarina N. S./A-8402-2008; Silva, Catarina/GVS-9316-2022; Strugnell, Jan M/P-9921-2016; Wilson, Nerida/G-8433-2011</t>
  </si>
  <si>
    <t>Silva, Catarina N. S./0000-0001-9401-2616; Strugnell, Jan/0000-0003-2994-637X; Wilson, Nerida/0000-0002-0784-0200; Lau, Sally/0000-0002-4955-2530</t>
  </si>
  <si>
    <t>Australian Research Council [190101347]; ACE Foundation; Ferring Pharmaceuticals; Thomas Davies Research Grant (Australian Academy of Science); Antarctic Circumnavigation Expedition</t>
  </si>
  <si>
    <t>Australian Research Council(Australian Research Council); ACE Foundation; Ferring Pharmaceuticals(Ferring Pharmaceuticals); Thomas Davies Research Grant (Australian Academy of Science); Antarctic Circumnavigation Expedition</t>
  </si>
  <si>
    <t>Funding for this research was provided by an Australian Research Council Discovery Project awarded to JMS and NGW (Project no. 190101347), the Antarctic Circumnavigation Expedition (carried out by the Swiss Polar Inst., supported by the ACE Foundation and Ferring Pharmaceuticals), and a Thomas Davies Research Grant (Australian Academy of Science) awarded to JMS.</t>
  </si>
  <si>
    <t>0906-7590</t>
  </si>
  <si>
    <t>1600-0587</t>
  </si>
  <si>
    <t>Ecography</t>
  </si>
  <si>
    <t>NOV</t>
  </si>
  <si>
    <t>10.1111/ecog.04951</t>
  </si>
  <si>
    <t>OM4UH</t>
  </si>
  <si>
    <t>WOS:000521085200001</t>
  </si>
  <si>
    <t>Sato, K; Inoue, J; Yamazaki, A; Hirasawa, N; Sugiura, K; Yamada, K</t>
  </si>
  <si>
    <t>Sato, Kazutoshi; Inoue, Jun; Yamazaki, Akira; Hirasawa, Naohiko; Sugiura, Konosuke; Yamada, Kyohei</t>
  </si>
  <si>
    <t>Antarctic Radiosonde Observations Reduce Uncertainties and Errors in Reanalyses and Forecasts over the Southern Ocean: An Extreme Cyclone Case</t>
  </si>
  <si>
    <t>ADVANCES IN ATMOSPHERIC SCIENCES</t>
  </si>
  <si>
    <t>radiosonde; data assimilation; TIGGE; Antarctica; weather forecast</t>
  </si>
  <si>
    <t>DATA ASSIMILATION; ARCTIC CYCLONE; IMPACT</t>
  </si>
  <si>
    <t>Cyclones with strong winds can make the Southern Ocean and the Antarctic a dangerous environment. Accurate weather forecasts are essential for safe shipping in the Southern Ocean and observational and logistical operations at Antarctic research stations. This study investigated the impact of additional radiosonde observations from Research Vessel Shirase over the Southern Ocean and Dome Fuji Station in Antarctica on reanalysis data and forecast experiments using an ensemble data assimilation system comprising the Atmospheric General Circulation Model for the Earth Simulator and the Local Ensemble Transform Kalman Filter Experimental Ensemble Reanalysis, version 2. A 63-member ensemble forecast experiment was conducted focusing on an unusually strong Antarctic cyclonic event. Reanalysis data with (observing system experiment) and without (control) additional radiosonde data were used as initial values. The observing system experiment correctly captured the central pressure of the cyclone, which led to the reliable prediction of the strong winds and moisture transport near the coast. Conversely, the control experiment predicted lower wind speeds because it failed to forecast the central pressure of the cyclone adequately. Differences were found in cyclone predictions of operational forecast systems with and without assimilation of radiosonde observations from Dome Fuji Station.</t>
  </si>
  <si>
    <t>[Sato, Kazutoshi] Kitami Inst Technol, Kitami, Hokkaido 0908507, Japan; [Sato, Kazutoshi; Inoue, Jun; Yamazaki, Akira] Japan Agcy Marine Earth Sci &amp; Technol, Applicat Lab, Yokohama, Kanagawa 2360001, Japan; [Inoue, Jun; Hirasawa, Naohiko; Yamada, Kyohei] Natl Inst Polar Res, Tachikawa, Tokyo 1908518, Japan; [Inoue, Jun; Hirasawa, Naohiko] SOKENDAI Grad Univ Adv Studies, Hayama, Kanagawa 2400193, Japan; [Sugiura, Konosuke] Univ Toyama, Toyama 9308555, Japan</t>
  </si>
  <si>
    <t>Kitami Institute of Technology; Japan Agency for Marine-Earth Science &amp; Technology (JAMSTEC); Research Organization of Information &amp; Systems (ROIS); National Institute of Polar Research (NIPR) - Japan; Graduate University for Advanced Studies - Japan; University of Toyama</t>
  </si>
  <si>
    <t>Sato, K (corresponding author), Kitami Inst Technol, Kitami, Hokkaido 0908507, Japan.;Sato, K (corresponding author), Japan Agcy Marine Earth Sci &amp; Technol, Applicat Lab, Yokohama, Kanagawa 2360001, Japan.</t>
  </si>
  <si>
    <t>satokazu@mail.kitami-it.ac.jp</t>
  </si>
  <si>
    <t>Inoue, Jun/ABE-2305-2021</t>
  </si>
  <si>
    <t>Inoue, Jun/0000-0001-7738-6480; Sato, Kazutoshi/0000-0003-0216-8942</t>
  </si>
  <si>
    <t>Japan Society for the Promotion of Science (JSPS) Overseas Research Fellowship; JSPS [19K14802, 18H05053]; JAMSTEC; Grants-in-Aid for Scientific Research [18H05053, 19K14802] Funding Source: KAKEN</t>
  </si>
  <si>
    <t>Japan Society for the Promotion of Science (JSPS) Overseas Research Fellowship(Ministry of Education, Culture, Sports, Science and Technology, Japan (MEXT)Japan Society for the Promotion of Science); JSPS(Ministry of Education, Culture, Sports, Science and Technology, Japan (MEXT)Japan Society for the Promotion of Science); JAMSTEC; Grants-in-Aid for Scientific Research(Ministry of Education, Culture, Sports, Science and Technology, Japan (MEXT)Japan Society for the Promotion of ScienceGrants-in-Aid for Scientific Research (KAKENHI))</t>
  </si>
  <si>
    <t>This work was supported by a Japan Society for the Promotion of Science (JSPS) Overseas Research Fellowship, JSPS Grants-in-Aid for Scientific Research (KAKENHI) (Grant Nos. 19K14802 and 18H05053). We would like to thank the anonymous reviewers, whose constructive comments improved the quality of this manuscript. The authors thank the crew of RV Shirase. The MODIS dataset received at Syowa Station is archived and provided by the Arctic Data archive System (ADS) developed by the National Institute of Polar Research. The ADS transferred radiosonde data from RV Shirase and Dome Fuji Station to the JMA. The TIGGE and ERA5 datasets are available via the ECMWF data portal (http://apps.ecmwf.int/datasets/).The ALEDAS2 and AFES integrations were performed on the Earth Simulator with the support of JAMSTEC. PREPBUFR, compiled by the NCEP and archived at the University Corporation for Atmospheric Research, was used as the observations (available from http://rda.ucar.edu). The datasets provided by ALEDAS2 were from JAMSTEC's website (http://www.jamstec.go.jp/alera/alera2.html). We thank James BUXTON MSc and Tin TIN PhD from Edanz Group (www.edanzediting.com./ac) for correcting drafts of this manuscript.</t>
  </si>
  <si>
    <t>0256-1530</t>
  </si>
  <si>
    <t>1861-9533</t>
  </si>
  <si>
    <t>ADV ATMOS SCI</t>
  </si>
  <si>
    <t>Adv. Atmos. Sci.</t>
  </si>
  <si>
    <t>10.1007/s00376-019-8231-x</t>
  </si>
  <si>
    <t>LE2HU</t>
  </si>
  <si>
    <t>WOS:000522903600001</t>
  </si>
  <si>
    <t>Cahill, J; Ahuja, S; Whorton, MR</t>
  </si>
  <si>
    <t>Cahill, James; Ahuja, Shivani; Whorton, Matthew R.</t>
  </si>
  <si>
    <t>In vitro Measurement of CMP-Sialic Acid Transporter Activity in Reconstituted Proteoliposomes</t>
  </si>
  <si>
    <t>BIO-PROTOCOL</t>
  </si>
  <si>
    <t>Protein purification; Transport assay; Nucleotide-sugar transporters; SLC35; CMP; CMP-Sia; Sialic acid; Lipid vesicle reconstitution</t>
  </si>
  <si>
    <t>NUCLEOTIDE SUGAR TRANSPORTERS; PROTEIN GLYCOSYLATION; MECHANISTIC PROBES; GOLGI-APPARATUS; INHIBITION; SULFATE; HEALTH; FAMILY; LPG2</t>
  </si>
  <si>
    <t>Nucleotide-sugar transporters (NSTs) facilitate eukaryotic cellular glycosylation by transporting nucleotide-sugar conjugates into the Golgi lumen and endoplasmic reticulum for use by glycosyltransferases, while also transferring nucleotide monophosphate byproducts to the cytoplasm. Mutations in this family of proteins can cause a number of significant cellular pathologies, and wild type members can act as virulence factors for many parasites and fungi. Here, we describe an in vitro assay to measure the transport activity of the CMP-sialic acid transporter (CST), one of seven NSTs found in mammals. While in vitro transport assays have been previously described for CST, these studies failed to account for the fact that 1) commercially available stocks of CMP-sialic acid (CMP-Sia) are composed of similar to 10% of the higher-affinity CMP and 2) CMP-Sia is hydrolyzed into CMP and sialic acid in aqueous solutions. Herein we describe a method for treating CMP-Sia with a nonselective phosphatase, Antarctic phosphatase, to convert all free CMP to cytidine. This allows us to accurately measure substrate affinities and transport kinetics for purified CST reconstituted into proteoliposomes.</t>
  </si>
  <si>
    <t>[Cahill, James; Ahuja, Shivani; Whorton, Matthew R.] Oregon Hlth &amp; Sci Univ, Vollum Inst, 3181 Sw Sam Jackson Pk Rd, Portland, OR 97239 USA</t>
  </si>
  <si>
    <t>Oregon Health &amp; Science University</t>
  </si>
  <si>
    <t>Whorton, MR (corresponding author), Oregon Hlth &amp; Sci Univ, Vollum Inst, 3181 Sw Sam Jackson Pk Rd, Portland, OR 97239 USA.</t>
  </si>
  <si>
    <t>whorton@ohsu.edu</t>
  </si>
  <si>
    <t>NIH [R01GM130909]; Oregon Health and Science University</t>
  </si>
  <si>
    <t>NIH(United States Department of Health &amp; Human ServicesNational Institutes of Health (NIH) - USA); Oregon Health and Science University</t>
  </si>
  <si>
    <t>This work was supported by NIH grant R01GM130909, and by Oregon Health and Science University. This protocol has been expanded from previous work (Ahuja and Whorton, 2019).</t>
  </si>
  <si>
    <t>SUNNYVALE</t>
  </si>
  <si>
    <t>PO BOX 2073, SUNNYVALE, CA 94087 USA</t>
  </si>
  <si>
    <t>2331-8325</t>
  </si>
  <si>
    <t>Bio-protocol</t>
  </si>
  <si>
    <t>MAR 20</t>
  </si>
  <si>
    <t>e3551</t>
  </si>
  <si>
    <t>10.21769/BioProtoc.3551</t>
  </si>
  <si>
    <t>Biology</t>
  </si>
  <si>
    <t>Life Sciences &amp; Biomedicine - Other Topics</t>
  </si>
  <si>
    <t>OI2DA</t>
  </si>
  <si>
    <t>WOS:000583094700002</t>
  </si>
  <si>
    <t>Paijmans, AJ; Stoffel, MA; Bester, MN; Cleary, AC; De Bruyn, PJN; Forcada, J; Goebel, ME; Goldsworthy, SD; Guinet, C; Lydersen, C; Kovacs, KM; Lowther, A; Hoffman, JI</t>
  </si>
  <si>
    <t>Paijmans, Anneke J.; Stoffel, Martin A.; Bester, Marthan N.; Cleary, Alison C.; De Bruyn, P. J. Nico; Forcada, Jaume; Goebel, Michael E.; Goldsworthy, Simon D.; Guinet, Christophe; Lydersen, Christian; Kovacs, Kit M.; Lowther, Andrew; Hoffman, Joseph I.</t>
  </si>
  <si>
    <t>The genetic legacy of extreme exploitation in a polar vertebrate</t>
  </si>
  <si>
    <t>FUR SEALS ARCTOCEPHALUS; POPULATION-SIZE; R-PACKAGE; LIFE-HISTORY; BOTTLENECK; DIVERSITY; GAZELLA; EXTINCTION; ECONOMICS; INFERENCE</t>
  </si>
  <si>
    <t>Understanding the effects of human exploitation on the genetic composition of wild populations is important for predicting species persistence and adaptive potential. We therefore investigated the genetic legacy of large-scale commercial harvesting by reconstructing, on a global scale, the recent demographic history of the Antarctic fur seal (Arctocephalus gazella), a species that was hunted to the brink of extinction by 18(th) and 19(th) century sealers. Molecular genetic data from over 2,000 individuals sampled from all eight major breeding locations across the species' circumpolar geographic distribution, show that at least four relict populations around Antarctica survived commercial hunting. Coalescent simulations suggest that all of these populations experienced severe bottlenecks down to effective population sizes of around 150-200. Nevertheless, comparably high levels of neutral genetic variability were retained as these declines are unlikely to have been strong enough to deplete allelic richness by more than around 15%. These findings suggest that even dramatic short-term declines need not necessarily result in major losses of diversity, and explain the apparent contradiction between the high genetic diversity of this species and its extreme exploitation history.</t>
  </si>
  <si>
    <t>[Paijmans, Anneke J.; Stoffel, Martin A.; Hoffman, Joseph I.] Bielefeld Univ, Dept Anim Behav, D-33501 Bielefeld, Germany; [Stoffel, Martin A.] Univ Edinburgh, Inst Evolutionary Biol, Edinburgh EH9 3FL, Midlothian, Scotland; [Bester, Marthan N.; De Bruyn, P. J. Nico] Univ Pretoria, Dept Zool &amp; Entomol, Mammal Res Inst, Private Bag X20, ZA-0028 Hatfield, South Africa; [Cleary, Alison C.; Lydersen, Christian; Kovacs, Kit M.; Lowther, Andrew] Norwegian Polar Res Inst, Fram Ctr, N-9296 Tromso, Norway; [Cleary, Alison C.] Univ Agder, Dept Nat Sci, N-4630 Kristiansand, Norway; [Forcada, Jaume; Hoffman, Joseph I.] British Antarctic Survey, Madingley Rd, Cambridge CB3 OET, England; [Goebel, Michael E.] NOAA, Antarctic Ecosyst Res Div, Southwest Fisheries Sci Ctr, Natl Marine Fisheries, 8901 La Jolla Shores Dr, La Jolla, CA 92037 USA; [Goebel, Michael E.] Univ Calif Santa Cruz, Inst Marine Sci, 1156 High St, Santa Cruz, CA 95064 USA; [Goldsworthy, Simon D.] South Australian Res &amp; Dev Inst, 2 Hamra Ave, West Beach, SA 5024, Australia; [Goldsworthy, Simon D.] Univ Adelaide, Sch Biol Sci, Adelaide, SA 5005, Australia; [Guinet, Christophe] CNRS, Ctr Etud Biol Chize CEBC, F-79360 Villiers En Bois, France; [Guinet, Christophe] Univ La Rochelle, UMR 7372, F-79360 Villiers En Bois, France</t>
  </si>
  <si>
    <t>University of Bielefeld; University of Edinburgh; University of Pretoria; Norwegian Polar Institute; University of Agder; UK Research &amp; Innovation (UKRI); Natural Environment Research Council (NERC); NERC British Antarctic Survey; National Oceanic Atmospheric Admin (NOAA) - USA; University of California System; University of California Santa Cruz; South Australian Research &amp; Development Institute (SARDI); University of Adelaide; Centre National de la Recherche Scientifique (CNRS); La Rochelle Universite; Centre National de la Recherche Scientifique (CNRS); CNRS - Institute of Ecology &amp; Environment (INEE)</t>
  </si>
  <si>
    <t>Paijmans, AJ; Hoffman, JI (corresponding author), Bielefeld Univ, Dept Anim Behav, D-33501 Bielefeld, Germany.;Hoffman, JI (corresponding author), British Antarctic Survey, Madingley Rd, Cambridge CB3 OET, England.</t>
  </si>
  <si>
    <t>a.paijmans@uni-bielefeld.de; j_i_hoffman@hotmail.com</t>
  </si>
  <si>
    <t>Paijmans, A.J./AAW-2280-2021; de Bruyn, P. J. Nico/E-4176-2010; Forcada, Jaume/GYU-0677-2022; Hoffman, Joseph/K-7725-2012</t>
  </si>
  <si>
    <t>Paijmans, A.J./0000-0002-5481-7337; de Bruyn, P. J. Nico/0000-0002-9114-9569; Hoffman, Joseph/0000-0001-5895-8949; Lowther, Andrew/0000-0003-4294-3157; Goldsworthy, Simon/0000-0003-4988-9085</t>
  </si>
  <si>
    <t>Deutsche Forschungsgemeinschaft (DFG, German Research Foundation) [316099922, 396774617-TRR 212, SPP 1158, 424119118]; Norwegian Antarctic Research Expeditions (NARE) programme; Department of Science and Technology of South Africa through the National Research Foundation (NRF); Deutsche Forschungsgemeinschaft; Bielefeld University; NERC [bas0100035] Funding Source: UKRI</t>
  </si>
  <si>
    <t>Deutsche Forschungsgemeinschaft (DFG, German Research Foundation)(German Research Foundation (DFG)); Norwegian Antarctic Research Expeditions (NARE) programme; Department of Science and Technology of South Africa through the National Research Foundation (NRF); Deutsche Forschungsgemeinschaft(German Research Foundation (DFG)); Bielefeld University; NERC(UK Research &amp; Innovation (UKRI)Natural Environment Research Council (NERC))</t>
  </si>
  <si>
    <t>This research was supported by the Deutsche Forschungsgemeinschaft (DFG, German Research Foundation) in the framework of a Sonderforschungsbereich (project numbers 316099922 and 396774617-TRR 212) and the priority programme Antarctic Research with Comparative Investigations in Arctic Ice Areas SPP 1158 (project number 424119118). It was also funded by Norwegian Antarctic Research Expeditions (NARE) programme. This work contributes to the Ecosystems project of the British Antarctic Survey, Natural Environmental Research Council, and is part of the Polar Science for Planet Earth Programme. The Department of Environmental Affairs provided logistical support for research at Marion Island and the Department of Science and Technology of South Africa provided funding through the National Research Foundation (NRF). We are grateful to Caroline Bonin, Debbie Baird-Bower and Iain Staniland together with the seal biologists working within the Marion Island Marine Mammal Programme for sample collection and logistics. We acknowledge support for the Article Processing Charge by the Deutsche Forschungsgemeinschaft and the Open Access Publication Fund of Bielefeld University.</t>
  </si>
  <si>
    <t>10.1038/s41598-020-61560-8</t>
  </si>
  <si>
    <t>NA4HW</t>
  </si>
  <si>
    <t>Green Published, gold, Green Accepted</t>
  </si>
  <si>
    <t>WOS:000559778700001</t>
  </si>
  <si>
    <t>Guo, SQ; Dubuc, E; Rave, Y; Verhagen, M; Twisk, SAE; van der Hek, T; Oerlemans, GJM; van den Oetelaar, MCM; van Hazendonk, LS; Brüls, M; Eijkens, BV; Joostens, PL; Keij, SR; Xing, WZ; Nijs, M; Stalpers, J; Sharma, M; Gerth, M; Boonen, RJEA; Verduin, K; Merkx, M; Voets, IK; de Greef, TFA</t>
  </si>
  <si>
    <t>Guo, Shuaiqi; Dubuc, Emilien; Rave, Yahav; Verhagen, Mick; Twisk, Simone A. E.; van der Hek, Tim; Oerlemans, Guido J. M.; van den Oetelaar, Maxime C. M.; van Hazendonk, Laura S.; Bruels, Mariska; Eijkens, Bruno, V; Joostens, Pim L.; Keij, Sander R.; Xing, Weizhou; Nijs, Martijn; Stalpers, Jitske; Sharma, Manoj; Gerth, Marieke; Boonen, Roy J. E. A.; Verduin, Kees; Merkx, Maarten; Voets, Ilja K.; de Greef, Tom F. A.</t>
  </si>
  <si>
    <t>Engineered Living Materials Based on Adhesin-Mediated Trapping of Programmable Cells</t>
  </si>
  <si>
    <t>ACS SYNTHETIC BIOLOGY</t>
  </si>
  <si>
    <t>GLYCIDYL METHACRYLATE; COLI; LYSOSTAPHIN; DEXTRAN</t>
  </si>
  <si>
    <t>Engineered living materials have the potential for wide-ranging applications such as biosensing and treatment of diseases. Programmable cells provide the functional basis for living materials; however, their release into the environment raises numerous biosafety concerns. Current designs that limit the release of genetically engineered cells typically involve the fabrication of multilayer hybrid materials with submicrometer porous matrices. Nevertheless the stringent physical barriers limit the diffusion of macromolecules and therefore the repertoire of molecules available for actuation in response to communication signals between cells and their environment. Here, we engineer a novel living material entitled Platform for Adhesin-mediated Trapping of Cells in Hydrogels (PATCH). This technology is based on engineered E. coli that displays an adhesion protein derived from an Antarctic bacterium with a high affinity for glucose. The adhesin stably anchors E. coli in dextran-based hydrogels with large pore diameters (10-100 mu m) and reduces the leakage of bacteria into the environment by up to 100-fold. As an application of PATCH, we engineered E. coli to secrete the bacteriocin lysostaphin which specifically kills Staphyloccocus aureus with low probability of raising antibiotic resistance. We demonstrated that living materials containing this lysostaphin-secreting E. coli inhibit the growth of S. aureus, including the strain resistant to methicillin (MRSA). Our tunable platform allows stable integration of programmable cells in dextran-based hydrogels without compromising free diffusion of macromolecules and could have potential applications in biotechnology and biomedicine.</t>
  </si>
  <si>
    <t>[Guo, Shuaiqi; Sharma, Manoj; Gerth, Marieke; Voets, Ilja K.] Eindhoven Univ Technol, Lab Self Organizing Soft Matter, Lab Macromol &amp; Organ Chem, NL-5600 MB Eindhoven, Netherlands; [Guo, Shuaiqi; Dubuc, Emilien; Sharma, Manoj; Merkx, Maarten; Voets, Ilja K.; de Greef, Tom F. A.] Eindhoven Univ Technol, Inst Complex Mol Syst, NL-5600 MB Eindhoven, Netherlands; [de Greef, Tom F. A.] Radboud Univ Nijmegen, NL-6525 AJ Nijmegen, Netherlands; [Rave, Yahav; Verhagen, Mick; Twisk, Simone A. E.; van der Hek, Tim; Oerlemans, Guido J. M.; van den Oetelaar, Maxime C. M.; van Hazendonk, Laura S.; Bruels, Mariska; Eijkens, Bruno, V; Joostens, Pim L.; Keij, Sander R.; Xing, Weizhou] Eindhoven Univ Technol, iGEM Team Eindhoven Univ Technol 2018, NL-5600 MB Eindhoven, Netherlands; [Nijs, Martijn; Stalpers, Jitske; Verduin, Kees] Lab Pathol &amp; Med Microbiol, Stichting PAMM, NL-5504 DL Veldhoven, Netherlands; [Gerth, Marieke] Eindhoven Univ Technol, Lab Phys Chem, NL-5600 MB Eindhoven, Netherlands; [Boonen, Roy J. E. A.] Eindhoven Univ Technol, Mol Biosensing Med Diagnost, NL-5600 MB Eindhoven, Netherlands; [Merkx, Maarten] Eindhoven Univ Technol, Lab Prot Engn, NL-5600 MB Eindhoven, Netherlands</t>
  </si>
  <si>
    <t>Eindhoven University of Technology; Eindhoven University of Technology; Radboud University Nijmegen; Eindhoven University of Technology; Eindhoven University of Technology; Eindhoven University of Technology; Eindhoven University of Technology</t>
  </si>
  <si>
    <t>Guo, SQ; Voets, IK (corresponding author), Eindhoven Univ Technol, Lab Self Organizing Soft Matter, Lab Macromol &amp; Organ Chem, NL-5600 MB Eindhoven, Netherlands.;Guo, SQ; Voets, IK; de Greef, TFA (corresponding author), Eindhoven Univ Technol, Inst Complex Mol Syst, NL-5600 MB Eindhoven, Netherlands.;de Greef, TFA (corresponding author), Radboud Univ Nijmegen, NL-6525 AJ Nijmegen, Netherlands.</t>
  </si>
  <si>
    <t>s.guo1@tue.nl; i.voets@tue.nl; t.f.a.d.greef@tue.nl</t>
  </si>
  <si>
    <t>de Greef, Tom F. A./I-8124-2014; Voets, Ilja/AAG-7502-2021</t>
  </si>
  <si>
    <t>Voets, Ilja/0000-0003-3543-4821; van Hazendonk, Laura/0000-0002-3087-7191; Gerth, Marieke/0000-0002-9193-7477; van der Hek, Tim/0000-0003-2383-8626</t>
  </si>
  <si>
    <t>STW-foundation; EPSRC-NSFC Joint Research Project [51461135005]; European Union (ERC-StG) [635928, 677313]; Dutch Science Foundation (NWO ECHO Grant ) [712.016.002]; Dutch Science Foundation (NWOVIDI Grant) [723.016.003]; Dutch Ministry of Education, Culture and Science [024.001.035]; NIH [P41-GM103311]</t>
  </si>
  <si>
    <t>STW-foundation; EPSRC-NSFC Joint Research Project(UK Research &amp; Innovation (UKRI)Engineering &amp; Physical Sciences Research Council (EPSRC)); European Union (ERC-StG)(European Union (EU)); Dutch Science Foundation (NWO ECHO Grant ); Dutch Science Foundation (NWOVIDI Grant); Dutch Ministry of Education, Culture and Science; NIH(United States Department of Health &amp; Human ServicesNational Institutes of Health (NIH) - USA)</t>
  </si>
  <si>
    <t>The authors would like to acknowledge the financial support for this research of the STW-foundation, the EPSRC-NSFC Joint Research Project (No. 51461135005), the European Union (ERC-StG No. 635928 &amp; 677313), the Dutch Science Foundation (NWO ECHO Grant No. 712.016.002 and NWOVIDI Grant No. 723.016.003), and the Dutch Ministry of Education, Culture and Science (Gravity Program 024.001.035). Dextran was kindly provided by Pharmacosmos A/S. We thank Ingeborg Schreur-Piet for her support for SEM imaging. We thank Prof. Peter Sebo for generously providing the plG575 plasmid for amplifying the HlyB/HlyD genes. We thank Bas Rosier for his help and valuable advice with Figure 3,b. We thank Mathijs F.J. Mabesoone for his help with acquiring and interpreting NMR and IR data. We are indebted to Prof. Luc Brunsveld for his important guidance and financial support while supervising the Tue 2018 iGEM team. Molecular graphics and analyses were performed with UCSF Chimera, developed by the Resource for Biocomputing, Visualization, and Informatics at the University of California, San Francisco, with support from NIH P41-GM103311.</t>
  </si>
  <si>
    <t>2161-5063</t>
  </si>
  <si>
    <t>ACS SYNTH BIOL</t>
  </si>
  <si>
    <t>ACS Synth. Biol.</t>
  </si>
  <si>
    <t>10.1021/acssynbio.9b00404</t>
  </si>
  <si>
    <t>Biochemical Research Methods</t>
  </si>
  <si>
    <t>Biochemistry &amp; Molecular Biology</t>
  </si>
  <si>
    <t>LE0BD</t>
  </si>
  <si>
    <t>Green Published, Green Submitted</t>
  </si>
  <si>
    <t>WOS:000526388400003</t>
  </si>
  <si>
    <t>Bell, RE; Seroussi, H</t>
  </si>
  <si>
    <t>Bell, Robin E.; Seroussi, Helene</t>
  </si>
  <si>
    <t>History, mass loss, structure, and dynamic behavior of the Antarctic Ice Sheet</t>
  </si>
  <si>
    <t>SCIENCE</t>
  </si>
  <si>
    <t>WEST ANTARCTICA; PINE ISLAND; SHELF; CLIMATE; GLACIERS; SURFACE; LARSEN; WATER; SENSITIVITY; WIDESPREAD</t>
  </si>
  <si>
    <t>Antarctica contains most of Earth's fresh water stored in two large ice sheets. The more stable East Antarctic Ice Sheet is larger and older, rests on higher topography, and hides entire mountain ranges and ancient lakes. The less stable West Antarctic Ice Sheet is smaller and younger and was formed on what was once a shallow sea. Recent observations made with several independent satellite measurements demonstrate that several regions of Antarctica are losing mass, flowing faster, and retreating where ice is exposed to warm ocean waters. The Antarctic contribution to sea level rise has reached similar to 8 millimeters since 1992. In the future, if warming ocean waters and increased surface meltwater trigger faster ice flow, sea level rise will accelerate.</t>
  </si>
  <si>
    <t>[Bell, Robin E.] Columbia Univ, Lamont Doherty Earth Observ, Palisades, NY 10964 USA; [Seroussi, Helene] CALTECH, Jet Prop Lab, 4800 Oak Grove Dr MS 300-323, Pasadena, CA 91109 USA</t>
  </si>
  <si>
    <t>Columbia University; National Aeronautics &amp; Space Administration (NASA); NASA Jet Propulsion Laboratory (JPL); California Institute of Technology</t>
  </si>
  <si>
    <t>Bell, RE (corresponding author), Columbia Univ, Lamont Doherty Earth Observ, Palisades, NY 10964 USA.</t>
  </si>
  <si>
    <t>robinb@ldeo.columbia.edu</t>
  </si>
  <si>
    <t>Seroussi, Helene/AAX-5342-2021</t>
  </si>
  <si>
    <t>Seroussi, Helene/0000-0001-9201-1644</t>
  </si>
  <si>
    <t>National Aeronautics and Space Administration; Lamont Doherty Earth Observatory of Columbia University; Old York Foundation</t>
  </si>
  <si>
    <t>National Aeronautics and Space Administration(National Aeronautics &amp; Space Administration (NASA)); Lamont Doherty Earth Observatory of Columbia University; Old York Foundation</t>
  </si>
  <si>
    <t>A portion of this research was carried out at the Jet Propulsion Laboratory, California Institute of Technology, under a contract with the National Aeronautics and Space Administration. GRACE data comes from (50), accessed 28 January 2020. Antarctic velocity data comes from (51), accessed 28 January 2020. Ice front positions for Larsen A and B comes from (6, 52). Cryo portal Enveo snow, glaciers, and ice sheet products and services dataset was accessed 6 February 2020. The radar data in Fig. 3 is from Gamburtsev Mountains-International Polar Year AGAP project Line 560; http://podds.ldeo.columbia.edu:1986/legacyData/AGAP/DataLevel_1/RADAR/DecimatedSAR_images/L560_WholeLineEchogram.jpg; Lake Vostok NASA Icebridge Flight 20131127, data available at https://data.cresis.ku.edu/data/rds; and CRESIS data 20091224_frames 24, 25, and 26. Data are available at the same web server. B. Honisch provided guidance on the paleoclimate data in Fig. 1. I. Cordero and C. Dieck Locke assisted with the figure production. K. Tinto, R. Constantino, B. Keisling, and C. Siddoway provided important feedback on the manuscript. Funding from Lamont Doherty Earth Observatory of Columbia University and the Old York Foundation supported this work.</t>
  </si>
  <si>
    <t>0036-8075</t>
  </si>
  <si>
    <t>1095-9203</t>
  </si>
  <si>
    <t>Science</t>
  </si>
  <si>
    <t>10.1126/science.aaz5489</t>
  </si>
  <si>
    <t>KX9AK</t>
  </si>
  <si>
    <t>WOS:000522167400040</t>
  </si>
  <si>
    <t>Holland, DM; Nicholls, KW; Basinski, A</t>
  </si>
  <si>
    <t>Holland, David M.; Nicholls, Keith W.; Basinski, Aurora</t>
  </si>
  <si>
    <t>The Southern Ocean and its interaction with the Antarctic Ice Sheet</t>
  </si>
  <si>
    <t>ANNULAR MODE; VARIABILITY; SHELVES; TRENDS; DRIVEN</t>
  </si>
  <si>
    <t>The Southern Ocean exerts a major influence on the mass balance of the Antarctic Ice Sheet, either indirectly, by its influence on air temperatures and winds, or directly, mostly through its effects on ice shelves. How much melting the ocean causes depends on the temperature of the water, which in turn is controlled by the combination of the thermal structure of the surrounding ocean and local ocean circulation, which in turn is determined largely by winds and bathymetry. As climate warms and atmospheric circulation changes, there will be follow-on changes in the ocean circulation and temperature. These consequences will affect the pace of mass loss of the Antarctic Ice Sheet.</t>
  </si>
  <si>
    <t>[Holland, David M.; Basinski, Aurora] NYU, Dept Math, 550 1st Ave, New York, NY 10012 USA; [Holland, David M.; Basinski, Aurora] New York Univ Abu Dhabi Inst, Abu Dhabi, U Arab Emirates; [Nicholls, Keith W.] British Antarctic Survey, Cambridge CB3 0ET, England</t>
  </si>
  <si>
    <t>New York University; UK Research &amp; Innovation (UKRI); Natural Environment Research Council (NERC); NERC British Antarctic Survey</t>
  </si>
  <si>
    <t>Holland, DM (corresponding author), NYU, Dept Math, 550 1st Ave, New York, NY 10012 USA.;Holland, DM (corresponding author), New York Univ Abu Dhabi Inst, Abu Dhabi, U Arab Emirates.</t>
  </si>
  <si>
    <t>david.holland@nyu.edu</t>
  </si>
  <si>
    <t>NSF [PLR-1739003]; NYU Abu Dhabi grant [G1204]; NERC [NE/S006656/1]; NERC [NE/S006656/1] Funding Source: UKRI</t>
  </si>
  <si>
    <t>NSF(National Science Foundation (NSF)); NYU Abu Dhabi grant; NERC(UK Research &amp; Innovation (UKRI)Natural Environment Research Council (NERC)); NERC(UK Research &amp; Innovation (UKRI)Natural Environment Research Council (NERC))</t>
  </si>
  <si>
    <t>D.M.H. and A.B. were supported by NSF grant PLR-1739003 and NYU Abu Dhabi grant no. G1204. K.W.N. is supported by NERC grant NE/S006656/1.</t>
  </si>
  <si>
    <t>10.1126/science.aaz5491</t>
  </si>
  <si>
    <t>WOS:000522167400041</t>
  </si>
  <si>
    <t>Pattyn, F; Morlighem, M</t>
  </si>
  <si>
    <t>Pattyn, Frank; Morlighem, Mathieu</t>
  </si>
  <si>
    <t>The uncertain future of the Antarctic Ice Sheet</t>
  </si>
  <si>
    <t>THWAITES GLACIER; SENSITIVITY; RETREAT; STABILITY; GREENLAND; COLLAPSE; SNOWFALL; BASIN</t>
  </si>
  <si>
    <t>The Antarctic Ice Sheet is losing mass at an accelerating pace, and ice loss will likely continue over the coming decades and centuries. Some regions of the ice sheet may reach a tipping point, potentially leading to rates of sea level rise at least an order of magnitude larger than those observed now, owing to strong positive feedbacks in the ice-climate system. How fast and how much Antarctica will contribute to sea level remains uncertain, but multimeter sea level rise is likely for a mean global temperature increase of around 2 degrees C above preindustrial levels on multicentennial time scales, or sooner for unmitigated scenarios.</t>
  </si>
  <si>
    <t>[Pattyn, Frank] Univ Libre Bruxelles, Lab Glaciol, Brussels, Belgium; [Morlighem, Mathieu] Univ Calif Irvine, Dept Earth Syst Sci, Irvine, CA USA</t>
  </si>
  <si>
    <t>Universite Libre de Bruxelles; University of California System; University of California Irvine</t>
  </si>
  <si>
    <t>Pattyn, F (corresponding author), Univ Libre Bruxelles, Lab Glaciol, Brussels, Belgium.</t>
  </si>
  <si>
    <t>fpattyn@ulb.ac.be</t>
  </si>
  <si>
    <t>Pattyn, Frank/AAA-9640-2019; Morlighem, Mathieu/O-9942-2014</t>
  </si>
  <si>
    <t>Pattyn, Frank/0000-0003-4805-5636; Morlighem, Mathieu/0000-0001-5219-1310</t>
  </si>
  <si>
    <t>10.1126/science.aaz5487</t>
  </si>
  <si>
    <t>WOS:000522167400042</t>
  </si>
  <si>
    <t>Auvinet, J; Graça, P; Dettai, A; Amores, A; Postlethwait, JH; Detrich, HW; Ozouf-Costaz, C; Coriton, O; Higuet, D</t>
  </si>
  <si>
    <t>Auvinet, Juliette; Graca, Paula; Dettai, Agnes; Amores, Angel; Postlethwait, John H.; Detrich, H. William, III; Ozouf-Costaz, Catherine; Coriton, Olivier; Higuet, Dominique</t>
  </si>
  <si>
    <t>Multiple independent chromosomal fusions accompanied the radiation of the Antarctic teleost genus Trematomus (Notothenioidei:Nototheniidae)</t>
  </si>
  <si>
    <t>BMC EVOLUTIONARY BIOLOGY</t>
  </si>
  <si>
    <t>BAC-FISH; Chromosomal painting; Chromosomal rearrangements; Chromosomal structural units; Chromosomal synteny; Nototheniidae; Speciation</t>
  </si>
  <si>
    <t>NOTOTHENIOID FISHES; GENOME DUPLICATION; ADAPTIVE RADIATION; CLIMATE-CHANGE; ICE-SHEET; EVOLUTION; REVEALS; KARYOTYPE; DIVERSIFICATION; DIFFERENTIATION</t>
  </si>
  <si>
    <t>Background Chromosomal rearrangements are thought to be an important driving force underlying lineage diversification, but their link to speciation continues to be debated. Antarctic teleost fish of the family Nototheniidae (Notothenioidei) diversified in a changing environmental context, which led to ecological, morphological, and genetic differentiation among populations. In addition, extensive chromosomal repatterning accompanied species divergence in several clades. The most striking karyotypic changes involved the recent species radiation (about 10 My) of the genus Trematomus, with chromosomal pair numbers ranging between 29 and 12. These dramatic reductions in chromosome number resulted mostly from large-scale chromosome fusions. Multiple centric and/or tandem fusions have been hypothesized in at least seven of the twelve recognized Trematomus species. To reconstruct their evolutionary history, we employed comparative cytogenomics (BAC-FISH and chromosome painting) to reveal patterns of interspecific chromosomal orthologies across several notothenioid clades. Results We defined orthologous chromosomal segments of reference, termed Structural Units (SUs). SUs were identified in a total of 18 notothenioid species. We demonstrated for the first time that SUs were strongly conserved across every specimen examined, with chromosomal syntenies highlighting a paucity of intrachromosomal macro-rearrangements. Multiple independent fusions of these SUs were inferred in the Trematomus species, in contrast to the shared SU fusions in species of the sister lineage Notothenia. Conclusions The SU segments were defined units of chromosomal rearrangement in the entire family Nototheiidae, which diverged from the other notothenioid families 20 My ago. Some of the identified chromosomal syntenies within the SUs were even conserved in their closest relatives, the family Eleginopsidae. Comparing the timing of acquisition of the fusions in the closely related genera Notothenia and Trematomus of the nototheniid species family, we conclude that they exhibit distinct chromosomal evolutionary histories, which may be relevant to different speciation scenarios.</t>
  </si>
  <si>
    <t>[Auvinet, Juliette; Graca, Paula; Ozouf-Costaz, Catherine; Higuet, Dominique] Univ Antilles, Sorbonne Univ, CNRS, EPS,IBPS, F-75005 Paris, France; [Auvinet, Juliette; Graca, Paula; Dettai, Agnes; Higuet, Dominique] Univ Antilles, Sorbonne Univ, Inst Systemat Evolut Biodivers ISYEB, Museum Natl Hist Nat,CNRS,EPHE, 43 Rue Cuvier, F-75231 Paris 05, France; [Auvinet, Juliette; Detrich, H. William, III] Northeastern Univ, Ctr Marine Sci, Dept Marine &amp; Environm Sci, Nahant, MA 01908 USA; [Amores, Angel; Postlethwait, John H.] Univ Oregon, Dept Biol, Inst Neurosci, Eugene, OR 97403 USA; [Coriton, Olivier] Inst Natl Rech Agr Alimentat &amp; Environm, INRAE, UMR1349 IGEPP, Mol Cytogenet Platform, BP35327, F-35653 Le Rheu, France</t>
  </si>
  <si>
    <t>Sorbonne Universite; Centre National de la Recherche Scientifique (CNRS); Sorbonne Universite; Universite PSL; Ecole Pratique des Hautes Etudes (EPHE); Museum National d'Histoire Naturelle (MNHN); Centre National de la Recherche Scientifique (CNRS); Northeastern University; University of Oregon; INRAE</t>
  </si>
  <si>
    <t>Auvinet, J; Higuet, D (corresponding author), Univ Antilles, Sorbonne Univ, CNRS, EPS,IBPS, F-75005 Paris, France.;Auvinet, J (corresponding author), Northeastern Univ, Ctr Marine Sci, Dept Marine &amp; Environm Sci, Nahant, MA 01908 USA.</t>
  </si>
  <si>
    <t>juliette.auvinet7138@gmail.com; dominique.higuet@sorbonne-universite.fr</t>
  </si>
  <si>
    <t>Amores, Angel/0000-0002-9307-3609</t>
  </si>
  <si>
    <t>Sorbonne Universite (SU); Centre National de la Recherche Scientifique (CNRS); Museum National d'Histoire Naturelle (MNHN); Australian Antarctic Division (AAD); program Interface pour le Vivant (IPV, SU); ATM bursary (DetNo, MNHN); ATM bursary (DetNo2, MNHN); National Institutes of Health (NIH) from the National Institute on Aging [R01AG031922]; NIH Office of the Director [5R01OD011116, R24RR032670]; NSF from the Office/Division of Polar Programs [OPP0132032, ANT-0944517, PLR-1247510, PLR-1543383]; NSF [PLR-1444167]</t>
  </si>
  <si>
    <t>Sorbonne Universite (SU); Centre National de la Recherche Scientifique (CNRS)(Centre National de la Recherche Scientifique (CNRS)); Museum National d'Histoire Naturelle (MNHN); Australian Antarctic Division (AAD); program Interface pour le Vivant (IPV, SU); ATM bursary (DetNo, MNHN); ATM bursary (DetNo2, MNHN); National Institutes of Health (NIH) from the National Institute on Aging(United States Department of Health &amp; Human ServicesNational Institutes of Health (NIH) - USAOffice of the Administrator (NIH)); NIH Office of the Director(United States Department of Health &amp; Human ServicesNational Institutes of Health (NIH) - USANIH Office of the Director); NSF from the Office/Division of Polar Programs; NSF(National Science Foundation (NSF))</t>
  </si>
  <si>
    <t>We thank the Sorbonne Universite (SU), the Centre National de la Recherche Scientifique (CNRS), the Museum National d'Histoire Naturelle (MNHN) and the Australian Antarctic Division (AAD) for financial support. We also thank the program Interface pour le Vivant (IPV, SU), and the two ATM bursaries (DetNo and DetNo2, MNHN) for the additional supports of this study. We thank National Institutes of Health (NIH) grants R01AG031922 from the National Institute on Aging (to J.H.P.), by 5R01OD011116 and R24RR032670 (to J.H.P.) from the NIH Office of the Director, and by NSF grants OPP0132032, ANT-0944517, PLR-1247510, and PLR-1444167 from the Office/Division of Polar Programs (to H.W.D.) and PLR-1543383 (to J.H.P. and H.W.D.). These NIH and NSF funding bodies played no role in the design of the study and collection, analysis, and interpretation of data and in writing the manuscript.</t>
  </si>
  <si>
    <t>BMC</t>
  </si>
  <si>
    <t>CAMPUS, 4 CRINAN ST, LONDON N1 9XW, ENGLAND</t>
  </si>
  <si>
    <t>1471-2148</t>
  </si>
  <si>
    <t>BMC EVOL BIOL</t>
  </si>
  <si>
    <t>BMC Evol. Biol.</t>
  </si>
  <si>
    <t>10.1186/s12862-020-1600-3</t>
  </si>
  <si>
    <t>Evolutionary Biology; Genetics &amp; Heredity</t>
  </si>
  <si>
    <t>KW9FA</t>
  </si>
  <si>
    <t>WOS:000521487600001</t>
  </si>
  <si>
    <t>Shaftel, R; Mauger, S; Falke, J; Rinella, D; Davis, J; Jones, L</t>
  </si>
  <si>
    <t>Shaftel, Rebecca; Mauger, Sue; Falke, Jeff; Rinella, Daniel; Davis, Jeff; Jones, Leslie</t>
  </si>
  <si>
    <t>Thermal Diversity of Salmon Streams in the Matanuska-Susitna Basin, Alaska</t>
  </si>
  <si>
    <t>JOURNAL OF THE AMERICAN WATER RESOURCES ASSOCIATION</t>
  </si>
  <si>
    <t>temperature; climate variability; change; fish; arctic; antarctic; Pacific salmon; life histories; thermal regimes</t>
  </si>
  <si>
    <t>SOUTH-CENTRAL ALASKA; FALL CHINOOK SALMON; CLIMATE-CHANGE; SOCKEYE-SALMON; PACIFIC SALMON; POPULATION DIVERSITY; ENVIRONMENTAL-CHANGE; TEMPERATURE REGIMES; KENAI PENINSULA; CHUM SALMON</t>
  </si>
  <si>
    <t>We present the first description of summer stream thermal regimes in Alaska using metrics that represent the magnitude, variability, frequency, duration, and timing of temperature events related to salmon life histories. We used cluster analysis to characterize thermal regimes present in the Matanuska-Susitna (Mat-Su) Basin based on 10 nonredundant temperature metrics and identified the most important drivers of our thermal regimes using random forests. Our results indicated four distinct thermal regimes among the 248 site-years in the Mat-Su Basin. Over 41% of site-years had cold-stable temperatures. An additional 22% of site-years had cold-variable temperatures and the latest timing of maximum stream temperatures. Twenty-eight percent of site-years had warm-variable temperatures that remained above 13 degrees C for approximately two months. The remaining 9% of site-years had the warmest and most variable daily maximum temperatures, exceeding 18 degrees C for almost one month, indicating potential impacts to spawning and rearing salmon. Climate and landscape drivers differentiating thermal regimes included spring and summer air temperatures, spring snowpack, summer precipitation, wetlands, and lakes. Climate change projections for 2050-2069 indicated a future shift toward warm thermal regimes and a reduced portfolio of thermal diversity. These results portend negative impacts to some salmon populations and stress the importance of prioritizing actions that maintain thermal regime diversity.</t>
  </si>
  <si>
    <t>[Shaftel, Rebecca; Jones, Leslie] Univ Alaska Anchorage, Alaska Ctr Conservat Sci, Anchorage, AK 99508 USA; [Mauger, Sue] Cook Inletkeeper, Stream Ecol, Homer, AK USA; [Falke, Jeff] US Geol Survey, Alaska Cooperat Fish &amp; Wildlife Res Unit, Fairbanks, AK USA; [Rinella, Daniel] US Fish &amp; Wildlife Serv, Anchorage Fish &amp; Wildlife Conservat Off, Anchorage, AK USA; [Davis, Jeff] Aquat Res &amp; Restorat Inst, Talkeetna, AK USA</t>
  </si>
  <si>
    <t>University of Alaska System; University of Alaska Anchorage; United States Department of the Interior; United States Geological Survey; United States Department of the Interior; US Fish &amp; Wildlife Service</t>
  </si>
  <si>
    <t>Shaftel, R (corresponding author), Univ Alaska Anchorage, Alaska Ctr Conservat Sci, Anchorage, AK 99508 USA.</t>
  </si>
  <si>
    <t>rsshaftel@alaska.edu</t>
  </si>
  <si>
    <t>Shaftel, Rebecca/HNR-3645-2023</t>
  </si>
  <si>
    <t>Shaftel, Rebecca/0000-0002-4789-4211</t>
  </si>
  <si>
    <t>U.S. Fish and Wildlife Service on behalf of the Matanuska-Susitna Basin Salmon Habitat Partnership</t>
  </si>
  <si>
    <t>Funding was provided by the U.S. Fish and Wildlife Service on behalf of the Matanuska-Susitna Basin Salmon Habitat Partnership. We are thankful to Marcus Geist at University of Alaska Anchorage for helping us discover stream temperature datasets and to Jeff Conaway at the U.S. Geological Survey for sharing data. We would also like to thank Erik Schoen at the University of Alaska Fairbanks for providing helpful comments on an earlier version of this manuscript. Any use of trade, firm, or product names is for descriptive purposes only and does not imply endorsement by the U.S. Government. The findings and conclusions in this article are those of the authors and do not necessarily represent the views of the U.S. Fish and Wildlife Service.</t>
  </si>
  <si>
    <t>1093-474X</t>
  </si>
  <si>
    <t>1752-1688</t>
  </si>
  <si>
    <t>J AM WATER RESOUR AS</t>
  </si>
  <si>
    <t>J. Am. Water Resour. Assoc.</t>
  </si>
  <si>
    <t>AUG</t>
  </si>
  <si>
    <t>10.1111/1752-1688.12839</t>
  </si>
  <si>
    <t>Engineering, Environmental; Geosciences, Multidisciplinary; Water Resources</t>
  </si>
  <si>
    <t>Engineering; Geology; Water Resources</t>
  </si>
  <si>
    <t>MX3UT</t>
  </si>
  <si>
    <t>WOS:000520716800001</t>
  </si>
  <si>
    <t>Aartsen, MG; Ackermann, M; Adams, J; Aguilar, JA; Ahlers, M; Ahrens, M; Alispach, C; Andeen, K; Anderson, T; Ansseau, I; Anton, G; Argüelles, C; Auffenberg, J; Axani, S; Backes, P; Bagherpour, H; Bai, X; Balagopal, VA; Barbano, A; Barwick, SW; Bastian, B; Baum, V; Baur, S; Bay, R; Beatty, JJ; Becker, KH; Tjus, JB; BenZvi, S; Berley, D; Bernardini, E; Besson, DZ; Binder, G; Bindig, D; Blaufuss, E; Blot, S; Bohm, C; Böser, S; Botner, O; Böttcher, J; Bourbeau, E; Bourbeau, J; Bradascio, F; Braun, J; Bron, S; Brostean-Kaiser, J; Burgman, A; Buscher, J; Busse, RS; Carver, T; Chen, C; Cheung, E; Chirkin, D; Choi, S; Clark, K; Classen, L; Coleman, A; Collin, GH; Conrad, JM; Coppin, P; Correa, P; Cowen, DF; Cross, R; Dave, P; De Clercq, C; DeLaunay, JJ; Dembinski, H; Deoskar, K; De Ridder, S; Desiati, P; de Vries, KD; de Wasseige, G; de With, M; DeYoung, T; Diaz, A; Díaz-Vélez, JC; Dujmovic, H; Dunkman, M; Dvorak, E; Eberhardt, B; Ehrhardt, T; Eller, P; Engel, R; Evenson, PA; Fahey, S; Fazely, AR; Felde, J; Filimonov, K; Finley, C; Fox, D; Franckowiak, A; Friedman, E; Fritz, A; Gaisser, TK; Gallagher, J; Ganster, E; Garrappa, S; Gerhardt, L; Ghorbani, K; Glauch, T; Glüsenkamp, T; Goldschmidt, A; Gonzalez, JG; Grant, D; Griffith, Z; Griswold, S; Günder, M; Gündüz, M; Haack, C; Hallgren, A; Halliday, R; Halve, L; Halzen, F; Hanson, K; Haungs, A; Hebecker, D; Heereman, D; Heix, P; Helbing, K; Hellauer, R; Henningsen, F; Hickford, S; Hignight, J; Hill, GC; Hoffman, KD; Hoffmann, R; Hoinka, T; Hokanson-Fasig, B; Hoshina, K; Huang, F; Huber, M; Huber, T; Hultqvist, K; Hünnefeld, M; Hussain, R; In, S; Iovine, N; Ishihara, A; Japaridze, GS; Jeong, M; Jero, K; Jones, BJP; Jonske, F; Joppe, R; Kang, D; Kang, W; Kappes, A; Kappesser, D; Karg, T; Karl, M; Karle, A; Katz, U; Kauer, M; Kelley, JL; Kheirandish, A; Kim, J; Kintscher, T; Kiryluk, J; Kittler, T; Klein, SR; Koirala, R; Kolanoski, H; Köpke, L; Kopper, C; Kopper, S; Koskinen, DJ; Kowalski, M; Krings, K; Krückl, G; Kulacz, N; Kurahashi, N; Kyriacou, A; Lanfranchi, JL; Larson, MJ; Lauber, F; Lazar, JP; Leonard, K; Leszczynska, A; Leuermann, M; Liu, QR; Lohfink, E; Mariscal, CJL; Lu, L; Lucarelli, F; Lunemann, J; Luszczak, W; Lyu, Y; Ma, WY; Madsen, J; Maggi, G; Mahn, KBM; Makino, Y; Mallik, P; Mallot, K; Mancina, S; Maris, IC; Maruyama, R; Mase, K; Maunu, R; McNally, F; Meagher, K; Medici, M; Medina, A; Meier, M; Meighen-Berger, S; Merino, G; Meures, T; Micallef, J; Mockler, D; Momente, G; Montaruli, T; Moore, RW; Morse, R; Moulai, M; Muth, P; Nagai, R; Naumann, U; Neer, G; Niederhausen, H; Nisa, MU; Nowicki, SC; Nygren, DR; Pollmann, AO; Oehler, M; Olivas, A; O'Murchadha, A; O'Sullivan, E; Palczewski, T; Pandya, H; Pankova, DV; Park, N; Peiffer, P; de los Heros, CP; Philippen, S; Pieloth, D; Pinat, E; Pizzuto, A; Plum, M; Porcelli, A; Price, PB; Przybylski, GT; Raab, C; Raissi, A; Rameez, M; Rauch, L; Rawlins, K; Rea, IC; Reimann, R; Relethford, B; Renschler, M; Renzi, G; Resconi, E; Rhode, W; Richman, M; Robertson, S; Rongen, M; Rott, C; Ruhe, T; Ryckbosch, D; Rysewyk, D; Safa, I; Herrera, SES; Sandrock, A; Sandroos, J; Santander, M; Sarkar, S; Sarkar, S; Satalecka, K; Schaufel, M; Schieler, H; Schlunder, P; Schmidt, T; Schneider, A; Schneider, J; Schröder, FG; Schumacher, L; Sclafani, S; Seunarine, S; Shefali, S; Silva, M; Snihur, R; Soedingrekso, J; Soldin, D; Song, M; Spiczak, GM; Spiering, C; Stachurska, J; Stamatikos, M; Stanev, T; Stein, R; Stettner, J; Steuer, A; Stezelberger, T; Stokstad, RG; Stössl, A; Strotjohann, NL; Stürwald, T; Stuttard, T; Sullivan, GW; Taboada, I; Tenholt, F; Ter-Antonyan, S; Terliuk, A; Tilav, S; Tollefson, K; Tomankova, L; Tönnis, C; Toscano, S; Tosi, D; Trettin, A; Tselengidou, M; Tung, CF; Turcati, A; Turcotte, R; Turley, CF; Ty, B; Unger, E; Elorrieta, MAU; Usner, M; Vandenbroucke, J; Van Driessche, W; Van Eijk, D; Van Eijndhoven, N; Van Santen, J; Verpoest, S; Vraeghe, M; Walck, C; Wallace, A; Wallraff, M; Wandkowsky, N; Watson, TB; Weaver, C; Weindl, A; Weiss, MJ; Weldert, J; Wendt, C; Werthebach, J; Whelan, BJ; Whitehorn, N; Wiebe, K; Wiebusch, CH; Wille, L; Williams, DR; Wills, L; Wolf, M; Wood, J; Wood, TR; Woschnagg, K; Wrede, G; Xu, DL; Xu, XW; Xu, Y; Yanez, JP; Yodh, G; Yoshida, S; Yuan, T; Zöcklein, M</t>
  </si>
  <si>
    <t>Aartsen, M. G.; Ackermann, M.; Adams, J.; Aguilar, J. A.; Ahlers, M.; Ahrens, M.; Alispach, C.; Andeen, K.; Anderson, T.; Ansseau, I.; Anton, G.; Arguelles, C.; Auffenberg, J.; Axani, S.; Backes, P.; Bagherpour, H.; Bai, X.; Balagopal, A., V; Barbano, A.; Barwick, S. W.; Bastian, B.; Baum, V.; Baur, S.; Bay, R.; Beatty, J. J.; Becker, K. -H.; Tjus, J. Becker; BenZvi, S.; Berley, D.; Bernardini, E.; Besson, D. Z.; Binder, G.; Bindig, D.; Blaufuss, E.; Blot, S.; Bohm, C.; Boser, S.; Botner, O.; Bottcher, J.; Bourbeau, E.; Bourbeau, J.; Bradascio, F.; Braun, J.; Bron, S.; Brostean-Kaiser, J.; Burgman, A.; Buscher, J.; Busse, R. S.; Carver, T.; Chen, C.; Cheung, E.; Chirkin, D.; Choi, S.; Clark, K.; Classen, L.; Coleman, A.; Collin, G. H.; Conrad, J. M.; Coppin, P.; Correa, P.; Cowen, D. F.; Cross, R.; Dave, P.; De Clercq, C.; DeLaunay, J. J.; Dembinski, H.; Deoskar, K.; De Ridder, S.; Desiati, P.; de Vries, K. D.; de Wasseige, G.; de With, M.; DeYoung, T.; Diaz, A.; Diaz-Velez, J. C.; Dujmovic, H.; Dunkman, M.; Dvorak, E.; Eberhardt, B.; Ehrhardt, T.; Eller, P.; Engel, R.; Evenson, P. A.; Fahey, S.; Fazely, A. R.; Felde, J.; Filimonov, K.; Finley, C.; Fox, D.; Franckowiak, A.; Friedman, E.; Fritz, A.; Gaisser, T. K.; Gallagher, J.; Ganster, E.; Garrappa, S.; Gerhardt, L.; Ghorbani, K.; Glauch, T.; Glusenkamp, T.; Goldschmidt, A.; Gonzalez, J. G.; Grant, D.; Griffith, Z.; Griswold, S.; Gunder, M.; Gunduz, M.; Haack, C.; Hallgren, A.; Halliday, R.; Halve, L.; Halzen, F.; Hanson, K.; Haungs, A.; Hebecker, D.; Heereman, D.; Heix, P.; Helbing, K.; Hellauer, R.; Henningsen, F.; Hickford, S.; Hignight, J.; Hill, G. C.; Hoffman, K. D.; Hoffmann, R.; Hoinka, T.; Hokanson-Fasig, B.; Hoshina, K.; Huang, F.; Huber, M.; Huber, T.; Hultqvist, K.; Hunnefeld, M.; Hussain, R.; In, S.; Iovine, N.; Ishihara, A.; Japaridze, G. S.; Jeong, M.; Jero, K.; Jones, B. J. P.; Jonske, F.; Joppe, R.; Kang, D.; Kang, W.; Kappes, A.; Kappesser, D.; Karg, T.; Karl, M.; Karle, A.; Katz, U.; Kauer, M.; Kelley, J. L.; Kheirandish, A.; Kim, J.; Kintscher, T.; Kiryluk, J.; Kittler, T.; Klein, S. R.; Koirala, R.; Kolanoski, H.; Kopke, L.; Kopper, C.; Kopper, S.; Koskinen, D. J.; Kowalski, M.; Krings, K.; Kruckl, G.; Kulacz, N.; Kurahashi, N.; Kyriacou, A.; Lanfranchi, J. L.; Larson, M. J.; Lauber, F.; Lazar, J. P.; Leonard, K.; Leszczynska, A.; Leuermann, M.; Liu, Q. R.; Lohfink, E.; Mariscal, C. J. Lozano; Lu, L.; Lucarelli, F.; Lunemann, J.; Luszczak, W.; Lyu, Y.; Ma, W. Y.; Madsen, J.; Maggi, G.; Mahn, K. B. M.; Makino, Y.; Mallik, P.; Mallot, K.; Mancina, S.; Maris, I. C.; Maruyama, R.; Mase, K.; Maunu, R.; McNally, F.; Meagher, K.; Medici, M.; Medina, A.; Meier, M.; Meighen-Berger, S.; Merino, G.; Meures, T.; Micallef, J.; Mockler, D.; Momente, G.; Montaruli, T.; Moore, R. W.; Morse, R.; Moulai, M.; Muth, P.; Nagai, R.; Naumann, U.; Neer, G.; Niederhausen, H.; Nisa, M. U.; Nowicki, S. C.; Nygren, D. R.; Pollmann, A. Obertacke; Oehler, M.; Olivas, A.; O'Murchadha, A.; O'Sullivan, E.; Palczewski, T.; Pandya, H.; Pankova, D. V.; Park, N.; Peiffer, P.; Perez de los Heros, C.; Philippen, S.; Pieloth, D.; Pinat, E.; Pizzuto, A.; Plum, M.; Porcelli, A.; Price, P. B.; Przybylski, G. T.; Raab, C.; Raissi, A.; Rameez, M.; Rauch, L.; Rawlins, K.; Rea, I. C.; Reimann, R.; Relethford, B.; Renschler, M.; Renzi, G.; Resconi, E.; Rhode, W.; Richman, M.; Robertson, S.; Rongen, M.; Rott, C.; Ruhe, T.; Ryckbosch, D.; Rysewyk, D.; Safa, I.; Herrera, S. E. Sanchez; Sandrock, A.; Sandroos, J.; Santander, M.; Sarkar, S.; Sarkar, S.; Satalecka, K.; Schaufel, M.; Schieler, H.; Schlunder, P.; Schmidt, T.; Schneider, A.; Schneider, J.; Schroeder, F. G.; Schumacher, L.; Sclafani, S.; Seunarine, S.; Shefali, S.; Silva, M.; Snihur, R.; Soedingrekso, J.; Soldin, D.; Song, M.; Spiczak, G. M.; Spiering, C.; Stachurska, J.; Stamatikos, M.; Stanev, T.; Stein, R.; Stettner, J.; Steuer, A.; Stezelberger, T.; Stokstad, R. G.; Stossl, A.; Strotjohann, N. L.; Sturwald, T.; Stuttard, T.; Sullivan, G. W.; Taboada, I.; Tenholt, F.; Ter-Antonyan, S.; Terliuk, A.; Tilav, S.; Tollefson, K.; Tomankova, L.; Tonnis, C.; Toscano, S.; Tosi, D.; Trettin, A.; Tselengidou, M.; Tung, C. F.; Turcati, A.; Turcotte, R.; Turley, C. F.; Ty, B.; Unger, E.; Elorrieta, M. A. Unland; Usner, M.; Vandenbroucke, J.; Van Driessche, W.; Van Eijk, D.; Van Eijndhoven, N.; Van Santen, J.; Verpoest, S.; Vraeghe, M.; Walck, C.; Wallace, A.; Wallraff, M.; Wandkowsky, N.; Watson, T. B.; Weaver, C.; Weindl, A.; Weiss, M. J.; Weldert, J.; Wendt, C.; Werthebach, J.; Whelan, B. J.; Whitehorn, N.; Wiebe, K.; Wiebusch, C. H.; Wille, L.; Williams, D. R.; Wills, L.; Wolf, M.; Wood, J.; Wood, T. R.; Woschnagg, K.; Wrede, G.; Xu, D. L.; Xu, X. W.; Xu, Y.; Yanez, J. P.; Yodh, G.; Yoshida, S.; Yuan, T.; Zoecklein, M.</t>
  </si>
  <si>
    <t>Icecube Collaboration</t>
  </si>
  <si>
    <t>A Search for IceCube Events in the Direction of ANITA Neutrino Candidates</t>
  </si>
  <si>
    <t>ASTROPHYSICAL JOURNAL</t>
  </si>
  <si>
    <t>TRACK RECONSTRUCTION</t>
  </si>
  <si>
    <t>During the first three flights of the Antarctic Impulsive Transient Antenna (ANITA) experiment, the collaboration detected several neutrino candidates. Two of these candidate events were consistent with an ultra-high-energy upgoing air shower and compatible with a tau neutrino interpretation. A third neutrino candidate event was detected in a search for Askaryan radiation in the Antarctic ice, although it is also consistent with the background expectation. The inferred emergence angle of the first two events is in tension with IceCube and ANITA limits on isotropic cosmogenic neutrino fluxes. Here we test the hypothesis that these events are astrophysical in origin, possibly caused by a point source in the reconstructed direction. Given that any ultra-high-energy tau neutrino flux traversing the Earth should be accompanied by a secondary flux in the TeV-PeV range, we search for these secondary counterparts in 7 yr of IceCube data using three complementary approaches. In the absence of any significant detection, we set upper limits on the neutrino flux from potential point sources. We compare these limits to ANITA's sensitivity in the same direction and show that an astrophysical explanation of these anomalous events under standard model assumptions is severely constrained regardless of source spectrum.</t>
  </si>
  <si>
    <t>[Aartsen, M. G.; Adams, J.; Bagherpour, H.; Raissi, A.] Univ Canterbury, Dept Phys &amp; Astron, Private Bag 4800, Christchurch, New Zealand; [Ackermann, M.; Bastian, B.; Bernardini, E.; Blot, S.; Bradascio, F.; Brostean-Kaiser, J.; Franckowiak, A.; Garrappa, S.; Huber, T.; Karg, T.; Kintscher, T.; Kowalski, M.; Ma, W. Y.; Rauch, L.; Satalecka, K.; Spiering, C.; Stachurska, J.; Stein, R.; Strotjohann, N. L.; Terliuk, A.; Trettin, A.; Usner, M.; Van Santen, J.; Walck, C.] DESY, D-15738 Zeuthen, Germany; [Aguilar, J. A.; Ansseau, I.; Baur, S.; Heereman, D.; Iovine, N.; Maris, I. C.; Meures, T.; Mockler, D.; O'Murchadha, A.; Pinat, E.; Raab, C.; Renzi, G.; Toscano, S.] Univ Libre Bruxelles, Fac Sci, CP230, B-1050 Brussels, Belgium; [Ahlers, M.; Bourbeau, E.; Koskinen, D. J.; Medici, M.; Rameez, M.; Stuttard, T.] Univ Copenhagen, Niels Bohr Inst, DK-2100 Copenhagen, Denmark; [Ahrens, M.; Bohm, C.; Deoskar, K.; Finley, C.; Hultqvist, K.; O'Sullivan, E.] Stockholm Univ, Oskar Klein Ctr, SE-10691 Stockholm, Sweden; [Ahrens, M.; Bohm, C.; Deoskar, K.; Finley, C.; Hultqvist, K.; O'Sullivan, E.] Stockholm Univ, Dept Phys, SE-10691 Stockholm, Sweden; [Alispach, C.; Barbano, A.; Bron, S.; Carver, T.; Lucarelli, F.; Montaruli, T.] Univ Geneva, Dept Phys Nucl &amp; Corpusculaire, CH-1211 Geneva, Switzerland; [Andeen, K.; Plum, M.] Marquette Univ, Dept Phys, Milwaukee, WI 53201 USA; [Anderson, T.; Cowen, D. F.; DeLaunay, J. J.; Dunkman, M.; Eller, P.; Glusenkamp, T.; Huang, F.; Lanfranchi, J. L.; Pankova, D. V.; Turley, C. F.; Weiss, M. J.] Penn State Univ, Dept Phys, 104 Davey Lab, University Pk, PA 16802 USA; [Anton, G.; Katz, U.; Kittler, T.; Schneider, J.; Tselengidou, M.; Wrede, G.] Friedrich Alexander Univ Erlangen Nurnberg, Erlangen Ctr Astroparticle Phys, D-91058 Erlangen, Germany; [Arguelles, C.; Axani, S.; Balagopal, A., V; Collin, G. H.; Conrad, J. M.; Diaz, A.; Moulai, M.] MIT, Dept Phys, Cambridge, MA 02139 USA; [Auffenberg, J.; Backes, P.; Bottcher, J.; Buscher, J.; Ganster, E.; Gunder, M.; Haack, C.; Halve, L.; Heix, P.; Jonske, F.; Joppe, R.; Leuermann, M.; Mallik, P.; Muth, P.; Philippen, S.; Reimann, R.; Rongen, M.; Schaufel, M.; Schumacher, L.; Shefali, S.; Stettner, J.; Sturwald, T.; Wallraff, M.; Wiebusch, C. H.; Zoecklein, M.] Rhein Westfal TH Aachen, Phys Inst 3, D-52056 Aachen, Germany; [Bai, X.; Dvorak, E.] South Dakota Sch Mines &amp; Technol, Dept Phys, Rapid City, SD 57701 USA; [Balagopal, A., V; Dujmovic, H.; Engel, R.; Haungs, A.; Huber, T.; Kang, D.; Leszczynska, A.; Oehler, M.; Renschler, M.; Schieler, H.; Schroeder, F. G.; Turcotte, R.; Weindl, A.] Karlsruhe Inst Technol, Inst Kernphys, D-76021 Karlsruhe, Germany; [Barwick, S. W.; Yodh, G.] Univ Calif Irvine, Dept Phys &amp; Astron, Irvine, CA 92697 USA; [Baum, V.; Boser, S.; Ehrhardt, T.; Fritz, A.; Kappesser, D.; Kopke, L.; Kruckl, G.; Lohfink, E.; Momente, G.; Peiffer, P.; Sandroos, J.; Steuer, A.; Weldert, J.; Wiebe, K.] Johannes Gutenberg Univ Mainz, Inst Phys, Staudinger Weg 7, D-55099 Mainz, Germany; [Bay, R.; Binder, G.; Filimonov, K.; Klein, S. R.; Lyu, Y.; Palczewski, T.; Price, P. B.; Woschnagg, K.] Univ Calif Berkeley, Dept Phys, Berkeley, CA 94720 USA; [Beatty, J. J.] Ohio State Univ, Dept Astron, 174 W 18Th Ave, Columbus, OH 43210 USA; [Beatty, J. J.; Medina, A.; Stamatikos, M.] Ohio State Univ, Dept Phys, 174 W 18th Ave, Columbus, OH 43210 USA; [Beatty, J. J.; Medina, A.; Stamatikos, M.] Ohio State Univ, Ctr Cosmol &amp; Astroparticle Phys, Columbus, OH 43210 USA; [Becker, K. -H.; Bindig, D.; Helbing, K.; Hickford, S.; Hoffmann, R.; Lauber, F.; Naumann, U.; Pollmann, A. Obertacke] Univ Wuppertal, Dept Phys, D-42119 Wuppertal, Germany; [Tjus, J. Becker; Gunduz, M.; Tenholt, F.; Tomankova, L.] Ruhr Univ Bochum, Fak Phys &amp; Astron, D-44780 Bochum, Germany; [BenZvi, S.; Cross, R.; Griswold, S.] Univ Rochester, Dept Phys &amp; Astron, Rochester, NY 14627 USA; [Berley, D.; Blaufuss, E.; Cheung, E.; Felde, J.; Friedman, E.; Hellauer, R.; Hoffman, K. D.; Larson, M. J.; Maunu, R.; Olivas, A.; Schmidt, T.; Song, M.; Sullivan, G. W.] Univ Maryland, Dept Phys, College Pk, MD 20742 USA; [Besson, D. Z.] Univ Kansas, Dept Phys &amp; Astron, Lawrence, KS 66045 USA; [Binder, G.; Gerhardt, L.; Goldschmidt, A.; Klein, S. R.; Lyu, Y.; Nygren, D. R.; Palczewski, T.; Przybylski, G. T.; Robertson, S.; Stezelberger, T.; Stokstad, R. G.] Lawrence Berkeley Natl Lab, Berkeley, CA 94720 USA; [Botner, O.; Burgman, A.; Hallgren, A.; Perez de los Heros, C.; Unger, E.] Uppsala Univ, Dept Phys &amp; Astron, Box 516, SE-75120 Uppsala, Sweden; [Bourbeau, J.; Braun, J.; Chirkin, D.; Desiati, P.; Diaz-Velez, J. C.; Eberhardt, B.; Fahey, S.; Ghorbani, K.; Griffith, Z.; Halzen, F.; Hanson, K.; Hokanson-Fasig, B.; Hoshina, K.; Hussain, R.; Jero, K.; Karle, A.; Kauer, M.; Kelley, J. L.; Kheirandish, A.; Lazar, J. P.; Leonard, K.; Liu, Q. R.; Luszczak, W.; Mallot, K.; Mancina, S.; Meagher, K.; Merino, G.; Morse, R.; Park, N.; Pizzuto, A.; Safa, I.; Schneider, A.; Silva, M.; Snihur, R.; Tosi, D.; Ty, B.; Vandenbroucke, J.; Van Eijk, D.; Wandkowsky, N.; Wendt, C.; Werthebach, J.; Wille, L.; Wood, J.; Xu, D. L.; Yuan, T.] Univ Wisconsin, Dept Phys, 1150 Univ Ave, Madison, WI 53706 USA; [Bourbeau, J.; Braun, J.; Chirkin, D.; Desiati, P.; Diaz-Velez, J. C.; Eberhardt, B.; Fahey, S.; Ghorbani, K.; Griffith, Z.; Halzen, F.; Hanson, K.; Hokanson-Fasig, B.; Hoshina, K.; Hussain, R.; Jero, K.; Karle, A.; Kauer, M.; Kelley, J. L.; Kheirandish, A.; Lazar, J. P.; Leonard, K.; Liu, Q. R.; Luszczak, W.; Mallot, K.; Mancina, S.; Meagher, K.; Merino, G.; Morse, R.; Park, N.; Pizzuto, A.; Safa, I.; Schneider, A.; Silva, M.; Snihur, R.; Tosi, D.; Ty, B.; Vandenbroucke, J.; Van Eijk, D.; Wandkowsky, N.; Wendt, C.; Werthebach, J.; Wille, L.; Wood, J.; Xu, D. L.; Yuan, T.] Univ Wisconsin, Wisconsin IceCube Particle Astrophys Ctr, Madison, WI 53706 USA; [Busse, R. S.; Classen, L.; Kappes, A.; Mariscal, C. J. Lozano; Elorrieta, M. A. Unland] Westfalische Wilhelms Univ Munster, Inst Kernphys, D-48149 Munster, Germany; [Chen, C.; Dave, P.; Taboada, I.; Tung, C. F.] Georgia Inst Technol, Sch Phys, Atlanta, GA 30332 USA; [Chen, C.; Dave, P.; Taboada, I.; Tung, C. F.] Georgia Inst Technol, Ctr Relativist Astrophys, Atlanta, GA 30332 USA; [Choi, S.; In, S.; Jeong, M.; Kang, W.; Kim, J.; Rott, C.] Sungkyunkwan Univ, Dept Phys, Suwon 16419, South Korea; [Clark, K.] SNOLAB, 1039 Reg Rd 24,Creighton Mine 9, Lively, ON P3Y 1N2, Canada; [Coleman, A.; Dembinski, H.; Evenson, P. A.; Gaisser, T. K.; Gonzalez, J. G.; Koirala, R.; Pandya, H.; Schroeder, F. G.; Soldin, D.; Stanev, T.; Tilav, S.] Univ Delaware, Bartol Res Inst, Newark, DE 19716 USA; [Coleman, A.; Dembinski, H.; Evenson, P. A.; Gaisser, T. K.; Gonzalez, J. G.; Koirala, R.; Pandya, H.; Schroeder, F. G.; Soldin, D.; Stanev, T.; Tilav, S.] Univ Delaware, Dept Phys &amp; Astron, Newark, DE 19716 USA; [Coppin, P.; Correa, P.; De Clercq, C.; de Vries, K. D.; de Wasseige, G.; Lunemann, J.; Maggi, G.; Van Eijndhoven, N.] Vrije Univ Brussel VUB, Dienst ELEM, B-1050 Brussels, Belgium; [Cowen, D. F.; Fox, D.] Penn State Univ, Dept Astron &amp; Astrophys, 525 Davey Lab, University Pk, PA 16802 USA; [De Ridder, S.; Porcelli, A.; Ryckbosch, D.; Van Driessche, W.; Verpoest, S.; Vraeghe, M.] Univ Ghent, Dept Phys &amp; Astron, B-9000 Ghent, Belgium; [de With, M.; Hebecker, D.; Kolanoski, H.; Kowalski, M.] Humboldt Univ, Inst Phys, D-12489 Berlin, Germany; [DeYoung, T.; Grant, D.; Halliday, R.; Kopper, C.; Mahn, K. B. M.; Micallef, J.; Neer, G.; Nisa, M. U.; Nowicki, S. C.; Rysewyk, D.; Herrera, S. E. Sanchez; Tollefson, K.] Michigan State Univ, Dept Phys &amp; Astron, E Lansing, MI 48824 USA; [Fazely, A. R.; Ter-Antonyan, S.; Xu, X. W.] Southern Univ, Dept Phys, Baton Rouge, LA 70813 USA; [Gallagher, J.] Univ Wisconsin, Dept Astron, Madison, WI 53706 USA; [Balagopal, A., V; Glauch, T.; Henningsen, F.; Huber, M.; Karl, M.; Krings, K.; Meighen-Berger, S.; Niederhausen, H.; Rea, I. C.; Resconi, E.; Turcati, A.; Wolf, M.] Tech Univ Munich, Dept Phys, D-85748 Garching, Germany; [Hignight, J.; Kulacz, N.; Moore, R. W.; Sarkar, S.; Weaver, C.; Wood, T. R.; Yanez, J. P.] Univ Alberta, Dept Phys, Edmonton, AB T6G 2E1, Canada; [Hill, G. C.; Kyriacou, A.; Wallace, A.; Whelan, B. J.] Univ Adelaide, Dept Phys, Adelaide, SA 5005, Australia; [Hoinka, T.; Hunnefeld, M.; Meier, M.; Pieloth, D.; Rhode, W.; Ruhe, T.; Sandrock, A.; Schlunder, P.; Soedingrekso, J.] TU Dortmund, Dept Phys, D-44221 Dortmund, Germany; [Ishihara, A.; Lu, L.; Makino, Y.; Mase, K.; Nagai, R.; Stossl, A.; Yoshida, S.] Chiba Univ, Dept Phys, Chiba 2638522, Japan; [Ishihara, A.; Lu, L.; Makino, Y.; Mase, K.; Nagai, R.; Stossl, A.; Yoshida, S.] Chiba Univ, Inst Global Prominent Res, Chiba 2638522, Japan; [Japaridze, G. S.] Clark Atlanta Univ, CTSPS, Atlanta, GA 30314 USA; [Jones, B. J. P.; Watson, T. B.] Univ Texas Arlington, Dept Phys, 502 Yates St,Sci Hall Room 108,Box 19059, Arlington, TX 76019 USA; [Kiryluk, J.; Xu, Y.] SUNY Stony Brook, Dept Phys &amp; Astron, Stony Brook, NY 11794 USA; [Kopper, S.; Santander, M.; Williams, D. R.] Univ Alabama, Dept Phys &amp; Astron, Tuscaloosa, AL 35487 USA; [Kurahashi, N.; Relethford, B.; Richman, M.; Sclafani, S.; Wills, L.] Drexel Univ, Dept Phys, 3141 Chestnut St, Philadelphia, PA 19104 USA; [Madsen, J.; Seunarine, S.; Spiczak, G. M.] Univ Wisconsin, Dept Phys, River Falls, WI 54022 USA; [Maruyama, R.] Yale Univ, Dept Phys, New Haven, CT 06520 USA; [McNally, F.] Mercer Univ, Dept Phys, Macon, GA 31207 USA; [Rawlins, K.] Univ Alaska Anchorage, Dept Phys &amp; Astron, 3211 Providence Dr, Anchorage, AK 99508 USA; [Sarkar, S.] Univ Oxford, Dept Phys, Parks Rd, Oxford OX1 3PU, England; [Tonnis, C.] Sungkyunkwan Univ, Inst Basic Sci, Suwon 16419, South Korea; [Whitehorn, N.] Univ Calif Los Angeles, Dept Phys &amp; Astron, Los Angeles, CA 90095 USA</t>
  </si>
  <si>
    <t>University of Canterbury; Helmholtz Association; Deutsches Elektronen-Synchrotron (DESY); Universite Libre de Bruxelles; University of Copenhagen; Niels Bohr Institute; Stockholm University; Oskar Klein Centre; Stockholm University; University of Geneva; Marquette University; Pennsylvania Commonwealth System of Higher Education (PCSHE); Pennsylvania State University; Pennsylvania State University - University Park; University of Erlangen Nuremberg; Massachusetts Institute of Technology (MIT); RWTH Aachen University; South Dakota School Mines &amp; Technology; Helmholtz Association; Karlsruhe Institute of Technology; University of California System; University of California Irvine; Johannes Gutenberg University of Mainz; University of California System; University of California Berkeley; University System of Ohio; Ohio State University; University System of Ohio; Ohio State University; University System of Ohio; Ohio State University; University of Wuppertal; Ruhr University Bochum; University of Wurzburg; University of Rochester; University System of Maryland; University of Maryland College Park; University of Kansas; United States Department of Energy (DOE); Lawrence Berkeley National Laboratory; Uppsala University; University of Wisconsin System; University of Wisconsin Madison; University of Wisconsin System; University of Wisconsin Madison; University of Munster; University System of Georgia; Georgia Institute of Technology; University System of Georgia; Georgia Institute of Technology; Sungkyunkwan University (SKKU); University of Delaware; University of Delaware; Vrije Universiteit Brussel; Pennsylvania Commonwealth System of Higher Education (PCSHE); Pennsylvania State University; Pennsylvania State University - University Park; Ghent University; Humboldt University of Berlin; Michigan State University; Southern University System; Southern University &amp; A&amp;M College; University of Wisconsin System; University of Wisconsin Madison; Technical University of Munich; University of Alberta; University of Adelaide; Dortmund University of Technology; Chiba University; Chiba University; Clark Atlanta University; University of Texas System; University of Texas Arlington; State University of New York (SUNY) System; State University of New York (SUNY) Stony Brook; University of Alabama System; University of Alabama Tuscaloosa; Drexel University; University of Wisconsin System; Yale University; Mercer University; University of Alaska System; University of Alaska Anchorage; University of Oxford; Institute for Basic Science - Korea (IBS); Sungkyunkwan University (SKKU); University of California System; University of California Los Angeles</t>
  </si>
  <si>
    <t>Aartsen, MG (corresponding author), Univ Canterbury, Dept Phys &amp; Astron, Private Bag 4800, Christchurch, New Zealand.</t>
  </si>
  <si>
    <t>Gregoire, Timothee/AAT-7572-2021; Ma, Wing Yan/HLW-7686-2023; Rott, Carsten/ABB-1304-2021; Whitehorn, Nathan/HDM-8864-2022; Strotjohann, Nora Linn/GPX-7122-2022; Beatty, James/D-9310-2011; Resconi, Elisa/I-3874-2016; Huber, Thomas/A-5278-2008; Sandrock, Alexander/AAT-1285-2020; Katz, Uli F/E-1925-2013; Schneider, Austin/JGC-9796-2023; lu, lu/HGA-0894-2022; Williams, David/HKN-3732-2023; lu, lu/HII-7530-2022; xu, ye/JYO-6282-2024; sanchez, juan/GSD-8167-2022; Kauer, Matt/AAY-7581-2020; Rea, Immacolata Carmen/AAV-4830-2021; LU, LU/JEZ-4760-2023; Díaz Vélez, Juan Carlos/AAD-5211-2022; Huang, Feifei/AAX-2156-2020; Kowalski, Marek P/G-5546-2012; Sarkar, Subir/GPT-4902-2022; Sánchez, Juan Antonio Aguilar/H-4467-2015; Anton, Gisela/C-4840-2013; Tjus, Julia/G-8145-2012; xu, ye/GQO-8972-2022; Schroeder, Frank G./IRH-9416-2023; Sarkar, Subir/G-5978-2011; Ahlers, Markus/V-8757-2017; Koskinen, David/G-3236-2014</t>
  </si>
  <si>
    <t>Gregoire, Timothee/0000-0001-8711-1456; Ma, Wing Yan/0000-0003-1251-5493; Rott, Carsten/0000-0002-6958-6033; Whitehorn, Nathan/0000-0002-3157-0407; Beatty, James/0000-0003-0481-4952; Resconi, Elisa/0000-0003-0705-2770; Sandrock, Alexander/0000-0002-6779-1172; Kauer, Matt/0000-0003-1830-9076; Rea, Immacolata Carmen/0000-0002-3954-7754; Díaz Vélez, Juan Carlos/0000-0002-0087-0693; Huang, Feifei/0000-0002-6014-5928; Anton, Gisela/0000-0003-2039-4724; Tjus, Julia/0000-0002-1748-7367; Schroeder, Frank G./0000-0001-8495-7210; Sarkar, Subir/0000-0002-3542-858X; Meighen-Berger, Stephan/0000-0001-6579-2000; Bernardini, Elisa/0000-0003-3108-1141; LYU, Yan/0000-0002-7108-2109; Strotjohann, Nora Linn/0000-0002-4667-6730; Nisa, Mehr Un/0000-0002-6859-3944; Schneider, Austin/0000-0002-0895-3477; Lu, Lu/0000-0003-3175-7770; Huennefeld, Mirco/0000-0002-2827-6522; Ganster, Erik/0000-0003-4393-6944; Plum, Matthias/0000-0001-8691-242X; Spiczak, Glenn/0000-0002-0030-0519; Schumacher, Lisa Johanna/0000-0001-8945-6722; Ahlers, Markus/0000-0003-0709-5631; Blot, Summer/0000-0003-1089-3001; Sclafani, Stephen/0000-0001-9446-1219; Conrad, Janet/0000-0002-6393-0438; Taboada, Ignacio/0000-0003-3509-3457; Andeen, Karen/0000-0001-9394-0007; Mancina, Sarah/0009-0003-9879-3896; Stachurska, Juliana/0000-0002-0238-5608; Kang, Woosik/0000-0003-3980-3778; Meier, Maximilian/0000-0002-9483-9450; Reimann, Rene/0000-0002-1983-8271; de Vries, Krijn/0000-0002-9842-4068; Kheirandish, Ali/0000-0001-7074-0539; Haack, Christian/0000-0003-3932-2448; BenZvi, Segev/0000-0001-5537-4710; Franckowiak, Anna/0000-0002-5605-2219; Sarkar, Sourav/0000-0002-1206-4330; Chen, Chujie/0000-0002-8139-4106; Stuttard, Thomas/0000-0001-7944-279X; Deoskar, Kunal/0000-0002-1668-2347; /0000-0001-7909-5812; Koskinen, David/0000-0002-0514-5917; Safa, Ibrahim/0000-0001-8737-6825; Merino, Gonzalo/0000-0002-9540-5742; Correa, Pablo/0000-0002-1158-6735; Montaruli, Teresa/0000-0001-5014-2152; Bottcher, Jakob/0000-0002-3387-4236; Choi, Suyong/0000-0001-6225-9876; De Clercq, Catherine/0000-0001-5266-7059; Rongen, Martin/0000-0002-7057-1007; Pizzuto, Alex/0000-0002-8466-8168; Tung, Chun Fai/0000-0001-6920-7841; van Eijndhoven, Nick/0000-0001-5558-3328; Santander, Juan Marcos/0000-0001-7297-8217; Stein, Robert/0000-0003-2434-0387; Unland Elorrieta, Martin Antonio/0000-0002-6124-3255; Stettner, Joran/0000-0003-1042-3675; Fox, Derek/0000-0002-3714-672X; Leonard DeHolton, Kayla/0000-0002-8795-0601; LIU, QINRUI/0000-0003-3379-6423; Kappes, Alexander/0000-0003-1315-3711; Bron, Stephanie/0000-0002-6305-3041; Eller, Philipp/0000-0001-6354-5209; Rhode, Wolfgang/0000-0003-2636-5000; Coppin, Paul/0000-0001-6869-1280; Moore, Roger/0000-0003-4160-4700; Maris, Ioana/0000-0002-5771-1124</t>
  </si>
  <si>
    <t>USA: U.S. National Science Foundation-Office of Polar Programs; USA: U.S. National Science Foundation-Physics Division; USA: Wisconsin Alumni Research Foundation; USA: Center for High Throughput Computing (CHTC) at the University of Wisconsin-Madison; USA: Open Science Grid (OSG); USA: Extreme Science and Engineering Discovery Environment (XSEDE); USA: U.S. Department of Energy-National Energy Research Scientific Computing Center; USA: particle astrophysics research computing center at the University of Maryland; USA: Institute for Cyber-Enabled Research at Michigan State University; USA: astroparticle physics computational facility at Marquette University; Belgium: Funds for Scientific Research (FRS-FNRS); Belgium: Funds for Scientific Research (FWO); Belgium: FWO Odysseus program; Belgium: Belgian Federal Science Policy Office (Belspo); Germany: Bundesministerium fur Bildung und Forschung (BMBF); Germany: Deutsche Forschungsgemeinschaft (DFG); Germany: Helmholtz Alliance for Astroparticle Physics (HAP); Germany: Initiative and Networking Fund of the Helmholtz Association; Germany: Deutsches Elektronen Synchrotron (DESY); Germany: High Performance Computing Cluster of the RWTH Aachen; Sweden: Swedish Research Council; Sweden: Swedish Polar Research Secretariat; Sweden: Swedish National Infrastructure for Computing (SNIC); Sweden: Knut and Alice Wallenberg Foundation; Australia: Australian Research Council; Canada: Natural Sciences and Engineering Research Council of Canada; Canada: Calcul Quebec; Canada: Compute Ontario; Canada: Canada Foundation for Innovation; Canada: WestGrid; Canada: Compute Canada; Denmark: Villum Fonden; Denmark: Danish National Research Foundation (DNRF); Denmark: Carlsberg Foundation; New Zealand: Marsden Fund; Japan: Japan Society for Promotion of Science (JSPS); Japan: Institute for Global Prominent Research (IGPR) of Chiba University; Korea: National Research Foundation of Korea (NRF); Switzerland: Swiss National Science Foundation (SNSF); United Kingdom: Department of Physics, University of Oxford; Belgium: FWO Big Science program; STFC [ST/P000770/1] Funding Source: UKRI</t>
  </si>
  <si>
    <t>USA: U.S. National Science Foundation-Office of Polar Programs; USA: U.S. National Science Foundation-Physics Division; USA: Wisconsin Alumni Research Foundation; USA: Center for High Throughput Computing (CHTC) at the University of Wisconsin-Madison; USA: Open Science Grid (OSG); USA: Extreme Science and Engineering Discovery Environment (XSEDE); USA: U.S. Department of Energy-National Energy Research Scientific Computing Center; USA: particle astrophysics research computing center at the University of Maryland; USA: Institute for Cyber-Enabled Research at Michigan State University; USA: astroparticle physics computational facility at Marquette University; Belgium: Funds for Scientific Research (FRS-FNRS)(Fonds de la Recherche Scientifique - FNRS); Belgium: Funds for Scientific Research (FWO)(FWO); Belgium: FWO Odysseus program; Belgium: Belgian Federal Science Policy Office (Belspo); Germany: Bundesministerium fur Bildung und Forschung (BMBF)(Federal Ministry of Education &amp; Research (BMBF)); Germany: Deutsche Forschungsgemeinschaft (DFG)(German Research Foundation (DFG)); Germany: Helmholtz Alliance for Astroparticle Physics (HAP); Germany: Initiative and Networking Fund of the Helmholtz Association; Germany: Deutsches Elektronen Synchrotron (DESY); Germany: High Performance Computing Cluster of the RWTH Aachen; Sweden: Swedish Research Council; Sweden: Swedish Polar Research Secretariat; Sweden: Swedish National Infrastructure for Computing (SNIC); Sweden: Knut and Alice Wallenberg Foundation(Knut &amp; Alice Wallenberg Foundation); Australia: Australian Research Council; Canada: Natural Sciences and Engineering Research Council of Canada; Canada: Calcul Quebec; Canada: Compute Ontario; Canada: Canada Foundation for Innovation; Canada: WestGrid; Canada: Compute Canada; Denmark: Villum Fonden(Villum Fonden); Denmark: Danish National Research Foundation (DNRF)(National Research Foundation of Korea); Denmark: Carlsberg Foundation; New Zealand: Marsden Fund(Royal Society of New ZealandMarsden Fund (NZ)); Japan: Japan Society for Promotion of Science (JSPS)(Ministry of Education, Culture, Sports, Science and Technology, Japan (MEXT)Japan Society for the Promotion of Science); Japan: Institute for Global Prominent Research (IGPR) of Chiba University; Korea: National Research Foundation of Korea (NRF)(National Research Foundation of Korea); Switzerland: Swiss National Science Foundation (SNSF)(Swiss National Science Foundation (SNSF)); United Kingdom: Department of Physics, University of Oxford; Belgium: FWO Big Science program; STFC(UK Research &amp; Innovation (UKRI)Science &amp; Technology Facilities Council (STFC))</t>
  </si>
  <si>
    <t>The IceCube collaboration acknowledges the significant contributions to this manuscript from Anastasia Barbano, Alex Pizzuto, and Ibrahim Safa. The authors gratefully acknowledge support from the following agencies and institutions: USA: U.S. National Science Foundation-Office of Polar Programs, U.S. National Science Foundation-Physics Division, Wisconsin Alumni Research Foundation, Center for High Throughput Computing (CHTC) at the University of Wisconsin-Madison, Open Science Grid (OSG), Extreme Science and Engineering Discovery Environment (XSEDE), U.S. Department of Energy-National Energy Research Scientific Computing Center, particle astrophysics research computing center at the University of Maryland, Institute for Cyber-Enabled Research at Michigan State University, and astroparticle physics computational facility at Marquette University; Belgium: Funds for Scientific Research (FRS-FNRS and FWO), FWO Odysseus and Big Science programs, and Belgian Federal Science Policy Office (Belspo); Germany: Bundesministerium fur Bildung und Forschung (BMBF), Deutsche Forschungsgemeinschaft (DFG), Helmholtz Alliance for Astroparticle Physics (HAP), Initiative and Networking Fund of the Helmholtz Association, Deutsches Elektronen Synchrotron (DESY), and High Performance Computing Cluster of the RWTH Aachen; Sweden: Swedish Research Council, Swedish Polar Research Secretariat, Swedish National Infrastructure for Computing (SNIC), and Knut and Alice Wallenberg Foundation; Australia: Australian Research Council; Canada: Natural Sciences and Engineering Research Council of Canada, Calcul Quebec, Compute Ontario, Canada Foundation for Innovation, WestGrid, and Compute Canada; Denmark: Villum Fonden, Danish National Research Foundation (DNRF), Carlsberg Foundation; New Zealand: Marsden Fund; Japan: Japan Society for Promotion of Science (JSPS) and Institute for Global Prominent Research (IGPR) of Chiba University; Korea: National Research Foundation of Korea (NRF); Switzerland: Swiss National Science Foundation (SNSF); United Kingdom: Department of Physics, University of Oxford.</t>
  </si>
  <si>
    <t>IOP Publishing Ltd</t>
  </si>
  <si>
    <t>0004-637X</t>
  </si>
  <si>
    <t>1538-4357</t>
  </si>
  <si>
    <t>ASTROPHYS J</t>
  </si>
  <si>
    <t>Astrophys. J.</t>
  </si>
  <si>
    <t>10.3847/1538-4357/ab791d</t>
  </si>
  <si>
    <t>MH2QF</t>
  </si>
  <si>
    <t>Green Submitted, Green Published, Bronze</t>
  </si>
  <si>
    <t>WOS:000546575800001</t>
  </si>
  <si>
    <t>Chen, X; Wei, YY; Nie, YG; Wang, JJ; Emslie, SD; Liu, XD</t>
  </si>
  <si>
    <t>Chen, Xin; Wei, Yangyang; Nie, Yaguang; Wang, Jianjun; Emslie, Steven D.; Liu, Xiaodong</t>
  </si>
  <si>
    <t>Carbon isotopes of n-alkanoic acids in Antarctic ornithogenic sediments as indicators of sedimentary lipid sources and paleocological change</t>
  </si>
  <si>
    <t>Antarctica; Ornithogenic sediments; n-alkanoic acids; Carbon isotope ratios; Penguin population change</t>
  </si>
  <si>
    <t>ROSS SEA REGION; CLIMATE-CHANGE; FATTY-ACIDS; ADELIE PENGUINS; FRACTIONATION; DISTRIBUTIONS; BIOMARKERS; PROXIES; PLANTS; BIOSYNTHESIS</t>
  </si>
  <si>
    <t>Sedimentary n-alkanoic acids are ubiquitous in the environment and their carbon isotopic composition is increasingly used to identify the source of organic matter and to reconstruct past climatic and ecological changes. Here we investigate the distribution and carbon isotope ratios of n-alkanoic acids in two sediment profiles influenced by animal excrement in Antarctica. We found that organic matter input from animal excrement is the predominate source of short- and mid-chain n-alkanoic acids in the ornithogenic sediments. Decreased delta C-13 values are closely related to increased excrement input of penguins and seals that occupied the study site, especially in C-16 n-alkanoic acid. Long-chain (&gt;C-24) n-alkanoic acids likely originate from moss and heterotrophic microbes, and the delta C-13 values of C-26 n-alkanoic acid were consistent with organic biomarkers and bio-elements from animal excrement. Two possible processes are suggested to explain the close relationship between C-26 n-alkanoic acid delta C-13 values and animal excrement input. All the results indicate that the carbon isotopes of n-alkanoic acids in ornithogenic sediments can be used to indicate historical population change of penguins or seals in Antarctica. (C) 2019 Elsevier B.V. All rights reserved.</t>
  </si>
  <si>
    <t>[Chen, Xin; Wei, Yangyang; Liu, Xiaodong] Univ Sci &amp; Technol China, Sch Earth &amp; Space Sci, Anhui Prov Key Lab Polar Environm &amp; Global Change, Hefei 230026, Anhui, Peoples R China; [Nie, Yaguang] Anhui Univ, Inst Phys Sci &amp; Informat Technol, Hefei 230601, Peoples R China; [Chen, Xin; Wang, Jianjun] TIO, Key Lab Global Change &amp; Marine Atmospher Chem GCM, MNR, Xiamen 361005, Fujian, Peoples R China; [Emslie, Steven D.] Univ North Carolina Wilmington, Dept Biol &amp; Marine Biol, 601S Coll Rd, Wilmington, NC 28403 USA</t>
  </si>
  <si>
    <t>Chinese Academy of Sciences; University of Science &amp; Technology of China, CAS; Anhui University; University of North Carolina; University of North Carolina Wilmington</t>
  </si>
  <si>
    <t>Liu, XD (corresponding author), Univ Sci &amp; Technol China, Sch Earth &amp; Space Sci, Anhui Prov Key Lab Polar Environm &amp; Global Change, Hefei 230026, Anhui, Peoples R China.</t>
  </si>
  <si>
    <t>ycx@ustc.edu.cn</t>
  </si>
  <si>
    <t>National Natural Science Foundation of China [41576183, 41776188, 41772366]; US National Science Foundation [ANT 0739575]; Chinese Arctic and Antarctic Administration of the State Oceanic Administration</t>
  </si>
  <si>
    <t>National Natural Science Foundation of China(National Natural Science Foundation of China (NSFC)); US National Science Foundation(National Science Foundation (NSF)); Chinese Arctic and Antarctic Administration of the State Oceanic Administration</t>
  </si>
  <si>
    <t>This work was jointly supported by National Natural Science Foundation of China (grant nos. 41576183, 41776188 and 41772366), and US National Science Foundation Grant ANT 0739575 to S. Emslie. We would like to thank the Chinese Arctic and Antarctic Administration of the State Oceanic Administration for project support. We also thank the United States Antarctic Program (USAP), Raytheon Polar Services, and in particular J. Smykla, E. Gruber and L. Coats for their valuable assistance in the field. We also thank Prof. Yongsong Huang and Dr. Jiaju Zhao for their kindly help in experimental analysis.</t>
  </si>
  <si>
    <t>10.1016/j.scitotenv.2019.135926</t>
  </si>
  <si>
    <t>KJ8BS</t>
  </si>
  <si>
    <t>WOS:000512281700032</t>
  </si>
  <si>
    <t>Wang, XY; Liu, XD; Fang, YT; Jin, J; Wu, LB; Fu, PQ; Huang, HH; Zhang, HJ; Emslie, SD</t>
  </si>
  <si>
    <t>Wang, Xueying; Liu, Xiaodong; Fang, Yunting; Jin, Jing; Wu, Libin; Fu, Pingqing; Huang, Huihui; Zhang, Huijun; Emslie, Steven D.</t>
  </si>
  <si>
    <t>Application of δ15N to trace the impact of penguin guano on terrestrial and aquatic nitrogen cycles in Victoria Land, Ross Sea region, Antarctica</t>
  </si>
  <si>
    <t>Guano; Moss; Soil; Microbial mat; delta N-15; East Antarctica</t>
  </si>
  <si>
    <t>N-15 NATURAL-ABUNDANCE; TERRA-NOVA BAY; AMMONIA EMISSIONS; SOIL-NITROGEN; EAST ANTARCTICA; CLIMATE-CHANGE; ENVIRONMENTAL IMPLICATIONS; ORNITHOGENIC SEDIMENTS; SPATIAL-DISTRIBUTION; REACTIVE NITROGEN</t>
  </si>
  <si>
    <t>Penguin colonies in Antarctica offer an ideal natural laboratory to investigate ecosystem function and the nitrogen (N) cycle. This study assessed the spatial distribution of penguin-derived N from guano and quantitatively assessed its impact on plant N utilization strategies in Victoria Land, Ross Sea region, Antarctica. Soil, moss, and aquatic microbial mats were collected inside and outside an active Adelie penguin (Pygoscelis adeliae) colony and analyzed for delta N-15 of total and inorganic nitrogen (NH4+-N and NO3--N). The soil total nitrogen (TN), NH4+-N, and NO3--N concentrations, as well as their delta N-15 values were significantly higher in guano-impacted areas than those in guano-free areas, verifying that guano is an important N source at and near penguin colonies. However, even far from the penguin colonies, soil delta N-15 values resembled those in penguin colonies, suggesting strong spatial impacts of penguin-derived N. The moss impacted by guano was more enriched in delta N-15 than in guano-free areas. The delta N-15 values of NH4+-N and NO3--N in soils covered with moss revealed that the moss might prefer inorganic N in the absence of guano, while the dissolved organic N would become an important source for moss growing on ornithogenic soils. Aquatic microbial mat samples near penguin colonies were N-15-enriched, but N-15-depleted at upland sites. (C) 2019 Elsevier B.V. All rights reserved.</t>
  </si>
  <si>
    <t>[Wang, Xueying; Liu, Xiaodong; Jin, Jing; Huang, Huihui; Zhang, Huijun] Univ Sci &amp; Technol China, Sch Earth &amp; Space Sci, Anhui Key Lab Polar Environm &amp; Global Change, Hefei 230026, Anhui, Peoples R China; [Fang, Yunting] Chinese Acad Sci, Inst Appl Ecol, CAS Key Lab Forest Ecol &amp; Management, Shenyang 110016, Peoples R China; [Wu, Libin; Fu, Pingqing] Tianjin Univ, Inst Surface Earth Syst Sci, Tianjin 300072, Peoples R China; [Emslie, Steven D.] Univ North Carolina Wilmington, Dept Biol &amp; Marine Biol, 601 S Coll Rd, Wilmington, NC 28403 USA</t>
  </si>
  <si>
    <t>Chinese Academy of Sciences; University of Science &amp; Technology of China, CAS; Chinese Academy of Sciences; Shenyang Institute of Applied Ecology, CAS; Tianjin University; University of North Carolina; University of North Carolina Wilmington</t>
  </si>
  <si>
    <t>Liu, XD (corresponding author), Univ Sci &amp; Technol China, Sch Earth &amp; Space Sci, Anhui Key Lab Polar Environm &amp; Global Change, Hefei 230026, Anhui, Peoples R China.</t>
  </si>
  <si>
    <t>Zhang, Cheng/JAD-2236-2023; Li, Jing/GYU-5036-2022; Fu, Pingqing/G-4863-2013; Fang, Yunting/G-4456-2012; ZHANG, hui jie/HTN-1690-2023; Zhang, Hui/HHN-8494-2022; zhang, hui/GXH-6098-2022; Zhang, Hw/HPD-4999-2023</t>
  </si>
  <si>
    <t>Fu, Pingqing/0000-0001-6249-2280; Fang, Yunting/0000-0001-7531-546X;</t>
  </si>
  <si>
    <t>National Natural Science Foundation of China [41576183, 41776188]; NSF [ANT-1443585]; Chinese Arctic and Antarctic Administration of the State Oceanic Administration</t>
  </si>
  <si>
    <t>National Natural Science Foundation of China(National Natural Science Foundation of China (NSFC)); NSF(National Science Foundation (NSF)); Chinese Arctic and Antarctic Administration of the State Oceanic Administration</t>
  </si>
  <si>
    <t>This study was supported by the National Natural Science Foundation of China (Grant numbers. 41576183 and 41776188) and by NSF Grant ANT-1443585 to S. Emslie. We thank the Chinese Arctic and Antarctic Administration of the State Oceanic Administration for project support. We also thank the United States Antarctic Program (USAP), Antarctic Support Contract and the Italian Mario Zucchelli Station for logistical support. R. Murray and A. McKenzie provided valuable assistance in the field. We are especially grateful to Linlin Zheng and Yun Wei for their help in stable isotope analyses. Dr. Pengcheng Wu and Jian Yang are acknowledged for their help in moss species identification. Dr. Yaguang Nie is thanked for his valuable help to prepare this manuscript. We thank Dr. Songtao Ai for his help to obtain the data of relative distance and relative elevation of microbial mat sampling sites. We acknowledge four anonymous reviewers for their valuable suggestions to greatly improve our paper.</t>
  </si>
  <si>
    <t>10.1016/j.scitotenv.2019.134496</t>
  </si>
  <si>
    <t>WOS:000512281700004</t>
  </si>
  <si>
    <t>Van Opzeeland, I; Hillebrand, H</t>
  </si>
  <si>
    <t>Van Opzeeland, I; Hillebrand, H.</t>
  </si>
  <si>
    <t>Year-round passive acoustic data reveal spatio-temporal patterns in marine mammal community composition in the Weddell Sea, Antarctica</t>
  </si>
  <si>
    <t>MARINE ECOLOGY PROGRESS SERIES</t>
  </si>
  <si>
    <t>Biodiversity change; Species composition; Richness; Passive acoustic monitoring; Marine mammals; Southern Ocean</t>
  </si>
  <si>
    <t>WHALES ORCINUS-ORCA; BIODIVERSITY CHANGE; SOUTHERN-OCEAN; LEOPARD SEALS; SEASONAL VARIABILITY; EUPHAUSIA-SUPERBA; CLIMATE-CHANGE; SHELF WATERS; ECOSYSTEM; HUMPBACK</t>
  </si>
  <si>
    <t>To date, the majority of studies investigating marine mammal distribution and behavior take a single-species perspective, which is often driven by the logistic difficulties of collecting appropriate data at sea. Passive acoustic monitoring, provided recording tools exhibit sufficient bandwidth, has the potential to provide insights into community structure as devices operate autonomously simultaneously collecting data on baleen, pinniped and toothed whale acoustic presence. Data can provide information on local species diversity, residency times and co-occurrence. Here, we used multi-year passive acoustic data from 6 sites in the Weddell Sea, Southern Ocean, to explore how local marine mammal community compositions develop over time and in relation to sea-ice. Diversity peaked in austral late spring and early summer, shortly before seasonal sea-ice break-up. The effective number of species exhibited little variation over time, reflecting that species remain in Antarctic waters throughout austral winter. Community composition showed almost complete seasonal overturn, indicating that species replace each other throughout the year. For all 6 sites, community dissimilarity increased with increasing temporal distance, reflecting temporal trends in community composition beyond seasonality. Several species exhibited significant positive or negative co-occurrence patterns over time. These seasonal associations were consistent across all 5 oceanic sites, but partly inversed at the Western Antarctic Peninsula recording site. This study shows that the application of biodiversity metrics to passive acoustic monitoring data can foster insights into the timing of behaviors and community composition, which can boost the interpretation of responses in the light of ongoing environmental changes.</t>
  </si>
  <si>
    <t>[Van Opzeeland, I] Helmholtz Ctr Polar &amp; Marine Res, AWI, Ocean Acoust Lab, D-27570 Bremerhaven, Germany; [Van Opzeeland, I; Hillebrand, H.] Carl von Ossietzky Univ Oldenburg, HIFMB, D-26129 Oldenburg, Germany; [Hillebrand, H.] Carl von Ossietzky Univ Oldenburg, Inst Chem &amp; Biol Marine Environm ICBM, Plankton Ecol Lab, D-26382 Wilhelmshaven, Germany</t>
  </si>
  <si>
    <t>Helmholtz Association; Alfred Wegener Institute, Helmholtz Centre for Polar &amp; Marine Research; Carl von Ossietzky Universitat Oldenburg; Carl von Ossietzky Universitat Oldenburg</t>
  </si>
  <si>
    <t>Van Opzeeland, I (corresponding author), Helmholtz Ctr Polar &amp; Marine Res, AWI, Ocean Acoust Lab, D-27570 Bremerhaven, Germany.;Van Opzeeland, I (corresponding author), Carl von Ossietzky Univ Oldenburg, HIFMB, D-26129 Oldenburg, Germany.</t>
  </si>
  <si>
    <t>ilse.van.opzeeland@awi.de</t>
  </si>
  <si>
    <t>Gross, Thilo/B-4444-2010</t>
  </si>
  <si>
    <t>INTER-RESEARCH</t>
  </si>
  <si>
    <t>OLDENDORF LUHE</t>
  </si>
  <si>
    <t>NORDBUNTE 23, D-21385 OLDENDORF LUHE, GERMANY</t>
  </si>
  <si>
    <t>0171-8630</t>
  </si>
  <si>
    <t>1616-1599</t>
  </si>
  <si>
    <t>MAR ECOL PROG SER</t>
  </si>
  <si>
    <t>Mar. Ecol.-Prog. Ser.</t>
  </si>
  <si>
    <t>MAR 19</t>
  </si>
  <si>
    <t>10.3354/meps13258</t>
  </si>
  <si>
    <t>Ecology; Marine &amp; Freshwater Biology; Oceanography</t>
  </si>
  <si>
    <t>Environmental Sciences &amp; Ecology; Marine &amp; Freshwater Biology; Oceanography</t>
  </si>
  <si>
    <t>KX2VT</t>
  </si>
  <si>
    <t>Green Submitted, Bronze</t>
  </si>
  <si>
    <t>WOS:000521740400015</t>
  </si>
  <si>
    <t>Kennedy-Asser, AT; Lunt, DJ; Valdes, PJ; Ladant, JB; Frieling, J; Lauretano, V</t>
  </si>
  <si>
    <t>Kennedy-Asser, Alan T.; Lunt, Daniel J.; Valdes, Paul J.; Ladant, Jean-Baptiste; Frieling, Joost; Lauretano, Vittoria</t>
  </si>
  <si>
    <t>Changes in the high-latitude Southern Hemisphere through the Eocene-Oligocene transition: a model-data comparison</t>
  </si>
  <si>
    <t>CLIMATE OF THE PAST</t>
  </si>
  <si>
    <t>ANTARCTIC GLACIATION; DEEPMIP CONTRIBUTION; CLIMATE SENSITIVITY; OCEAN CIRCULATION; CARBON-DIOXIDE; DRAKE PASSAGE; ONSET; SIMULATIONS; VARIABILITY; EVOLUTION</t>
  </si>
  <si>
    <t>The global and regional climate changed dramatically with the expansion of the Antarctic Ice Sheet at the Eocene-Oligocene transition (EOT). These large-scale changes are generally linked to declining atmospheric pCO(2) levels and/or changes in Southern Ocean gateways such as the Drake Passage around this time. To better understand the Southern Hemisphere regional climatic changes and the impact of glaciation on the Earth's oceans and atmosphere at the EOT, we compiled a database of 10 ocean and 4 land-surface temperature reconstructions from a range of proxy records and compared this with a series of fully coupled, low-resolution climate model simulations from two models (HadCM3BL and FOAM). Regional patterns in the proxy records of temperature show that cooling across the EOT was less at high latitudes and greater at mid-latitudes. While certain climate model simulations show moderate-good performance at recreating the temperature patterns shown in the data before and after the EOT, in general the model simulations do not capture the absolute latitudinal temperature gradient shown by the data, being too cold, particularly at high latitudes. When taking into account the absolute temperature before and after the EOT, as well as the change in temperature across it, simulations with a closed Drake Passage before and after the EOT or with an opening of the Drake Passage across the EOT perform poorly, whereas simulations with a drop in atmospheric pCO(2) in combination with ice growth generally perform better. This provides further sup- port for previous research that changes in atmospheric pCO(2) are more likely to have been the driver of the EOT climatic changes, as opposed to the opening of the Drake Passage.</t>
  </si>
  <si>
    <t>[Kennedy-Asser, Alan T.; Lunt, Daniel J.; Valdes, Paul J.] Univ Bristol, Sch Geog Sci, BRIDGE, Bristol, Avon, England; [Kennedy-Asser, Alan T.; Lunt, Daniel J.; Valdes, Paul J.; Lauretano, Vittoria] Univ Bristol, Cabot Inst Environm, Bristol, Avon, England; [Ladant, Jean-Baptiste] Univ Michigan, Dept Earth &amp; Environm Sci, Ann Arbor, MI 48109 USA; [Frieling, Joost] Univ Utrecht, Fac Geosci, Dept Earth Sci, Marine Palynol &amp; Paleoceanog,Lab Palaeobot &amp; Paly, Princetonlaan 8a, NL-3584 CB Utrecht, Netherlands; [Lauretano, Vittoria] Univ Bristol, Sch Chem, Organ Geochem Unit, Bristol, Avon, England</t>
  </si>
  <si>
    <t>University of Bristol; University of Bristol; University of Michigan System; University of Michigan; Utrecht University; University of Bristol</t>
  </si>
  <si>
    <t>Kennedy-Asser, AT (corresponding author), Univ Bristol, Sch Geog Sci, BRIDGE, Bristol, Avon, England.;Kennedy-Asser, AT (corresponding author), Univ Bristol, Cabot Inst Environm, Bristol, Avon, England.</t>
  </si>
  <si>
    <t>alan.kennedy@bristol.ac.uk</t>
  </si>
  <si>
    <t>Valdes, Paul/T-2004-2019; Lunt, Daniel/G-9451-2011</t>
  </si>
  <si>
    <t>Valdes, Paul/0000-0002-1902-3283; Lunt, Daniel/0000-0003-3585-6928; Kennedy-Asser, Alan/0000-0001-5143-8932; Lauretano, Vittoria/0000-0002-7869-6074; Frieling, Joost/0000-0002-5374-1625</t>
  </si>
  <si>
    <t>NERC [NE/L002434/1]</t>
  </si>
  <si>
    <t>NERC(UK Research &amp; Innovation (UKRI)Natural Environment Research Council (NERC))</t>
  </si>
  <si>
    <t>This research has been supported by NERC (grant no. NE/L002434/1).</t>
  </si>
  <si>
    <t>1814-9324</t>
  </si>
  <si>
    <t>1814-9332</t>
  </si>
  <si>
    <t>CLIM PAST</t>
  </si>
  <si>
    <t>Clim. Past.</t>
  </si>
  <si>
    <t>10.5194/cp-16-555-2020</t>
  </si>
  <si>
    <t>Geosciences, Multidisciplinary; Meteorology &amp; Atmospheric Sciences</t>
  </si>
  <si>
    <t>Geology; Meteorology &amp; Atmospheric Sciences</t>
  </si>
  <si>
    <t>KW4TW</t>
  </si>
  <si>
    <t>WOS:000521159600001</t>
  </si>
  <si>
    <t>Yoon, ST; Lee, WS; Stevens, C; Jendersie, S; Nam, S; Yun, S; Hwang, CY; Jang, GI; Lee, J</t>
  </si>
  <si>
    <t>Yoon, Seung-Tae; Lee, Won Sang; Stevens, Craig; Jendersie, Stefan; Nam, SungHyun; Yun, Sukyoung; Hwang, Chung Yeon; Jang, Gwang Il; Lee, Jiyeon</t>
  </si>
  <si>
    <t>Variability in high-salinity shelf water production in the Terra Nova Bay polynya, Antarctica</t>
  </si>
  <si>
    <t>OCEAN SCIENCE</t>
  </si>
  <si>
    <t>CIRCUMPOLAR DEEP-WATER; ROSS SEA; ICE; CIRCULATION; DYNAMICS; MODEL</t>
  </si>
  <si>
    <t>Terra Nova Bay in Antarctica is a formation region for high-salinity shelf water (HSSW), which is a major source of Antarctic Bottom Water. Here, we analyze spatiotemporal salinity variability in Terra Nova Bay with implications for the local HSSW production. The salinity variations in the Drygalski Basin and eastern Terra Nova Bay near Crary Bank in the Ross Sea were investigated by analyzing hydrographic data from instrumented moorings, vessel-based profiles, and available wind and sea-ice products. Near-bed salinity in the eastern Terra Nova Bay (similar to 660 m) and Drygalski Basin (similar to 1200 m) increases each year beginning in September. Significant salinity increases (&gt; 0.04) were observed in 2016 and 2017, which is likely related to active HSSW formation. According to velocity data at identical depths, the salinity increase from September was primarily due to advection of the HSSW originating from the coastal region of the Nansen Ice Shelf. In addition, we show that HSSW can also be formed locally in the upper water column (&lt; 300 m) of the eastern Terra Nova Bay through convection supplied by brine from the surface, which is related to polynya development via winds and ice freezing. While the general consensus is that the salinity of the HSSW was decreasing from 1995 to the late 2000s in the region, the salinity has been increasing since 2016. In 2018, it returned to values comparable to those in the early 2000s.</t>
  </si>
  <si>
    <t>[Yoon, Seung-Tae; Lee, Won Sang; Yun, Sukyoung; Hwang, Chung Yeon; Jang, Gwang Il; Lee, Jiyeon] Korea Polar Res Inst, Incheon 21990, South Korea; [Stevens, Craig] Natl Inst Water &amp; Atmospher Res, Wellington 6021, New Zealand; [Stevens, Craig] Univ Auckland, Dept Phys, Auckland 1142, New Zealand; [Jendersie, Stefan] Victoria Univ Wellington, Antarctic Res Ctr, Wellington 6140, New Zealand; [Nam, SungHyun] Seoul Natl Univ, Sch Earth &amp; Environm Sci, Seoul 08826, South Korea</t>
  </si>
  <si>
    <t>Korea Polar Research Institute (KOPRI); National Institute of Water &amp; Atmospheric Research (NIWA) - New Zealand; University of Auckland; Victoria University Wellington; Seoul National University (SNU)</t>
  </si>
  <si>
    <t>Yoon, ST (corresponding author), Korea Polar Res Inst, Incheon 21990, South Korea.</t>
  </si>
  <si>
    <t>styoon@kopri.re.kr</t>
  </si>
  <si>
    <t>Nam, SungHyun/M-8610-2019; Jang, Gwang il/C-9656-2014; Yoon, Seung-Tae/GXV-4573-2022; Jendersie, Stefan/HKW-3913-2023</t>
  </si>
  <si>
    <t>Nam, SungHyun/0000-0002-3338-0105; Yoon, Seung-Tae/0000-0002-0540-7577; Stevens, Craig/0000-0002-4730-6985; Lee, Won Sang/0000-0002-1074-7672; Jendersie, Stefan/0000-0002-8658-3184; Yun, Sukyoung/0000-0003-0778-7259</t>
  </si>
  <si>
    <t>Korean Ministry of Oceans and Fisheries [KIMST20190361]; New Zealand Antarctic Research Institute [NZARI1401]; New Zealand Ministry of Business, Innovation &amp; Employment (MBIE) [NZARI1401] Funding Source: New Zealand Ministry of Business, Innovation &amp; Employment (MBIE)</t>
  </si>
  <si>
    <t>Korean Ministry of Oceans and Fisheries; New Zealand Antarctic Research Institute; New Zealand Ministry of Business, Innovation &amp; Employment (MBIE)(New Zealand Ministry of Business, Innovation and Employment (MBIE))</t>
  </si>
  <si>
    <t>This research has been supported by the Korean Ministry of Oceans and Fisheries (grant no. KIMST20190361) and the New Zealand Antarctic Research Institute (grant no. NZARI1401).</t>
  </si>
  <si>
    <t>1812-0784</t>
  </si>
  <si>
    <t>OCEAN SCI</t>
  </si>
  <si>
    <t>Ocean Sci.</t>
  </si>
  <si>
    <t>10.5194/os-16-373-2020</t>
  </si>
  <si>
    <t>Meteorology &amp; Atmospheric Sciences; Oceanography</t>
  </si>
  <si>
    <t>KW4UL</t>
  </si>
  <si>
    <t>WOS:000521161300001</t>
  </si>
  <si>
    <t>Arfianti, T; Costello, MJ</t>
  </si>
  <si>
    <t>Arfianti, Tri; Costello, Mark J.</t>
  </si>
  <si>
    <t>Global biogeography of marine amphipod crustaceans: latitude, regionalization, and beta diversity</t>
  </si>
  <si>
    <t>Endemicity; Latitudinal gradients; Conservation; Species richness; Species turnover</t>
  </si>
  <si>
    <t>SPECIES-DIVERSITY; BIODIVERSITY; GRADIENTS; RICHNESS; DISPERSAL; TURNOVER; ECOLOGY; PATTERN; SCALE</t>
  </si>
  <si>
    <t>Studying the biogeography of amphipod crustaceans is of interest because they play an important role at lower trophic levels in ecosystems. Because they lack a planktonic larval stage, it has been hypothesized that marine benthic amphipod crustaceans may have short dispersal distances, high endemicity, and spatial turnover in species composition, and consequently high global species richness. In this study, we examined over 400 000 distribution records of 4876 amphipod species, and identified 12 regions of endemicity. The number and percent of endemic species peaked at 30 degrees-35 degrees S and coincided with 3 of these regions of high endemicity: Australia, New Zealand, and southern Africa. Pelagic species of marine amphipod crustaceans were more cosmopolitan than benthic species. The latitudinal patterns of richness (alpha, gamma, and ES50) and species turnover were at least bimodal. Most occurrence records and greater alpha and gamma richness were in mid-latitudes, reflecting sampling bias. Both ES50 and beta diversity had similar richness in the tropics, mid-latitudes, and on the Antarctic shelf around 70 degrees S. These 2 indices exhibited a sharp dip in the deep Southern Ocean at 55 degrees S. ES50 peaked at 30 degrees-35 degrees S and a small dip was apparent near the equator at 5 degrees-10 degrees N. Beta diversity was driven mostly by turnover rather than nestedness. These findings support the need for conservation in each realm of species endemicity-and for amphipods, particularly in Antarctica and the coastal mid-latitudes (30 degrees-35 degrees S) of the Southern Hemisphere.</t>
  </si>
  <si>
    <t>[Arfianti, Tri] Univ Auckland, Inst Marine Sci, Auckland 1142, New Zealand; [Arfianti, Tri] Indonesian Inst Sci, Jakarta 12710, Indonesia; [Costello, Mark J.] Univ Auckland, Sch Environm, Auckland 1142, New Zealand; [Costello, Mark J.] Nord Univ, Fac Biosci &amp; Aquaculture, N-8049 Bodo, Norway</t>
  </si>
  <si>
    <t>University of Auckland; National Research &amp; Innovation Agency of Indonesia (BRIN); Indonesian Institute of Sciences (LIPI); University of Auckland; Nord University</t>
  </si>
  <si>
    <t>Arfianti, T (corresponding author), Univ Auckland, Inst Marine Sci, Auckland 1142, New Zealand.;Arfianti, T (corresponding author), Indonesian Inst Sci, Jakarta 12710, Indonesia.</t>
  </si>
  <si>
    <t>tri.arfianti@gmail.com</t>
  </si>
  <si>
    <t>New Zealand Ministry of Foreign Affairs and Trade</t>
  </si>
  <si>
    <t>Special gratitude goes out to all members of the Oceans of Biodiversity research group (https://www.oceansofbiodiversity.auckland.ac.nz/) for stimulating suggestions and encouragement. We thank Dr. Rakhshan Roohi and M. Hafidzt and S. Si (LIPI-Indonesia) for their help in using Geographical Information Systems, Dr. Adrian Castro-Insua and Dr. Chhaya Chaudhary for help with beta diversity, and Sapii S. Kom for assistance with breakpoint analysis. T.A. thanks the New Zealand Ministry of Foreign Affairs and Trade for providing a PhD scholarship through the ASEAN scholarship scheme (NZAS).</t>
  </si>
  <si>
    <t>10.3354/meps13272</t>
  </si>
  <si>
    <t>WOS:000521740400007</t>
  </si>
  <si>
    <t>Ropert-Coudert, Y; Van de Putte, AP; Reisinger, RR; Bornemann, H; Charrassin, JB; Costa, DP; Danis, B; Hückstädt, LA; Jonsen, ID; Lea, MA; Thompson, D; Torres, LG; Trathan, PN; Wotherspoon, S; Ainley, DG; Alderman, R; Andrews-Goff, V; Arthur, B; Ballard, G; Bengtson, J; Bester, MN; Blix, AS; Boehme, L; Bost, CA; Boveng, P; Cleeland, J; Constantine, R; Crawford, RJM; Dalla Rosa, L; de Bruyn, NPJ; Delord, K; Descamps, S; Double, M; Emmerson, L; Fedak, M; Friedlaender, A; Gales, N; Goebel, M; Goetz, KT; Guinet, C; Goldsworthy, SD; Harcourt, R; Hinke, JT; Jerosch, K; Kato, A; Kerry, KR; Kirkwood, R; Kooyman, GL; Kovacs, KM; Lawton, K; Lowther, AD; Lydersen, C; Lyver, PO; Makhado, AB; Márquez, MEI; McDonald, BI; McMahon, CR; Muelbert, M; Nachtsheim, D; Nicholls, KW; Nordoy, ES; Olmastroni, S; Phillips, RA; Pistorius, P; Plötz, J; Pütz, K; Ratcliffe, N; Ryan, PG; Santos, M; Southwell, C; Staniland, I; Takahashi, A; Tarroux, A; Trivelpiece, W; Wakefield, E; Weimerskirch, H; Wienecke, B; Xavier, JC; Raymond, B; Hindell, MA</t>
  </si>
  <si>
    <t>Ropert-Coudert, Yan; Van de Putte, Anton P.; Reisinger, Ryan R.; Bornemann, Horst; Charrassin, Jean-Benoit; Costa, Daniel P.; Danis, Bruno; Huckstadt, Luis A.; Jonsen, Ian D.; Lea, Mary-Anne; Thompson, David; Torres, Leigh G.; Trathan, Philip N.; Wotherspoon, Simon; Ainley, David G.; Alderman, Rachael; Andrews-Goff, Virginia; Arthur, Ben; Ballard, Grant; Bengtson, John; Bester, Marthan N.; Blix, Arnoldus Schytte; Boehme, Lars; Bost, Charles-Andre; Boveng, Peter; Cleeland, Jaimie; Constantine, Rochelle; Crawford, Robert J. M.; Dalla Rosa, Luciano; de Bruyn, Nico P. J.; Delord, Karine; Descamps, Sebastien; Double, Mike; Emmerson, Louise; Fedak, Mike; Friedlaender, Ari; Gales, Nick; Goebel, Mike; Goetz, Kimberly T.; Guinet, Christophe; Goldsworthy, Simon D.; Harcourt, Rob; Hinke, Jefferson T.; Jerosch, Kerstin; Kato, Akiko; Kerry, Knowles R.; Kirkwood, Roger; Kooyman, Gerald L.; Kovacs, Kit M.; Lawton, Kieran; Lowther, Andrew D.; Lydersen, Christian; Lyver, Phil O'B.; Makhado, Azwianewi B.; Marquez, Maria E. I.; McDonald, Birgitte I.; McMahon, Clive R.; Muelbert, Monica; Nachtsheim, Dominik; Nicholls, Keith W.; Nordoy, Erling S.; Olmastroni, Silvia; Phillips, Richard A.; Pistorius, Pierre; Ploetz, Joachim; Puetz, Klemens; Ratcliffe, Norman; Ryan, Peter G.; Santos, Mercedes; Southwell, Colin; Staniland, Iain; Takahashi, Akinori; Tarroux, Arnaud; Trivelpiece, Wayne; Wakefield, Ewan; Weimerskirch, Henri; Wienecke, Barbara; Xavier, Jose C.; Raymond, Ben; Hindell, Mark A.</t>
  </si>
  <si>
    <t>The retrospective analysis of Antarctic tracking data project</t>
  </si>
  <si>
    <t>SCIENTIFIC DATA</t>
  </si>
  <si>
    <t>Article; Data Paper</t>
  </si>
  <si>
    <t>CLIMATE-CHANGE; MODEL; ECOSYSTEM</t>
  </si>
  <si>
    <t>The Retrospective Analysis of Antarctic Tracking Data (RAATD) is a Scientific Committee for Antarctic Research project led jointly by the Expert Groups on Birds and Marine Mammals and Antarctic Biodiversity Informatics, and endorsed by the Commission for the Conservation of Antarctic Marine Living Resources. RAATD consolidated tracking data for multiple species of Antarctic meso- and top-predators to identify Areas of Ecological Significance. These datasets and accompanying syntheses provide a greater understanding of fundamental ecosystem processes in the Southern Ocean, support modelling of predator distributions under future climate scenarios and create inputs that can be incorporated into decision making processes by management authorities. In this data paper, we present the compiled tracking data from research groups that have worked in the Antarctic since the 1990s. The data are publicly available through biodiversity.aq and the Ocean Biogeographic Information System. The archive includes tracking data from over 70 contributors across 12 national Antarctic programs, and includes data from 17 predator species, 4060 individual animals, and over 2.9 million observed locations.</t>
  </si>
  <si>
    <t>[Ropert-Coudert, Yan; Reisinger, Ryan R.; Bost, Charles-Andre; Delord, Karine; Guinet, Christophe; Kato, Akiko; Weimerskirch, Henri] La Rochelle Univ, Stn Ecol Chize, Ctr Etud Biol Chize, CNRS,UMR7372, F-79360 Villiers En Bois, France; [Van de Putte, Anton P.] Royal Belgian Inst Nat Sci, OD Nat, BEDIC, Vautierstr 29, B-1000 Brussels, Belgium; [Van de Putte, Anton P.] Univ Leuven, Dept Biol, Lab Biodivers &amp; Evolutionary Genom, Ch Deberiotstr 32, B-3000 Louvain, Belgium; [Reisinger, Ryan R.; Pistorius, Pierre] Nelson Mandela Univ, Percy Fitzpatrick Inst African Ornithol, DST NRF Ctr Excellence, POB 77000, ZA-6031 Port Elizabeth, South Africa; [Reisinger, Ryan R.] CESAB FRB, 5 Rue Ecole Med, F-34000 Montpellier, France; [Bornemann, Horst; Jerosch, Kerstin; Nachtsheim, Dominik; Ploetz, Joachim] Helmholtz Zentrum Polar &amp; Meeresforsch, Alfred Wegener Inst, Handelshafen 12, D-27570 Bremerhaven, Germany; [Charrassin, Jean-Benoit] UPMC Univ, Sorbonne Univ, UMR 7159, CNRS IRD MNHN,LOCAEN IPSL, F-75005 Paris, France; [Costa, Daniel P.; Huckstadt, Luis A.; Friedlaender, Ari] Univ Calif Santa Cruz, Dept Ecol &amp; Evolutionary Biol, Long Marine Lab, 130 McAllister Way, Santa Cruz, CA 95060 USA; [Danis, Bruno] Univ Libre Bruxelles, Marine Biol Lab, Campus Solbosch,CP160-15 50 Ave FD Roosevelt, B-1050 Brussels, Belgium; [Jonsen, Ian D.; Harcourt, Rob; McMahon, Clive R.] Macquarie Univ, Dept Biol Sci, Sydney, NSW 2109, Australia; [Lea, Mary-Anne; Wotherspoon, Simon; Andrews-Goff, Virginia; Arthur, Ben; Cleeland, Jaimie; McMahon, Clive R.; Muelbert, Monica; Raymond, Ben; Hindell, Mark A.] Univ Tasmania, Inst Marine &amp; Antarctic Studies, 20 Castray Esplanade, Battery Point, Tas 7004, Australia; [Lea, Mary-Anne; Raymond, Ben; Hindell, Mark A.] Univ Tasmania, Antarctic Climate &amp; Ecosyst Cooperat Res Ctr, Hobart, Tas 7004, Australia; [Thompson, David; Goetz, Kimberly T.] Natl Inst Water &amp; Atmospher Res Ltd, 301 Evans Bay Parade, Wellington 6021, New Zealand; [Torres, Leigh G.] Hatfield Marine Sci Ctr, 2030 SE Marine Sci Dr, Newport, OR 97365 USA; [Trathan, Philip N.; Nicholls, Keith W.; Phillips, Richard A.; Ratcliffe, Norman; Staniland, Iain; Xavier, Jose C.] British Antarctic Survey, Nat Environm Res Council, High Cross,Madingley Rd, Cambridge CB3 0ET, England; [Ainley, David G.] HT Harvey &amp; Associates, 983 Univ Ave,Bldg D, Los Gatos, CA 95032 USA; [Alderman, Rachael] Dept Primary Ind Parks Water &amp; Environm, Hobart, Tas 7000, Australia; [Andrews-Goff, Virginia; Double, Mike; Emmerson, Louise; Gales, Nick; Kerry, Knowles R.; Kirkwood, Roger; Lawton, Kieran; Southwell, Colin; Wienecke, Barbara; Raymond, Ben] Australian Antarctic Div, Environm &amp; Energy Dept, 203 Channel Hwy, Kingston, Tas 7050, Australia; [Ballard, Grant] Point Blue Conservat Sci, 3820 Cypress Dr,Suite 11, Petaluma, CA 94954 USA; [Bengtson, John; Boveng, Peter] NOAA, Marine Mammal Lab, Alaska Fisheries Sci Ctr, 7600 Sand Point Way NE,F-AKC3, Seattle, WA 98115 USA; [Bester, Marthan N.; de Bruyn, Nico P. J.] Univ Pretoria, Dept Zool &amp; Entomol, Mammal Res Inst, Private Bag X20, ZA-0028 Hatfield, South Africa; [Blix, Arnoldus Schytte; Nordoy, Erling S.] UiT Arctic Univ Norway, POB 6050 Langnes, N-9037 Tromso, Norway; [Boehme, Lars; Fedak, Mike] Scottish Oceans Inst, St Andrews, Fife, Scotland; [Constantine, Rochelle] Univ Auckland, Sch Biol Sci, Private Bag 92019, Auckland, New Zealand; [Crawford, Robert J. M.; Makhado, Azwianewi B.] Oceans &amp; Coasts, Dept Environm Affairs, Private Bag X2, ZA-8012 Cape Town, South Africa; [Dalla Rosa, Luciano; Muelbert, Monica] Univ Fed Rio Grande FURG, Inst Oceanog, Av Italia Km 8 S-N,Campus Carreiros, BR-96203000 Rio Grande, RS, Brazil; [Descamps, Sebastien; Kovacs, Kit M.; Lowther, Andrew D.; Lydersen, Christian; Tarroux, Arnaud] Norwegian Polar Res Inst, Fram Ctr, N-9296 Tromso, Norway; [Friedlaender, Ari] Univ Calif Santa Cruz, Inst Marine Sci, 1156 High St, Santa Cruz, CA 95064 USA; [Goebel, Mike; Hinke, Jefferson T.; Trivelpiece, Wayne] NOAA, Antarctic Ecosyst Res Div, Southwest Fisheries Sci Ctr, Natl Marine Fisheries Serv, La Jolla, CA USA; [Goldsworthy, Simon D.] South Australian Res &amp; Dev Inst, 2 Hamra Ave, West Beach, SA 5024, Australia; [Kooyman, Gerald L.] Univ Calif San Diego, Scripps Inst Oceanog, Ctr Marine Biol &amp; Biomed, La Jolla, CA 92093 USA; [Lyver, Phil O'B.] Landcare Res, POB 69040, Lincoln 7640, New Zealand; [Marquez, Maria E. I.; Santos, Mercedes] Inst Antartico Argentino, 25 Mayo, RA-1143 San Martin, Buenos Aires, Argentina; [McDonald, Birgitte I.] San Jose State Univ, Moss Landing Marine Labs, 8272 Moss Landing Rd, Moss Landing, CA 95039 USA; [McMahon, Clive R.] Sydney Inst Marine Sci, 19 Chowder Bay Rd, Mosman, NSW 2088, Australia; [Nachtsheim, Dominik] Univ Vet Med Hannover, Inst Terr &amp; Aquat Wildlife Res, Werftstr 6, D-25761 Busum, Germany; [Olmastroni, Silvia] Univ Siena, Dipartimento Sci Fis Terra &amp; Ambiente, Via Mattioli 4, I-53100 Siena, Italy; [Olmastroni, Silvia] Museo Nazl Antartide, Via Laterina 8, I-53100 Siena, Italy; [Puetz, Klemens] Antarctic Res Trust, Oste Hamme Kanal 10, D-27432 Bremervorde, Germany; [Ryan, Peter G.] Univ Cape Town, DST NRF Ctr Excellence, Percy FitzPatrick Inst African Ornithol, ZA-7701 Rondebosch, South Africa; [Takahashi, Akinori] Natl Inst Polar Res, 10-3 Midori Cho, Tachikawa, Tokyo 1908518, Japan; [Tarroux, Arnaud] Norwegian Inst Nat Res, Fram Ctr, Postbox 6606 Langnes, N-9296 Tromso, Norway; [Wakefield, Ewan] Univ Glasgow, Inst Biodivers Anim Hlth &amp; Comparat Med, Glasgow G12 8QQ, Lanark, Scotland; [Xavier, Jose C.] Univ Coimbra, Dept Life Sci, Marine &amp; Environm Sci Ctr, P-3004517 Coimbra, Portugal</t>
  </si>
  <si>
    <t>Centre National de la Recherche Scientifique (CNRS); CNRS - Institute of Ecology &amp; Environment (INEE); Royal Belgian Institute of Natural Sciences; KU Leuven; Nelson Mandela University; National Research Foundation - South Africa; Helmholtz Association; Alfred Wegener Institute, Helmholtz Centre for Polar &amp; Marine Research; Sorbonne Universite; Museum National d'Histoire Naturelle (MNHN); Centre National de la Recherche Scientifique (CNRS); CNRS - National Institute for Earth Sciences &amp; Astronomy (INSU); Institut de Recherche pour le Developpement (IRD); University of California System; University of California Santa Cruz; Universite Libre de Bruxelles; Macquarie University; University of Tasmania; University of Tasmania; Antarctic Climate &amp; Ecosystems Cooperative Research Centre (ACE CRC); National Institute of Water &amp; Atmospheric Research (NIWA) - New Zealand; UK Research &amp; Innovation (UKRI); Natural Environment Research Council (NERC); NERC British Antarctic Survey; Australian Antarctic Division; National Oceanic Atmospheric Admin (NOAA) - USA; University of Pretoria; UiT The Arctic University of Tromso; University of St Andrews; University of Auckland; Department of Environment, Forestry &amp; Fisheries; Universidade Federal do Rio Grande; Norwegian Polar Institute; University of California System; University of California Santa Cruz; National Oceanic Atmospheric Admin (NOAA) - USA; South Australian Research &amp; Development Institute (SARDI); University of California System; University of California San Diego; Scripps Institution of Oceanography; Landcare Research - New Zealand; Instituto Antartico Argentino; Moss Landing Marine Laboratories; California State University System; San Jose State University; Sydney Institute of Marine Science; University of Veterinary Medicine Hannover; University of Siena; National Research Foundation - South Africa; University of Cape Town; Research Organization of Information &amp; Systems (ROIS); National Institute of Polar Research (NIPR) - Japan; Norwegian Institute Nature Research; University of Glasgow; Universidade de Coimbra</t>
  </si>
  <si>
    <t>Ropert-Coudert, Y; Reisinger, RR (corresponding author), La Rochelle Univ, Stn Ecol Chize, Ctr Etud Biol Chize, CNRS,UMR7372, F-79360 Villiers En Bois, France.;Van de Putte, AP (corresponding author), Royal Belgian Inst Nat Sci, OD Nat, BEDIC, Vautierstr 29, B-1000 Brussels, Belgium.;Van de Putte, AP (corresponding author), Univ Leuven, Dept Biol, Lab Biodivers &amp; Evolutionary Genom, Ch Deberiotstr 32, B-3000 Louvain, Belgium.;Reisinger, RR (corresponding author), Nelson Mandela Univ, Percy Fitzpatrick Inst African Ornithol, DST NRF Ctr Excellence, POB 77000, ZA-6031 Port Elizabeth, South Africa.;Reisinger, RR (corresponding author), CESAB FRB, 5 Rue Ecole Med, F-34000 Montpellier, France.;Raymond, B; Hindell, MA (corresponding author), Univ Tasmania, Inst Marine &amp; Antarctic Studies, 20 Castray Esplanade, Battery Point, Tas 7004, Australia.;Raymond, B; Hindell, MA (corresponding author), Univ Tasmania, Antarctic Climate &amp; Ecosyst Cooperat Res Ctr, Hobart, Tas 7004, Australia.;Raymond, B (corresponding author), Australian Antarctic Div, Environm &amp; Energy Dept, 203 Channel Hwy, Kingston, Tas 7050, Australia.</t>
  </si>
  <si>
    <t>yan.ropert-coudert@cebc.cnrs.fr; avandeputte@naturalsciences.be; ryan.r.reisinger@gmail.com; Ben.Raymond@aad.gov.au; Mark.Hindell@utas.edu.au</t>
  </si>
  <si>
    <t>de Bruyn, P. J. Nico/E-4176-2010; Tarroux, Arnaud/AAE-5173-2021; Guinet, Christophe/AAR-8457-2020; Weimerskirch, Henri/F-5562-2013; , Jefferson/AAG-1702-2021; Goetz, Kimberly/AID-8232-2022; Danis, Bruno/AAS-8444-2021; McDonald, Birgitte I/I-3602-2019; Van de Putte, Anton/S-3729-2019; Rosa, Luciano Dalla/D-5660-2012; Huckstadt, Luis/JNR-7637-2023; Xavier, José/KFB-6739-2024; Hindell, Mark A/K-1131-2013; Huckstadt, Luis A./J-8532-2019; McMahon, Clive R/D-5713-2013; Wotherspoon, Simon J/B-2390-2013; Jerosch, Kerstin/ABC-8913-2020; Boehme, Lars/B-6567-2009; OLMASTRONI, Silvia/G-6267-2018; Reisinger, Ryan/D-6151-2014; Lea, Mary-Anne/E-9054-2013; Fedak, Michael/B-3987-2009</t>
  </si>
  <si>
    <t>de Bruyn, P. J. Nico/0000-0002-9114-9569; Tarroux, Arnaud/0000-0001-8306-6694; , Jefferson/0000-0002-3600-1414; Danis, Bruno/0000-0002-9037-7623; McDonald, Birgitte I/0000-0001-5028-066X; Van de Putte, Anton/0000-0003-1336-5554; Rosa, Luciano Dalla/0000-0002-1583-6471; Huckstadt, Luis A./0000-0002-2453-7350; McMahon, Clive R/0000-0001-5241-8917; Wotherspoon, Simon J/0000-0002-6947-4445; Jerosch, Kerstin/0000-0003-0728-2154; Andrews-Goff, Virginia/0000-0002-4609-7317; Cleeland, Jaimie/0000-0003-2196-3968; Lowther, Andrew/0000-0003-4294-3157; /0000-0002-9621-6660; Boehme, Lars/0000-0003-3513-6816; Kirkwood, Roger/0000-0003-4221-4050; , gerald/0000-0002-8872-2950; Goldsworthy, Simon/0000-0003-4988-9085; OLMASTRONI, Silvia/0000-0002-9319-9914; Arthur, Benjamin/0000-0002-1390-5760; Nachtsheim, Dominik Andre/0000-0002-1010-3527; Jonsen, Ian/0000-0001-5423-6076; Reisinger, Ryan/0000-0002-8933-6875; Harcourt, Robert/0000-0003-4666-2934; Lea, Mary-Anne/0000-0001-8318-9299; Fedak, Michael/0000-0002-9569-1128</t>
  </si>
  <si>
    <t>Scientific Committee on Antarctic Research Life Science Group; BirdLife International; Australian Research Council; Sea World Research and Rescue Foundation Inc.; Australian Government; NERC [bas0100035] Funding Source: UKRI</t>
  </si>
  <si>
    <t>Scientific Committee on Antarctic Research Life Science Group; BirdLife International; Australian Research Council(Australian Research Council); Sea World Research and Rescue Foundation Inc.; Australian Government(Australian Government); NERC(UK Research &amp; Innovation (UKRI)Natural Environment Research Council (NERC))</t>
  </si>
  <si>
    <t>The RAATD project would not have been possible without the dedication of the many scientists, students and field assistants who helped collect data in the field or process them, including, non-exhaustively, S. Adlard, A. Aguera, M. Biuw, M.-A. Blanchet, J. Clarke, P. Cock, H. Cox, M. Connan, A.R. Carlini, S. Corsolini, M. Cottin, J.D. Le Croquant, G.A. Danieri, D. Davies, B. Dilley, R. Downie, M. Dunn, B.M. Dyer, H.O. Gillett, S. Haaland, L. Jonsen, B.A. Krafft, C. Kroeger, C.A.E. Lemon, G. Mabille, M. Marczak, T. McIntyre, J.A. Mennucci, T. Nordstad, C. Oosthuizen, R. Orben, F. Pezzo, T. Photopoulou, B. Picard, O. Prud'homme, T. Raclot, S. Ramdohr, D.H. Raymond, G. Robertson, T. Rogers, K. Ropert-Kato, S. Schoombie, E. Soininen, A. Specht, K. Stevens, J.N. Swaerd, C. Tosh, S. G. Trivelpiece, O. S. G. Trolli, L. Upfold, M. Le Vaillant, Y. Watanabe, M. Wege, C. Wheeler, T.O. Whitehead, M. Widmann, A. G. Wood, N. Youdjou and I. Zimmer. We extend our thanks to the large number of fieldworkers without whom these valuable data would not have been collected. Support and funding were provided by supranational committees and organisations including the Scientific Committee on Antarctic Research Life Science Group and BirdLife International, as well as from various national institutions (see also author affiliations) and foundations, including but not limited to Argentina (Direccion Nacional del Antartico), Australia (Australian Antarctic program; Australian Research Council; Sea World Research and Rescue Foundation Inc., IMOS is a national collaborative research infrastructure, supported by the Australian Government and operated by a consortium of institutions as an unincorporated joint venture, with the University of Tasmania as Lead Agent), Belgium (Belgian Science Policy Office, EU Lifewatch ERIC), Brazil (Brazilian Antarctic Programme; Brazilian National Research Council (CNPq/MCTI) and CAPES), France (Agence Nationale de la Recherche; Centre National d'Etudes Spatiales; Centre National de la Recherche Scientifique; the French Foundation for Research on Biodiversity (FRB; www.fondationbiodiversite.fr) in the context of the CESAB project RAATD; Fondation Total; Institut Paul-Emile Victor; Programme Zone Atelier de Recherches sur l'Environnement Antarctique et Subantarctique; Terres Australes et Antarctiques Francaises), Germany (Deutsche Forschungsgemeinschaft, Hanse-Wissenschaftskolleg -Institute for Advanced Study), Italy (Italian National Antarctic Research Program; Ministry for Education University and Research), Japan (Japanese Antarctic Research Expedition; JSPS Kakenhi grant), Monaco (Fondation Prince Albert II de Monaco), New Zealand (Ministry for Primary Industries -BRAG; Pew Charitable Trusts), Norway (Norwegian Antarctic Research Expeditions; Norwegian Research Council), Portugal (Foundation for Science and Technology), South Africa (Department of Environmental Affairs; National Research Foundation; South African National Antarctic Programme), UK (Darwin Plus; Ecosystems Programme at the British Antarctic Survey; Natural Environment Research Council; WWF), and USA (U.S. AMLR Program of NOAA Fisheries; US Office of Polar Programs).</t>
  </si>
  <si>
    <t>2052-4463</t>
  </si>
  <si>
    <t>SCI DATA</t>
  </si>
  <si>
    <t>Sci. Data</t>
  </si>
  <si>
    <t>MAR 18</t>
  </si>
  <si>
    <t>10.1038/s41597-020-0406-x</t>
  </si>
  <si>
    <t>KV8AE</t>
  </si>
  <si>
    <t>Green Published, Green Accepted, gold</t>
  </si>
  <si>
    <t>WOS:000520699800001</t>
  </si>
  <si>
    <t>Baker, CM; Boyer, SL; Giribet, G</t>
  </si>
  <si>
    <t>Baker, Caitlin M.; Boyer, Sarah L.; Giribet, Gonzalo</t>
  </si>
  <si>
    <t>A well-resolved transcriptomic phylogeny of the mite harvestman family Pettalidae (Arachnida, Opiliones, Cyphophthalmi) reveals signatures of Gondwanan vicariance</t>
  </si>
  <si>
    <t>JOURNAL OF BIOGEOGRAPHY</t>
  </si>
  <si>
    <t>Arachnida; Cyphophthalmi; Gondwana; Pettalidae; phylogenetic incongruence; phylogeny; transcriptomics; vicariance biogeography</t>
  </si>
  <si>
    <t>REVISED DATED PHYLOGENY; BIOGEOGRAPHY; MODEL; TREE; ANCIENT; SUPPORT; RECONSTRUCTION; EVOLUTIONARY; DIVERGENCE; ALIGNMENT</t>
  </si>
  <si>
    <t>Aim We explored the extent to which Gondwanan vicariance contributed to the circum-Antarctic distribution of the mite harvestman family Pettalidae, a group of small, dispersal-limited arachnids whose phylogeny has been poorly resolved, precluding rigorous biogeographic hypothesis testing. Location Continental landmasses of former temperate Gondwana (Chile, South Africa, Sri Lanka, Australia and New Zealand). Taxon Pettalidae, Opiliones. Methods We generated transcriptomes for a phylogeny of 16 pettalids, spanning 9 genera. Data were analysed using maximum likelihood, Bayesian inference and coalescence methods. The phylogenetic position of the Sri Lankan genus Pettalus was further explored using quartet likelihood mapping and changes in gene likelihood scores. We also estimated divergence times and looked for signatures of extinction across Antarctica and central Australia using previously published phylogenies with near-complete species sampling constrained to match our transcriptomic results. Finally, we estimated ancestral ranges and inferred instances of vicariance. Results We recovered a well-supported topology with a division between taxa from landmasses that made up East Gondwana, and a grade of taxa from West Gondwana. Pettalus was resolved either as the sister group of the Queensland-endemic Austropurcellia, or as the sister group to a larger clade from East Gondwana, though favouring Pettalus + Austropurcellia. Divergence times for multiple vicariance events coincided with Gondwana's breakup. Speciation-extinction analysis found one diversification process for the family: an initial burst of cladogenesis that slowed down through time. Main Conclusions Given that the order of cladogenesis corresponds to the order in which Gondwana fragmented, and the concurrent timing of vicariance and rifting, Gondwanan breakup explains major biogeographic patterns in Pettalidae. Some divergences predate initial rifting, but there is no evidence of trans-oceanic dispersal. The Sri Lanka-eastern Australia relationship makes sense in the light of large-scale extinction across Antarctica and central Australia; however, we find no clear signatures of mass extinction.</t>
  </si>
  <si>
    <t>[Baker, Caitlin M.; Giribet, Gonzalo] Harvard Univ, Dept Organism &amp; Evolutionary Biol, Museum Comparat Zool, 26 Oxford St, Cambridge, MA 02138 USA; [Boyer, Sarah L.] Macalester Coll, Biol Dept, St Paul, MN 55105 USA</t>
  </si>
  <si>
    <t>Harvard University; Macalester College</t>
  </si>
  <si>
    <t>Baker, CM (corresponding author), Harvard Univ, Dept Organism &amp; Evolutionary Biol, Museum Comparat Zool, 26 Oxford St, Cambridge, MA 02138 USA.</t>
  </si>
  <si>
    <t>baker02@g.harvard.edu</t>
  </si>
  <si>
    <t>; Giribet, Gonzalo/P-1086-2015</t>
  </si>
  <si>
    <t>Baker, Caitlin/0000-0002-9782-4959; Giribet, Gonzalo/0000-0002-5467-8429</t>
  </si>
  <si>
    <t>NSF [DEB-1457539, DEB-1754278, DEB-1020809]</t>
  </si>
  <si>
    <t>NSF, Grant/Award Number: DEB-1457539, DEB-1754278 and DEB-1020809</t>
  </si>
  <si>
    <t>0305-0270</t>
  </si>
  <si>
    <t>1365-2699</t>
  </si>
  <si>
    <t>J BIOGEOGR</t>
  </si>
  <si>
    <t>J. Biogeogr.</t>
  </si>
  <si>
    <t>10.1111/jbi.13828</t>
  </si>
  <si>
    <t>Ecology; Geography, Physical</t>
  </si>
  <si>
    <t>Environmental Sciences &amp; Ecology; Physical Geography</t>
  </si>
  <si>
    <t>LS6MC</t>
  </si>
  <si>
    <t>WOS:000520285500001</t>
  </si>
  <si>
    <t>Costa, RR; Mendes, CRB; Tavano, VM; Dotto, TS; Kerr, R; Monteiro, T; Odebrecht, C; Secchi, ER</t>
  </si>
  <si>
    <t>Costa, Raul Rodrigo; Mendes, Carlos Rafael Borges; Tavano, Virginia Maria; Dotto, Tiago Segabinazzi; Kerr, Rodrigo; Monteiro, Thiago; Odebrecht, Clarisse; Secchi, Eduardo Resende</t>
  </si>
  <si>
    <t>Dynamics of an intense diatom bloom in the Northern Antarctic Peninsula, February 2016</t>
  </si>
  <si>
    <t>PHYTOPLANKTON COMMUNITY STRUCTURE; CARBONATE SYSTEM PROPERTIES; CIRCUMPOLAR DEEP-WATER; ICE ZONE WEST; SOUTHERN-OCEAN; SEA-ICE; BRANSFIELD STRAITS; GERLACHE STRAIT; SPATIOTEMPORAL VARIABILITY; INTERANNUAL VARIABILITY</t>
  </si>
  <si>
    <t>Diatoms are considered the main base of the Southern Ocean food web as they are responsible for more than 85% of its annual primary production and play a crucial role in the Antarctic trophic structure and in the biogeochemical cycles. Within this context, an intense diatom bloom reaching &gt; 45 mg m(-3) of chlorophyll a was registered in the Northern Antarctic Peninsula (NAP) during a late summer study in February 2016. Given that nutrient concentrations and grazing activities were not identified here as limiting factors on the bloom development, the aim of this study was to evaluate the effect of water column structure (stability and upper mixed layer depth) on the phytoplankton biomass and composition in the NAP. The diatom bloom, mainly composed by the large centric Odontella weissflogii (mostly &gt; 70 mu m in length), was associated with a local ocean carbon dioxide uptake that reached values greater than -60 mmol m(-2) d(-1). We hypothesize that the presence of a vertically large water column stability barrier, just below the pycnocline, was the main driver allowing for the development of the intense diatom bloom, particularly in the Gerlache Strait. Contrarily, a shift from diatoms to dinoflagellates (mainly Gymnodiniales &lt; 20 mu m) was observed associated with conditions of a highly stable thin layer. The results suggest that a large fraction of this intense diatom bloom is in fast sinking process, associated with low grazing pressure, showing a crucial role of diatoms for the efficiency of the biological carbon pump in this region.</t>
  </si>
  <si>
    <t>[Costa, Raul Rodrigo; Mendes, Carlos Rafael Borges; Tavano, Virginia Maria; Odebrecht, Clarisse] Univ Fed Rio Grande FURG, Lab Fitoplancton &amp; Microorganismos Marinhos, Inst Oceanog, Av Italia,Km 8, Rio Grande, RS, Brazil; [Costa, Raul Rodrigo; Mendes, Carlos Rafael Borges; Tavano, Virginia Maria; Dotto, Tiago Segabinazzi; Kerr, Rodrigo; Monteiro, Thiago] Univ Fed Rio Grande FURG, Lab Estudos Oceanos Clima, Inst Oceanog, Rio Grande, RS, Brazil; [Secchi, Eduardo Resende] Univ Fed Rio Grande FURG, Lab Ecol &amp; Conservacao Megafauna Marinha, Inst Oceanog, Rio Grande, RS, Brazil</t>
  </si>
  <si>
    <t>Universidade Federal do Rio Grande; Universidade Federal do Rio Grande; Universidade Federal do Rio Grande</t>
  </si>
  <si>
    <t>Costa, RR (corresponding author), Univ Fed Rio Grande FURG, Lab Fitoplancton &amp; Microorganismos Marinhos, Inst Oceanog, Av Italia,Km 8, Rio Grande, RS, Brazil.;Costa, RR (corresponding author), Univ Fed Rio Grande FURG, Lab Estudos Oceanos Clima, Inst Oceanog, Rio Grande, RS, Brazil.</t>
  </si>
  <si>
    <t>costa@furg.br</t>
  </si>
  <si>
    <t>Mendes, Carlos/GVU-7596-2022; Odebrecht, Clarisse/J-6855-2012; Monteiro, Thiago/AAJ-7902-2020; Kerr, Rodrigo/I-2494-2012; Secchi, Eduardo R./ABF-1191-2020; Mendes, Carlos/I-1520-2012; Mendes, Carlos/AAD-6504-2021; Odebrecht, Clarisse/ISV-0176-2023; Tavano, Virginia/C-5241-2013</t>
  </si>
  <si>
    <t>Mendes, Carlos/0000-0001-6875-8860; Odebrecht, Clarisse/0000-0001-7159-4713; Monteiro, Thiago/0000-0001-7643-0646; Kerr, Rodrigo/0000-0002-2632-3137; Secchi, Eduardo R./0000-0001-9087-9909; Mendes, Carlos/0000-0001-6875-8860; Tavano, Virginia/0000-0003-0039-8111; Costa, Raul Rodrigo/0000-0002-0940-3565; Segabinazzi Dotto, Tiago/0000-0003-0565-6941</t>
  </si>
  <si>
    <t>National Council for Research and Development (CNPq); Coordination for the Improvement of Higher Education Personnel (CAPES); CNPq [407889/2013-2, 405869/2013-4, 442628/2018-8, 442637/2018-7]; CAPES [23038.001421/2014-2030]; CAPES Foundation [151248/2019-2]; CNPq-Brazil PDJ scholarship [151248/2019-2]; Projects of the Institutional Internationalization Program (Capes PrInt-FURG)</t>
  </si>
  <si>
    <t>National Council for Research and Development (CNPq)(Conselho Nacional de Desenvolvimento Cientifico e Tecnologico (CNPQ)); Coordination for the Improvement of Higher Education Personnel (CAPES)(Coordenacao de Aperfeicoamento de Pessoal de Nivel Superior (CAPES)); CNPq(Conselho Nacional de Desenvolvimento Cientifico e Tecnologico (CNPQ)); CAPES(Coordenacao de Aperfeicoamento de Pessoal de Nivel Superior (CAPES)); CAPES Foundation(Coordenacao de Aperfeicoamento de Pessoal de Nivel Superior (CAPES)); CNPq-Brazil PDJ scholarship; Projects of the Institutional Internationalization Program (Capes PrInt-FURG)</t>
  </si>
  <si>
    <t>This is a multidisciplinary study as part of the Brazilian High Latitude Oceanography Group (GOAL) activities in the Brazilian Antarctic Program (PROANTAR). Financial support was provided by National Council for Research and Development (CNPq) and Coordination for the Improvement of Higher Education Personnel (CAPES). This study was conducted within the activities of the INTERBIOTA, NAUTILUS, PROVOCCAR, ECOPELAGOS (CNPq grant numbers 407889/2013-2, 405869/2013-4, 442628/2018-8, 442637/2018-7, respectively) and CMAR2 (CAPES grant number 23038.001421/2014-2030) projects. The authors thank to the crew of the RV Almirante Maximiano of the Brazilian Navy and several scientists and technicians participating in the cruise for their valuable help during sampling. We are grateful to Simon Wright, from the Australian Antarctic Division, for providing the CHEMTAX v.1.95 software and to Ricardo Pollery, from Federal University of Rio de Janeiro, for performing the nutrient analysis. T. Monteiro and T.S. Dotto acknowledge financial support from the CAPES Foundation and CNPq-Brazil PDJ scholarship (151248/2019-2), respectively. RR. Costa, C.R.B. Mendes, R. Kerr, C. Odebrecht and E.R. Secchi are granted with research fellowships from CNPq. CAPES also provided free access to many relevant journals though the portal Periodicos CAPES. This study is within the scope of two Projects of the Institutional Internationalization Program (Capes PrInt-FURGEdital 41/2017). We are thankful for the constructive criticism of two anonymous reviewers, which helped to improve the manuscript.</t>
  </si>
  <si>
    <t>10.1002/lno.11437</t>
  </si>
  <si>
    <t>WOS:000520277600001</t>
  </si>
  <si>
    <t>Hindell, MA; Reisinger, RR; Ropert-Coudert, Y; Hückstädt, LA; Trathan, PN; Bornemann, H; Charrassin, JB; Chown, SL; Costa, DP; Danis, B; Lea, MA; Thompson, D; Torres, LG; Van de Putte, AP; Alderman, R; Andrews-Goff, V; Arthur, B; Ballard, G; Bengtson, J; Bester, MN; Blix, AS; Boehme, L; Bost, CA; Boveng, P; Cleeland, J; Constantine, R; Corney, S; Crawford, RJM; Dalla Rosa, L; de Bruyn, PJN; Delord, K; Descamps, S; Double, M; Emmerson, L; Fedak, M; Friedlaender, A; Gales, N; Goebel, ME; Goetz, KT; Guinet, C; Goldsworthy, SD; Harcourt, R; Hinke, JT; Jerosch, K; Kato, A; Kerry, KR; Kirkwood, R; Kooyman, GL; Kovacs, KM; Lawton, K; Lowther, AD; Lydersen, C; Lyver, PO; Makhado, AB; Marquez, MEI; McDonald, BI; McMahon, CR; Muelbert, M; Nachtsheim, D; Nicholls, KW; Nordoy, ES; Olmastroni, S; Phillips, RA; Pistorius, P; Plötz, J; Pütz, K; Ratcliffe, N; Ryan, PG; Santos, M; Southwell, C; Staniland, I; Takahashi, A; Tarroux, A; Trivelpiece, W; Wakefield, E; Weimerskirch, H; Wienecke, B; Xavier, JC; Wotherspoon, S; Jonsen, ID; Raymond, B</t>
  </si>
  <si>
    <t>Hindell, Mark A.; Reisinger, Ryan R.; Ropert-Coudert, Yan; Huckstadt, Luis A.; Trathan, Philip N.; Bornemann, Horst; Charrassin, Jean-Benoit; Chown, Steven L.; Costa, Daniel P.; Danis, Bruno; Lea, Mary-Anne; Thompson, David; Torres, Leigh G.; Van de Putte, Anton P.; Alderman, Rachael; Andrews-Goff, Virginia; Arthur, Ben; Ballard, Grant; Bengtson, John; Bester, Marthan N.; Blix, Arnoldus Schytte; Boehme, Lars; Bost, Charles-Andre; Boveng, Peter; Cleeland, Jaimie; Constantine, Rochelle; Corney, Stuart; Crawford, Robert J. M.; Dalla Rosa, Luciano; de Bruyn, P. J. Nico; Delord, Karine; Descamps, Sebastien; Double, Mike; Emmerson, Louise; Fedak, Mike; Friedlaender, Ari; Gales, Nick; Goebel, Michael E.; Goetz, Kimberly T.; Guinet, Christophe; Goldsworthy, Simon D.; Harcourt, Rob; Hinke, Jefferson T.; Jerosch, Kerstin; Kato, Akiko; Kerry, Knowles R.; Kirkwood, Roger; Kooyman, Gerald L.; Kovacs, Kit M.; Lawton, Kieran; Lowther, Andrew D.; Lydersen, Christian; Lyver, Phil O'B; Makhado, Azwianewi B.; Marquez, Maria E., I; McDonald, Birgitte, I; McMahon, Clive R.; Muelbert, Monica; Nachtsheim, Dominik; Nicholls, Keith W.; Nordoy, Erling S.; Olmastroni, Silvia; Phillips, Richard A.; Pistorius, Pierre; Ploetz, Joachim; Puetz, Klemens; Ratcliffe, Norman; Ryan, Peter G.; Santos, Mercedes; Southwell, Colin; Staniland, Iain; Takahashi, Akinori; Tarroux, Arnaud; Trivelpiece, Wayne; Wakefield, Ewan; Weimerskirch, Henri; Wienecke, Barbara; Xavier, Jose C.; Wotherspoon, Simon; Jonsen, Ian D.; Raymond, Ben</t>
  </si>
  <si>
    <t>Tracking of marine predators to protect Southern Ocean ecosystems</t>
  </si>
  <si>
    <t>NATURE</t>
  </si>
  <si>
    <t>CLIMATE-CHANGE; CONSERVATION; BIODIVERSITY; VARIABILITY; FISHERIES; HABITATS; PENGUIN; MODELS; DRIVEN; RANGE</t>
  </si>
  <si>
    <t>Tracking data from 17 marine predator species in the Southern Ocean are used to identify Areas of Ecological Significance, the protection of which could help to mitigate increasing pressures on Southern Ocean ecosystems. Southern Ocean ecosystems are under pressure from resource exploitation and climate change(1,2). Mitigation requires the identification and protection of Areas of Ecological Significance (AESs), which have so far not been determined at the ocean-basin scale. Here, using assemblage-level tracking of marine predators, we identify AESs for this globally important region and assess current threats and protection levels. Integration of more than 4,000 tracks from 17 bird and mammal species reveals AESs around sub-Antarctic islands in the Atlantic and Indian Oceans and over the Antarctic continental shelf. Fishing pressure is disproportionately concentrated inside AESs, and climate change over the next century is predicted to impose pressure on these areas, particularly around the Antarctic continent. At present, 7.1% of the ocean south of 40 degrees S is under formal protection, including 29% of the total AESs. The establishment and regular revision of networks of protection that encompass AESs are needed to provide long-term mitigation of growing pressures on Southern Ocean ecosystems.</t>
  </si>
  <si>
    <t>[Hindell, Mark A.; Lea, Mary-Anne; Andrews-Goff, Virginia; Arthur, Ben; Cleeland, Jaimie; Corney, Stuart; McMahon, Clive R.; Muelbert, Monica; Wotherspoon, Simon; Raymond, Ben] Univ Tasmania, Inst Marine &amp; Antarctic Studies, Hobart, Tas, Australia; [Hindell, Mark A.; Lea, Mary-Anne; Raymond, Ben] Univ Tasmania, Antarctic Climate &amp; Ecosyst Cooperat Res Ctr, Hobart, Tas, Australia; [Reisinger, Ryan R.; Ropert-Coudert, Yan; Bost, Charles-Andre; Delord, Karine; Guinet, Christophe; Kato, Akiko; Weimerskirch, Henri] La Rochelle Univ, Ctr Etud Biol Chize, Stn Ecol Chize, CNRS UMR7372, Villiers En Bois, France; [Reisinger, Ryan R.] Inst Bouisson Bertrand, CESAB FRB, Montpellier, France; [Reisinger, Ryan R.; Charrassin, Jean-Benoit] Sorbonne Univ, LOCEAN IPSL, CNRS, IRD,MNHN,UMR7159, Paris, France; [Huckstadt, Luis A.; Costa, Daniel P.; Friedlaender, Ari] Univ Calif Santa Cruz, Dept Ecol &amp; Evolutionary Biol, Santa Cruz, CA 95064 USA; [Trathan, Philip N.; Nicholls, Keith W.; Phillips, Richard A.; Ratcliffe, Norman; Staniland, Iain; Xavier, Jose C.] NERC, British Antarctic Survey, Cambridge, England; [Bornemann, Horst; Jerosch, Kerstin; Nachtsheim, Dominik; Ploetz, Joachim] Alfred Wegener Inst Helm Holtz Zentrum Polar &amp; Me, Bremerhaven, Germany; [Chown, Steven L.] Monash Univ, Sch Biol Sci, Melbourne, Vic, Australia; [Danis, Bruno] Univ Libre Bruxelles, Marine Biol Lab, Brussels, Belgium; [Thompson, David; Goetz, Kimberly T.] Natl Inst Water &amp; Atmospher Res, Wellington, New Zealand; [Torres, Leigh G.] Oregon State Univ, Marine Mammal Inst, Newport, OR USA; [Van de Putte, Anton P.] Royal Belgian Inst Nat Sci, BEDIC, OD Nat, Brussels, Belgium; [Van de Putte, Anton P.] Univ Leuven, Dept Biol, Lab Biodivers &amp; Evolutionary Genom, Leuven, Belgium; [Alderman, Rachael] Dept Primary Ind Pk Water &amp; Environm, Hobart, Tas, Australia; [Andrews-Goff, Virginia; Double, Mike; Emmerson, Louise; Gales, Nick; Kerry, Knowles R.; Kirkwood, Roger; Lawton, Kieran; Southwell, Colin; Wienecke, Barbara; Wotherspoon, Simon; Raymond, Ben] Dept Agr Water &amp; Environm, Australian Antarctic Div, Kingston, Tas, Australia; [Ballard, Grant] Point Blue Conservat Sci, Petaluma, CA USA; [Bengtson, John; Boveng, Peter] NOAA Fisheries, Marine Mammal Lab, Alaska Fisheries Sci Ctr, Seattle, WA USA; [Bester, Marthan N.; de Bruyn, P. J. Nico] Univ Pretoria, Mammal Res Inst, Dept Zool &amp; Entomol, Hatfield, South Africa; [Blix, Arnoldus Schytte; Nordoy, Erling S.] UiT Arctic Univ Norway, Tromso, Norway; [Boehme, Lars; Fedak, Mike] Scottish Oceans Inst, St Andrews, Fife, Scotland; [Constantine, Rochelle] Univ Auckland, Sch Biol Sci, Auckland, New Zealand; [Crawford, Robert J. M.; Makhado, Azwianewi B.] Dept Environm Agr &amp; Fisheries, Oceans &amp; Coasts, Cape Town, South Africa; [Dalla Rosa, Luciano; Muelbert, Monica] Univ Fed Rio Grande, Inst Oceanog, Rio Grande, Brazil; [Descamps, Sebastien; Kovacs, Kit M.; Lowther, Andrew D.; Lydersen, Christian; Tarroux, Arnaud] Norwegian Polar Res Inst, Fram Ctr, Tromso, Norway; [Friedlaender, Ari; Goebel, Michael E.] Univ Calif Santa Cruz, Inst Marine Sci, Santa Cruz, CA 95064 USA; [Goldsworthy, Simon D.] South Australian Res &amp; Dev Inst, West Beach, SA, Australia; [Harcourt, Rob; McMahon, Clive R.; Jonsen, Ian D.] Macquarie Univ, Dept Biol Sci, Sydney, NSW, Australia; [Hinke, Jefferson T.; Trivelpiece, Wayne] NOAA Fisheries, Antarctic Ecosyst Res Div, Southwest Fisheries Sci Ctr, La Jolla, CA USA; [Kooyman, Gerald L.] Univ Calif San Diego, Scripps Inst Oceanog, Ctr Marine Biotechnol &amp; Biomed, La Jolla, CA 92093 USA; [Lyver, Phil O'B] Landcare Res, Lincoln, New Zealand; [Marquez, Maria E., I; Santos, Mercedes] Inst Antartico Argentino, Buenos Aires, DF, Argentina; [McDonald, Birgitte, I] San Jose State Univ, Moss Landing Marine Labs, Moss Landing, CA USA; [McMahon, Clive R.] Sydney Inst Marine Sci, Mosman, NSW, Australia; [Nachtsheim, Dominik] Univ Vet Med Hannover, Inst Terr &amp; Aquat Wildlife Res, Busum, Germany; [Olmastroni, Silvia] Univ Siena, Dipartimento Sci Fis Terra &amp; Ambiente, Siena, Italy; [Olmastroni, Silvia] Museo Nazl Antartide, Siena, Italy; [Pistorius, Pierre] Nelson Mandela Univ, DST NRF Ctr Excellence, FitzPatrick Inst African Ornithol, Port Elizabeth, South Africa; [Puetz, Klemens] Antarctic Res Trust, Bremervorde, Germany; [Ryan, Peter G.] Univ Cape Town, DST NRF Ctr Excellence, FitzPatrick Inst African Ornithol, Rondebosch, South Africa; [Takahashi, Akinori] Natl Inst Polar Res, Tachikawa, Tokyo, Japan; [Tarroux, Arnaud] Norwegian Inst Nat Res, Fram Ctr, Tromso, Norway; [Wakefield, Ewan] Univ Glasgow, Inst Biodivers Anim Hlth &amp; Comparat Med, Glasgow, Lanark, Scotland; [Xavier, Jose C.] Univ Coimbra, Marine &amp; Environm Sci Ctr, Dept Life Sci, Coimbra, Portugal</t>
  </si>
  <si>
    <t>University of Tasmania; Antarctic Climate &amp; Ecosystems Cooperative Research Centre (ACE CRC); University of Tasmania; Centre National de la Recherche Scientifique (CNRS); CNRS - Institute of Ecology &amp; Environment (INEE); Centre National de la Recherche Scientifique (CNRS); CNRS - National Institute for Earth Sciences &amp; Astronomy (INSU); Institut de Recherche pour le Developpement (IRD); Sorbonne Universite; Museum National d'Histoire Naturelle (MNHN); University of California System; University of California Santa Cruz; UK Research &amp; Innovation (UKRI); Natural Environment Research Council (NERC); NERC British Antarctic Survey; Melbourne Genomics Health Alliance; Monash University; Universite Libre de Bruxelles; National Institute of Water &amp; Atmospheric Research (NIWA) - New Zealand; Oregon State University; Royal Belgian Institute of Natural Sciences; KU Leuven; Australian Antarctic Division; National Oceanic Atmospheric Admin (NOAA) - USA; University of Pretoria; UiT The Arctic University of Tromso; University of St Andrews; University of Auckland; Universidade Federal do Rio Grande; Norwegian Polar Institute; University of California System; University of California Santa Cruz; South Australian Research &amp; Development Institute (SARDI); Macquarie University; National Oceanic Atmospheric Admin (NOAA) - USA; University of California System; University of California San Diego; Scripps Institution of Oceanography; Landcare Research - New Zealand; Instituto Antartico Argentino; Moss Landing Marine Laboratories; California State University System; San Jose State University; Sydney Institute of Marine Science; University of Veterinary Medicine Hannover; University of Siena; National Research Foundation - South Africa; Nelson Mandela University; University of Cape Town; National Research Foundation - South Africa; Research Organization of Information &amp; Systems (ROIS); National Institute of Polar Research (NIPR) - Japan; Norwegian Institute Nature Research; University of Glasgow; Universidade de Coimbra</t>
  </si>
  <si>
    <t>Hindell, MA (corresponding author), Univ Tasmania, Inst Marine &amp; Antarctic Studies, Hobart, Tas, Australia.;Hindell, MA (corresponding author), Univ Tasmania, Antarctic Climate &amp; Ecosyst Cooperat Res Ctr, Hobart, Tas, Australia.</t>
  </si>
  <si>
    <t>mark.hindell@utas.edu.au</t>
  </si>
  <si>
    <t>Xavier, José/KFB-6739-2024; , Jefferson/AAG-1702-2021; Jerosch, Kerstin/ABC-8913-2020; Chown, Steven/ABD-7646-2021; McDonald, Birgitte I/I-3602-2019; Guinet, Christophe/AAR-8457-2020; Huckstadt, Luis A./J-8532-2019; Huckstadt, Luis/JNR-7637-2023; Wotherspoon, Simon J/B-2390-2013; Danis, Bruno/AAS-8444-2021; Hindell, Mark A/K-1131-2013; Goetz, Kimberly/AID-8232-2022; Tarroux, Arnaud/AAE-5173-2021; McMahon, Clive R/D-5713-2013; Van de Putte, Anton/S-3729-2019; de Bruyn, P. J. Nico/E-4176-2010; Weimerskirch, Henri/F-5562-2013; Chown, Steven/H-3347-2011; Reisinger, Ryan/D-6151-2014; Boehme, Lars/B-6567-2009; OLMASTRONI, Silvia/G-6267-2018; Lea, Mary-Anne/E-9054-2013; Fedak, Michael/B-3987-2009</t>
  </si>
  <si>
    <t>, Jefferson/0000-0002-3600-1414; Jerosch, Kerstin/0000-0003-0728-2154; McDonald, Birgitte I/0000-0001-5028-066X; Huckstadt, Luis A./0000-0002-2453-7350; Wotherspoon, Simon J/0000-0002-6947-4445; Danis, Bruno/0000-0002-9037-7623; Tarroux, Arnaud/0000-0001-8306-6694; McMahon, Clive R/0000-0001-5241-8917; Van de Putte, Anton/0000-0003-1336-5554; de Bruyn, P. J. Nico/0000-0002-9114-9569; Chown, Steven/0000-0001-6069-5105; Goldsworthy, Simon/0000-0003-4988-9085; Reisinger, Ryan/0000-0002-8933-6875; Nachtsheim, Dominik Andre/0000-0002-1010-3527; Boehme, Lars/0000-0003-3513-6816; , gerald/0000-0002-8872-2950; OLMASTRONI, Silvia/0000-0002-9319-9914; Jonsen, Ian/0000-0001-5423-6076; Cleeland, Jaimie/0000-0003-2196-3968; Arthur, Benjamin/0000-0002-1390-5760; Andrews-Goff, Virginia/0000-0002-4609-7317; /0000-0002-9621-6660; Hindell, Mark/0000-0002-7823-7185; Lea, Mary-Anne/0000-0001-8318-9299; Fedak, Michael/0000-0002-9569-1128; Kirkwood, Roger/0000-0003-4221-4050; Lowther, Andrew/0000-0003-4294-3157; Harcourt, Robert/0000-0003-4666-2934</t>
  </si>
  <si>
    <t>Expert Group on Birds and Marine Mammals of the Scientific Committee on Antarctic Research (SCAR); European Commission (IUCN BEST program); Australia (Australian Antarctic program); Australian Research Council; Sea World Research and Rescue Foundation; Australian Integrated Marine Observing System (IMOS); Australian Government; National Council for Scientific and Technological Development (CNPq); Ministry of Science, Technology, Innovation and Communications (MCTIC); Ministry of the Environment; (CAPES); France (Agence Nationale de la Recherche); Centre National de la Recherche Scientifique; French Foundation for Research on Biodiversity; Fondation Total; Institut Paul-Emile Victor; Germany (Alfred-Wegener-Institut Helmholtz-Zentrum fur Polar- und Meeresforschung, Deutsche Forschungsgemeinschaft, Hanse-Wissenschaftskolleg (Institute for Advanced Study)); JSPS Kakenhi [20310016]; Monaco (Fondation Prince Albert II de Monaco); New Zealand (Ministry for Primary Industries BRAG); Norway (Norwegian Antarctic Research Expeditions); (Norwegian Research Council); South Africa (Department of Environmental Affairs); Natural Environment Research Council; USA (US AMLR Program of NOAA Fisheries); Grants-in-Aid for Scientific Research [20310016] Funding Source: KAKEN; NERC [bas0100035, NE/M017990/1] Funding Source: UKRI</t>
  </si>
  <si>
    <t>Expert Group on Birds and Marine Mammals of the Scientific Committee on Antarctic Research (SCAR); European Commission (IUCN BEST program); Australia (Australian Antarctic program); Australian Research Council(Australian Research Council); Sea World Research and Rescue Foundation; Australian Integrated Marine Observing System (IMOS); Australian Government(Australian Government); National Council for Scientific and Technological Development (CNPq)(Conselho Nacional de Desenvolvimento Cientifico e Tecnologico (CNPQ)); Ministry of Science, Technology, Innovation and Communications (MCTIC); Ministry of the Environment(Ministry of the Environment, Japan); (CAPES)(Coordenacao de Aperfeicoamento de Pessoal de Nivel Superior (CAPES)); France (Agence Nationale de la Recherche)(Agence Nationale de la Recherche (ANR)); Centre National de la Recherche Scientifique(Centre National de la Recherche Scientifique (CNRS)); French Foundation for Research on Biodiversity; Fondation Total; Institut Paul-Emile Victor; Germany (Alfred-Wegener-Institut Helmholtz-Zentrum fur Polar- und Meeresforschung, Deutsche Forschungsgemeinschaft, Hanse-Wissenschaftskolleg (Institute for Advanced Study)); JSPS Kakenhi(Ministry of Education, Culture, Sports, Science and Technology, Japan (MEXT)Japan Society for the Promotion of ScienceGrants-in-Aid for Scientific Research (KAKENHI)); Monaco (Fondation Prince Albert II de Monaco); New Zealand (Ministry for Primary Industries BRAG); Norway (Norwegian Antarctic Research Expeditions); (Norwegian Research Council)(Research Council of Norway); South Africa (Department of Environmental Affairs); Natural Environment Research Council(UK Research &amp; Innovation (UKRI)Natural Environment Research Council (NERC)); USA (US AMLR Program of NOAA Fisheries); Grants-in-Aid for Scientific Research(Ministry of Education, Culture, Sports, Science and Technology, Japan (MEXT)Japan Society for the Promotion of ScienceGrants-in-Aid for Scientific Research (KAKENHI)); NERC(UK Research &amp; Innovation (UKRI)Natural Environment Research Council (NERC))</t>
  </si>
  <si>
    <t>This contribution is part of the Retrospective Analysis of Antarctic Tracking Data (RAATD), a project of the Expert Group on Birds and Marine Mammals of the Scientific Committee on Antarctic Research (SCAR; www.scar.org). The RAATD project would not have been possible without the many scientists, students and field assistants who helped collect data in the field or process them, including S. Adlard, A. Aguera, M. Biuw, M.-A. Blanchet, J. Clarke, P. Cock, H. Cox, M. Connan, A. R. Carlini, S. Corsolini, M. Cottin, J. D. Le Croquant, G. A. Danieri, D. Davies, B. Dilley, R. Downie, M. Dunn, B. M. Dyer, S. Focardi, H. O. Gillett, S. Haaland, L. Jonsen-Humble, H. Kane, B. A. Krafft, C. Kroeger, C. A. E. Lemon, G. Mabille, M. Marczak, T. McIntyre, S. McKooy, J. A. Mennucci, T. Nordstad, C. Oosthuizen, R. Orben, T. Photopoulou, B. Picard, O. Prud'homme, T. Raclot, S. Ramdohr, D. H. Raymond, L. Riekkola, G. Richard, G. Robertson, T. Rogers, K. Ropert-Kato, S. Schoombie, T. N. Snakes, E. Soininen, A. Specht, K. Stevens, J. N. Sw ae rd, C. Tosh, S. G. Trivelpiece, O. S. G. Trolli, T. Truly, L. Upfold, M. Le Vaillant, Y. Watanabe, M. Wege, C. Wheeler, T. O. Whitehead, M. Widmann, A. G. Wood, N. Youdjou and I. Zimmer. We also thank the large number of fieldworkers without whom these data would not have been collected. D. G. Ainley and A. Constable commented on an earlier version of the manuscript. Support and funding were provided by supranational committees and organizations including SCAR, BirdLife International and the European Commission (IUCN BEST program), as well as various national institutions (see also author affiliations) and foundations, including but not limited to: Argentina (Direccion Nacional del Antartico); Australia (Australian Antarctic program; Australian Research Council; Sea World Research and Rescue Foundation; Australian Integrated Marine Observing System (IMOS) (IMOS is a national collaborative research infrastructure, supported by the Australian Government and operated by a consortium of institutions as an unincorporated joint venture, with the University of Tasmania as Lead Agent)); Belgium (Belgian Science Policy Office/Lifewatch), Brazil (Brazilian Antarctic Programme; National Council for Scientific and Technological Development (CNPq); Ministry of Science, Technology, Innovation and Communications (MCTIC); Ministry of the Environment; CAPES); France (Agence Nationale de la Recherche; Centre National d'Etudes Spatiales; Centre National de la Recherche Scientifique; the French Foundation for Research on Biodiversity (FRB; www.fondationbiodiversite.fr) in the context of the CESAB project 'RAATD'; Fondation Total; Institut Paul-Emile Victor; Programme Zone Atelier de Recherches sur l'Environnement Antarctique et Subantarctique; Terres Australes et Antarctiques Francaises); Germany (Alfred-Wegener-Institut Helmholtz-Zentrum fur Polar- und Meeresforschung, Deutsche Forschungsgemeinschaft, Hanse-Wissenschaftskolleg (Institute for Advanced Study)); Italy (Programma Nazionale di Ricerche in Antartide (PNRA)); Japan (Japanese Antarctic Research Expedition; JSPS Kakenhi grant 20310016; NIPR visiting professor fellowship for M.A.H.; ); Monaco (Fondation Prince Albert II de Monaco); New Zealand (Ministry for Primary Industries BRAG; Pew Charitable Trusts); Norway (Norwegian Antarctic Research Expeditions; Norwegian Research Council); Portugal (Foundation for Science and Technology); South Africa (Department of Environmental Affairs; National Research Foundation; South African National Antarctic Programme); UK (Darwin Plus; Ecosystems Programme at the British Antarctic Survey; Natural Environment Research Council; WWF); and USA (US AMLR Program of NOAA Fisheries; National Science Foundation Office of Polar Programs).</t>
  </si>
  <si>
    <t>0028-0836</t>
  </si>
  <si>
    <t>1476-4687</t>
  </si>
  <si>
    <t>Nature</t>
  </si>
  <si>
    <t>APR 2</t>
  </si>
  <si>
    <t>10.1038/s41586-020-2126-y</t>
  </si>
  <si>
    <t>QP2MA</t>
  </si>
  <si>
    <t>Green Published, Green Accepted</t>
  </si>
  <si>
    <t>Y</t>
  </si>
  <si>
    <t>N</t>
  </si>
  <si>
    <t>WOS:000520398000001</t>
  </si>
  <si>
    <t>Lickley, M; Solomon, S; Fletcher, S; Velders, GJM; Daniel, J; Rigby, M; Montzka, SA; Kuijpers, LJM; Stone, K</t>
  </si>
  <si>
    <t>Lickley, Megan; Solomon, Susan; Fletcher, Sarah; Velders, Guus J. M.; Daniel, John; Rigby, Matthew; Montzka, Stephen A.; Kuijpers, Lambert J. M.; Stone, Kane</t>
  </si>
  <si>
    <t>Quantifying contributions of chlorofluorocarbon banks to emissions and impacts on the ozone layer and climate</t>
  </si>
  <si>
    <t>DETERMINISTIC SIMULATION-MODELS; INCREASE; CFC-11; CFCS</t>
  </si>
  <si>
    <t>Chlorofluorocarbon (CFC) banks from uses such as air conditioners or foams can be emitted after global production stops. Recent reports of unexpected emissions of CFC-11 raise the need to better quantify releases from these banks, and associated impacts on ozone depletion and climate change. Here we develop a Bayesian probabilistic model for CFC-11, 12, and 113 banks and their emissions, incorporating the broadest range of constraints to date. We find that bank sizes of CFC-11 and CFC-12 are larger than recent international scientific assessments suggested, and can account for much of current estimated CFC-11 and 12 emissions (with the exception of increased CFC-11 emissions after 2012). Left unrecovered, these CFC banks could delay Antarctic ozone hole recovery by about six years and contribute 9 billion metric tonnes of equivalent CO2 emission. Derived CFC-113 emissions are subject to uncertainty, but are much larger than expected, raising questions about its sources.</t>
  </si>
  <si>
    <t>[Lickley, Megan; Solomon, Susan; Stone, Kane] MIT, Dept Earth Atmospher &amp; Planetary Sci, Cambridge, MA 02139 USA; [Fletcher, Sarah] MIT, Civil &amp; Environm Engn, Cambridge, MA 02139 USA; [Velders, Guus J. M.] Natl Inst Publ Hlth &amp; Environm RIVM, NL-3720 Bilthoven, Netherlands; [Daniel, John] NOAA, Earth Syst Res Lab, Boulder, CO 80305 USA; [Rigby, Matthew] Univ Bristol, Sch Chem, Bristol BS8 1QU, Avon, England; [Montzka, Stephen A.] NOAA, Global Monitoring Div, Earth Syst Res Lab, Boulder, CO 80305 USA; [Kuijpers, Lambert J. M.] A Gent Bv Consultancy, Venlo, Netherlands</t>
  </si>
  <si>
    <t>Massachusetts Institute of Technology (MIT); Massachusetts Institute of Technology (MIT); Netherlands National Institute for Public Health &amp; the Environment; National Oceanic Atmospheric Admin (NOAA) - USA; University of Bristol; National Oceanic Atmospheric Admin (NOAA) - USA</t>
  </si>
  <si>
    <t>Lickley, M (corresponding author), MIT, Dept Earth Atmospher &amp; Planetary Sci, Cambridge, MA 02139 USA.</t>
  </si>
  <si>
    <t>mlickley@mit.edu</t>
  </si>
  <si>
    <t>Rigby, Matthew/A-5555-2012; Daniel, John S/D-9324-2011; montzka, stephen/V-6162-2019; Velders, Guus/H-1204-2013</t>
  </si>
  <si>
    <t>montzka, stephen/0000-0002-9396-0400; Lickley, Megan/0000-0001-5810-8784; Velders, Guus/0000-0002-6597-7088; Kuijpers, Lambert/0000-0002-0979-9694; /0000-0003-3289-2237</t>
  </si>
  <si>
    <t>VoLo foundation; NERC [NE/I021365/1] Funding Source: UKRI</t>
  </si>
  <si>
    <t>VoLo foundation; NERC(UK Research &amp; Innovation (UKRI)Natural Environment Research Council (NERC))</t>
  </si>
  <si>
    <t>M.J.L. and S.S. gratefully acknowledge support by a grant from VoLo foundation.</t>
  </si>
  <si>
    <t>MAR 17</t>
  </si>
  <si>
    <t>10.1038/s41467-020-15162-7</t>
  </si>
  <si>
    <t>NF8QC</t>
  </si>
  <si>
    <t>WOS:000563556600001</t>
  </si>
  <si>
    <t>Reum, JCP; Blanchard, JL; Holsman, KK; Aydin, K; Hollowed, AB; Hermann, AJ; Cheng, W; Faig, A; Haynie, AC; Punt, AE</t>
  </si>
  <si>
    <t>Reum, Jonathan C. P.; Blanchard, Julia L.; Holsman, Kirstin K.; Aydin, Kerim; Hollowed, Anne B.; Hermann, Albert J.; Cheng, Wei; Faig, Amanda; Haynie, Alan C.; Punt, Andre E.</t>
  </si>
  <si>
    <t>Ensemble Projections of Future Climate Change Impacts on the Eastern Bering Sea Food Web Using a Multispecies Size Spectrum Model</t>
  </si>
  <si>
    <t>uncertainty partitioning; predictive ecology; Arrhenius factor; body size; size-based food web; cumulative effects; commonality analysis</t>
  </si>
  <si>
    <t>POLLOCK THERAGRA-CHALCOGRAMMA; FISHERIES MANAGEMENT; WALLEYE POLLOCK; MARINE ECOSYSTEMS; METABOLIC THEORY; FISH; UNCERTAINTY; TEMPERATURE; POPULATION; RESPONSES</t>
  </si>
  <si>
    <t>Characterization of uncertainty (variance) in ecosystem projections under climate change is still rare despite its importance for informing decision-making and prioritizing research. We developed an ensemble modeling framework to evaluate the relative importance of different uncertainty sources for food web projections of the eastern Bering Sea (EBS). Specifically, dynamically downscaled projections from Earth System Models (ESM) under different greenhouse gas emission scenarios (GHG) were used to force a multispecies size spectrum model (MSSM) of the EBS food web. In addition to ESM and GHG uncertainty, we incorporated uncertainty from different plausible fisheries management scenarios reflecting shifts in the total allowable catch of flatfish and gadids and different assumptions regarding temperature-dependencies on biological rates in the MSSM. Relative to historical averages (1994-2014), end-of-century (2080-2100 average) ensemble projections of community spawner stock biomass, catches, and mean body size (+/- standard deviation) decreased by 36% (+/- 21%), 61% (+/- 27%), and 38% (+/- 25%), respectively. Long-term trends were, on average, also negative for the majority of species, but the level of trend consistency between ensemble projections was low for most species. Projection uncertainty for model outputs from -2020 to 2040 was driven by inter-annual climate variability for 85% of species and the community as a whole. Thereafter, structural uncertainty (different ESMs, temperature-dependency assumptions) dominated projection uncertainty. Fishery management and GHG emissions scenarios contributed little (&lt;10%) to projection uncertainty, with the exception of catches for a subset of flatfishes which were dominated by fishery management scenarios. Long-term outcomes were improved in most cases under a moderate mitigation relative to a high business-as-usual GHG emissions scenario and we show how inclusion of temperature-dependencies on processes related to body growth and intrinsic (non-predation) natural mortality can strongly influence projections in potentially non-additive ways. Narrowing the spread of long-term projections in future ensemble simulations will depend primarily on whether the set of ESMs and food web models considered behave more or less similarly to one another relative to the present models sets. Further model skill assessment and data integration are needed to aid in the reduction and quantification of uncertainties if we are to advance predictive ecology.</t>
  </si>
  <si>
    <t>[Reum, Jonathan C. P.; Holsman, Kirstin K.; Aydin, Kerim; Hollowed, Anne B.; Faig, Amanda; Haynie, Alan C.] NOAA, Alaska Fisheries Sci Ctr, Natl Marine Fisheries Serv, Seattle, WA 98115 USA; [Reum, Jonathan C. P.; Blanchard, Julia L.] Univ Tasmania, Inst Marine &amp; Antarctic Studies, Hobart, Tas, Australia; [Reum, Jonathan C. P.; Blanchard, Julia L.] Univ Tasmania, Ctr Marine Socioecol, Hobart, Tas, Australia; [Reum, Jonathan C. P.; Faig, Amanda; Punt, Andre E.] Univ Washington, Sch Aquat &amp; Fishery Sci, Seattle, WA 98195 USA; [Hermann, Albert J.; Cheng, Wei] Univ Washington, Joint Inst Study Atmosphere &amp; Ocean, Seattle, WA 98195 USA; [Hermann, Albert J.; Cheng, Wei] NOAA, Pacific Marine Environm Lab, Off Ocean &amp; Atmospher Res, 7600 Sand Point Way Ne, Seattle, WA 98115 USA</t>
  </si>
  <si>
    <t>National Oceanic Atmospheric Admin (NOAA) - USA; University of Tasmania; University of Tasmania; University of Washington; University of Washington Seattle; University of Washington; University of Washington Seattle; National Oceanic Atmospheric Admin (NOAA) - USA</t>
  </si>
  <si>
    <t>Reum, JCP (corresponding author), NOAA, Alaska Fisheries Sci Ctr, Natl Marine Fisheries Serv, Seattle, WA 98115 USA.;Reum, JCP (corresponding author), Univ Tasmania, Inst Marine &amp; Antarctic Studies, Hobart, Tas, Australia.;Reum, JCP (corresponding author), Univ Tasmania, Ctr Marine Socioecol, Hobart, Tas, Australia.;Reum, JCP (corresponding author), Univ Washington, Sch Aquat &amp; Fishery Sci, Seattle, WA 98195 USA.</t>
  </si>
  <si>
    <t>Jonathan.Reum@noaa.gov</t>
  </si>
  <si>
    <t>Cheng, Wei/J-1030-2017; Blanchard, Julia L/E-4919-2010</t>
  </si>
  <si>
    <t>Blanchard, Julia/0000-0003-0532-4824</t>
  </si>
  <si>
    <t>NOAA National Marine Fisheries Service Fisheries and the Environment (FATE) program; Stock Assessment Analytical Methods (SAAM) program; Climate Regimes &amp; Ecosystem Productivity (CREP); Economics and Human Dimensions Program; NOAA Alaska Fisheries Science Center; NOAA Integrated Ecosystem Assessment Program (IEA); NOAA Research Transition Acceleration Program (RTAP); Joint Institute for the Study of the Atmosphere and Ocean (JISAO) under NOAA [NA15OAR4320063, 2020-1053]; Australian Research Council [DP170104240]; Alaska Climate Change Integrated Modeling project (ACLIM)</t>
  </si>
  <si>
    <t>NOAA National Marine Fisheries Service Fisheries and the Environment (FATE) program; Stock Assessment Analytical Methods (SAAM) program; Climate Regimes &amp; Ecosystem Productivity (CREP); Economics and Human Dimensions Program; NOAA Alaska Fisheries Science Center(National Oceanic Atmospheric Admin (NOAA) - USA); NOAA Integrated Ecosystem Assessment Program (IEA); NOAA Research Transition Acceleration Program (RTAP); Joint Institute for the Study of the Atmosphere and Ocean (JISAO) under NOAA; Australian Research Council(Australian Research Council); Alaska Climate Change Integrated Modeling project (ACLIM)</t>
  </si>
  <si>
    <t>This study was partially by the Alaska Climate Change Integrated Modeling project (ACLIM) and was supported by grants through the NOAA National Marine Fisheries Service Fisheries and the Environment (FATE) program, the Stock Assessment Analytical Methods (SAAM) program, the Climate Regimes &amp; Ecosystem Productivity (CREP), the Economics and Human Dimensions Program, the NOAA Alaska Fisheries Science Center, the NOAA Integrated Ecosystem Assessment Program (IEA), and the NOAA Research Transition Acceleration Program (RTAP). This publication is partially funded by the Joint Institute for the Study of the Atmosphere and Ocean (JISAO) under NOAA Cooperative Agreement NA15OAR4320063, Contribution No. 2020-1053. We also acknowledge support from the Australian Research Council Discovery Project DP170104240 (Rewiring Marine Foodwebs).</t>
  </si>
  <si>
    <t>10.3389/fmars.2020.00124</t>
  </si>
  <si>
    <t>KW5QM</t>
  </si>
  <si>
    <t>WOS:000521219800001</t>
  </si>
  <si>
    <t>Lazzara, MA; Orendorf, SA; Norton, TP; Powers, JG; Bromwich, DH; Carpentier, S; Cassano, JJ; Colwell, SR; Cayette, AM; Werner, K</t>
  </si>
  <si>
    <t>Lazzara, Matthew A.; Orendorf, Sophie A.; Norton, Taylor P.; Powers, Jordan G.; Bromwich, David H.; Carpentier, Scott; Cassano, John J.; Colwell, Steven R.; Cayette, Arthur M.; Werner, Kirstin</t>
  </si>
  <si>
    <t>The 13th and 14th Workshops on Antarctic Meteorology and Climate</t>
  </si>
  <si>
    <t>Editorial Material</t>
  </si>
  <si>
    <t>[Lazzara, Matthew A.; Orendorf, Sophie A.; Norton, Taylor P.] Univ Wisconsin, Space Sci &amp; Engn Ctr, Antarctic Meteorol Res Ctr, Madison, WI 53706 USA; [Lazzara, Matthew A.] Madison Area Tech Coll, Sch Arts &amp; Sci, Dept Phys Sci, Madison, WI 53704 USA; [Orendorf, Sophie A.; Norton, Taylor P.] Univ Wisconsin, Dept Atmospher Sci, Madison, WI 53706 USA; [Powers, Jordan G.] Natl Ctr Atmospher Res, Boulder, CO 53706 USA; [Bromwich, David H.] Ohio State Univ, Byrd Polar &amp; Climate Res Ctr, Polar Meteorol Grp, Columbus, OH 43210 USA; [Carpentier, Scott] Bur Meteorol, Hobart, Tas 7001, Australia; [Cassano, John J.] Univ Colorado, Cooperat Inst Res Environm Sci, Boulder, CO 80309 USA; [Cassano, John J.] Univ Colorado, Dept Atmospher &amp; Ocean Sci, Boulder, CO 80309 USA; [Colwell, Steven R.] British Antarctic Survey, Cambridge CB3 0ET, England; [Cayette, Arthur M.] Naval Informat Warfare Ctr, Charleston, SC 29406 USA; [Werner, Kirstin] Helmholtz Ctr Polar &amp; Marine Res, Alfred Wegener Inst, Year Polar Predict YOPP Int Coordinat Off, D-27570 Bremerhaven, Germany</t>
  </si>
  <si>
    <t>University of Wisconsin System; University of Wisconsin Madison; University of Wisconsin System; University of Wisconsin Madison; National Center Atmospheric Research (NCAR) - USA; University System of Ohio; Ohio State University; Bureau of Meteorology - Australia; University of Colorado System; University of Colorado Boulder; University of Colorado System; University of Colorado Boulder; UK Research &amp; Innovation (UKRI); Natural Environment Research Council (NERC); NERC British Antarctic Survey; Helmholtz Association; Alfred Wegener Institute, Helmholtz Centre for Polar &amp; Marine Research</t>
  </si>
  <si>
    <t>Lazzara, MA (corresponding author), Univ Wisconsin, Space Sci &amp; Engn Ctr, Antarctic Meteorol Res Ctr, Madison, WI 53706 USA.;Lazzara, MA (corresponding author), Madison Area Tech Coll, Sch Arts &amp; Sci, Dept Phys Sci, Madison, WI 53704 USA.</t>
  </si>
  <si>
    <t>mlazzara@madisoncollege.edu</t>
  </si>
  <si>
    <t>Werner, Kirstin/AAG-7386-2020; Cassano, John/HKW-8817-2023</t>
  </si>
  <si>
    <t>Werner, Kirstin/0000-0001-5260-0348;</t>
  </si>
  <si>
    <t>Office of Polar Programs, National Science Foundation [PLR-1543305, PLR-1535632, PLR-1625904]; NERC [bas0100032] Funding Source: UKRI</t>
  </si>
  <si>
    <t>Office of Polar Programs, National Science Foundation(National Science Foundation (NSF)); NERC(UK Research &amp; Innovation (UKRI)Natural Environment Research Council (NERC))</t>
  </si>
  <si>
    <t>The authors wish to thank the International Association of Meteorology and Atmospheric Science (IAMAS)/International Commission on Polar Meteorology (ICPM), SCAR, and the WMO for their travel support of graduate students and young scientists' participation in this workshop along with Madison College's assistance with this (Figs. 5 and 6). Thanks also to Lee WELHOUSE and Dave MIKOLAJCZYK of the University of Wisconsin-Madison for their comments and help. Support from the Office of Polar Programs, National Science Foundation (Grant Nos. PLR-1543305, PLR-1535632, and PLR-1625904), is greatly appreciated.</t>
  </si>
  <si>
    <t>10.1007/s00376-019-9215-6</t>
  </si>
  <si>
    <t>WOS:000520702000001</t>
  </si>
  <si>
    <t>Lundåsen, T; Pedrelli, M; Bjorndal, B; Rozell, B; Kuiper, RV; Burri, L; Pavanello, C; Turri, M; Skorve, J; Berge, RK; Alexson, SEH; Tillander, V</t>
  </si>
  <si>
    <t>Lundasen, Thomas; Pedrelli, Matteo; Bjorndal, Bodil; Rozell, Bjorn; Kuiper, Raoul, V; Burri, Lena; Pavanello, Chiara; Turri, Marta; Skorve, Jon; Berge, Rolf K.; Alexson, Stefan E. H.; Tillander, Veronika</t>
  </si>
  <si>
    <t>The PPAR pan-agonist tetradecylthioacetic acid promotes redistribution of plasma cholesterol towards large HDL</t>
  </si>
  <si>
    <t>PLOS ONE</t>
  </si>
  <si>
    <t>ACTIVATED RECEPTOR-ALPHA; HIGH-DENSITY-LIPOPROTEIN; STEAROYL-COA DESATURASE; 3-THIA FATTY-ACIDS; HEPATIC STEATOSIS; GENE-EXPRESSION; RAT-LIVER; IN-VIVO; INCREASES; MICE</t>
  </si>
  <si>
    <t>Tetradecylthioacetic acid (TTA) is a synthetic fatty acid with a sulfur substitution in the beta-position. This modification renders TTA unable to undergo complete beta-oxidation and increases its biological activity, including activation of peroxisome proliferator activated receptors (PPARs) with preference for PPAR alpha. This study investigated the effects of TTA on lipid and lipoprotein metabolism in the intestine and liver of mice fed a high fat diet (HFD). Mice receiving HFD supplemented with 0.75% (w/w) TTA had significantly lower body weights compared to mice fed the diet without TTA. Plasma triacylglycerol (TAG) was reduced 3-fold with TTA treatment, concurrent with increase in liver TAG. Total cholesterol was unchanged in plasma and liver. However, TTA promoted a shift in the plasma lipoprotein fractions with an increase in larger HDL particles. Histological analysis of the small intestine revealed a reduced size of lipid droplets in enterocytes of TTA treated mice, accompanied by increased mRNA expression of fatty acid transporter genes. Expression of the cholesterol efflux pump Abca1 was induced in the small intestine, but not in the liver. Scd1 displayed markedly increased mRNA and protein expression in the intestine of the TTA group. It is concluded that TTA treatment of HFD fed mice leads to increased expression of genes involved in uptake and transport of fatty acids and HDL cholesterol in the small intestine with concomitant changes in the plasma profile of smaller lipoproteins.</t>
  </si>
  <si>
    <t>[Lundasen, Thomas; Pedrelli, Matteo; Rozell, Bjorn; Kuiper, Raoul, V; Alexson, Stefan E. H.; Tillander, Veronika] Karolinska Inst, Dept Lab Med, Huddinge, Sweden; [Pedrelli, Matteo] AstraZeneca, BioPharmaceut R&amp;D, Translat Sci &amp; Expt Med, Res &amp; Early Dev,Cardiovasc Renal &amp; Metab CVRM, Gothenburg, Sweden; [Bjorndal, Bodil; Burri, Lena; Skorve, Jon; Berge, Rolf K.] Univ Bergen, Dept Clin Sci, Bergen, Norway; [Bjorndal, Bodil] Western Norway Univ Appl Sci, Fac Educ Arts &amp; Sports, Dept Sports Phys Act &amp; Food, Bergen, Norway; [Pavanello, Chiara; Turri, Marta] Univ Milan, Ctr Enrica Grossi Paoletti, Dipartimento Sci Farmacol &amp; Biomol, Milan, Italy; [Berge, Rolf K.] Haukeland Hosp, Dept Heart Dis, Bergen, Norway; [Burri, Lena] Aker BioMarine Antarctic AS, Lysaker, Norway</t>
  </si>
  <si>
    <t>Karolinska Institutet; AstraZeneca; University of Bergen; Western Norway University of Applied Sciences; University of Milan; University of Bergen; Haukeland University Hospital</t>
  </si>
  <si>
    <t>Tillander, V (corresponding author), Karolinska Inst, Dept Lab Med, Huddinge, Sweden.;Bjorndal, B (corresponding author), Univ Bergen, Dept Clin Sci, Bergen, Norway.;Bjorndal, B (corresponding author), Western Norway Univ Appl Sci, Fac Educ Arts &amp; Sports, Dept Sports Phys Act &amp; Food, Bergen, Norway.</t>
  </si>
  <si>
    <t>bodil.bjorndal@uib.no; veronika.tillander@ki.se</t>
  </si>
  <si>
    <t>Bjørndal, Bodil/ITT-0544-2023; Bjørndal, Bodil/HDN-4287-2022; Pavanello, Chiara/AAE-5530-2021; Bjorndal, Bodil/H-6143-2017</t>
  </si>
  <si>
    <t>Bjorndal, Bodil/0000-0001-9718-5117; PAVANELLO, CHIARA/0000-0001-5892-9857; TURRI, MARTA/0000-0001-8293-7195</t>
  </si>
  <si>
    <t>NordForsk [070010]; Swedish Research Council; Swedish Society for Medical Research (SSMF) [201525]</t>
  </si>
  <si>
    <t>NordForsk(NordForsk); Swedish Research Council(Swedish Research Council); Swedish Society for Medical Research (SSMF)</t>
  </si>
  <si>
    <t>This work was supported by: NordForsk (https://www.nordforsk.org/no) under the Nordic Centers of Excellence programme in Food, Nutrition and Health, Project (070010) MitoHealth for R.K.B, J.S and S.E.A. Carl Tryggers Stiftelse (https://www.carltryggersstiftelse.se/) and the Swedish Research Council (https://www.vr.se/) for S.E.A. The Swedish Society for Medical Research (https://www.ssmf.se/) (SSMF;201525) for V.T. Matteo Pedrelli was employed by AstraZeneca from March 2014 to March 2017 within the AstraZeneca MedImmune postdoc programme. Part of the lab costs has been financed by AstraZeneca in form of unrestricted financial support. At the time of the study, Lena Burri was not employed by Aker BioMarine instead she was working as researcher in Rolf Berge's lab. The funders had no role in study design, data collection and analysis, decision to publish, or preparation of the manuscript. The specific roles of these authors are articulated in the author contributions section.</t>
  </si>
  <si>
    <t>PUBLIC LIBRARY SCIENCE</t>
  </si>
  <si>
    <t>SAN FRANCISCO</t>
  </si>
  <si>
    <t>1160 BATTERY STREET, STE 100, SAN FRANCISCO, CA 94111 USA</t>
  </si>
  <si>
    <t>1932-6203</t>
  </si>
  <si>
    <t>PLoS One</t>
  </si>
  <si>
    <t>MAR 16</t>
  </si>
  <si>
    <t>e0229322</t>
  </si>
  <si>
    <t>10.1371/journal.pone.0229322</t>
  </si>
  <si>
    <t>LQ9BL</t>
  </si>
  <si>
    <t>WOS:000535291800006</t>
  </si>
  <si>
    <t>Romagosa, M; Baumgartner, M; Cascao, I; Lammers, MO; Marques, TA; Santos, RS; Silva, MA</t>
  </si>
  <si>
    <t>Romagosa, Miriam; Baumgartner, Mark; Cascao, Irma; Lammers, Marc O.; Marques, Tiago A.; Santos, Ricardo S.; Silva, Monica A.</t>
  </si>
  <si>
    <t>Baleen whale acoustic presence and behaviour at a Mid-Atlantic migratory habitat, the Azores Archipelago</t>
  </si>
  <si>
    <t>ANTARCTIC BLUE WHALES; FIN WHALES; BALAENOPTERA-PHYSALUS; TEMPORAL SEPARATION; CALL TYPES; SOUNDS; OCEAN; VOCALIZATIONS; CALIFORNIA; MUSCULUS</t>
  </si>
  <si>
    <t>The identification of important areas during the annual life cycle of migratory animals, such as baleen whales, is vital for their conservation. In boreal springtime, fin and blue whales feed in the Azores on their way to northern latitudes while sei whales migrate through the archipelago with only occasional feeding. Little is known about their autumn or winter presence or their acoustic behaviour in temperate migratory habitats. This study used a 5-year acoustic data set collected by autonomous recorders in the Azores that were processed and analysed using an automated call detection and classification system. Fin and blue whales were acoustically present in the archipelago from autumn to spring with marked seasonal differences in the use of different call types. Diel patterns of calling activity were only found for fin whales with more calls during the day than night. Sei whales showed a bimodal distribution of acoustic presence in spring and autumn, corresponding to their expected migration patterns. Diel differences in sei whale calling varied with season and location. This work highlights the importance of the Azores as a migratory and wintering habitat for three species of baleen whales and provides novel information on their acoustic behaviour in a mid-Atlantic region.</t>
  </si>
  <si>
    <t>[Romagosa, Miriam; Cascao, Irma; Santos, Ricardo S.; Silva, Monica A.] Univ Azores, Inst Marine Res IMAR, Horta, Portugal; [Romagosa, Miriam; Cascao, Irma; Santos, Ricardo S.; Silva, Monica A.] Univ Azores, Okeanos R &amp; D Ctr, Horta, Portugal; [Baumgartner, Mark; Silva, Monica A.] Woods Hole Oceanog Inst, Dept Biol, Woods Hole, MA 02543 USA; [Lammers, Marc O.] NOAA, Hawaiian Isl Humpback Whale Natl Marine Sanctuary, Kihei, HI USA; [Lammers, Marc O.] Oceanwide Sci Inst, Kihei, HI USA; [Marques, Tiago A.] Univ St Andrews, Ctr Res Ecol &amp; Environm Modelling, St Andrews, Fife, Scotland; [Marques, Tiago A.] Univ Lisbon, Ctr Estat &amp; Aplicacoes, Dept Biol Anim, Fac Ciencias, Lisbon, Portugal</t>
  </si>
  <si>
    <t>Universidade dos Acores; Universidade dos Acores; Woods Hole Oceanographic Institution; National Oceanic Atmospheric Admin (NOAA) - USA; University of St Andrews; Universidade de Lisboa</t>
  </si>
  <si>
    <t>Romagosa, M (corresponding author), Univ Azores, Inst Marine Res IMAR, Horta, Portugal.;Romagosa, M (corresponding author), Univ Azores, Okeanos R &amp; D Ctr, Horta, Portugal.</t>
  </si>
  <si>
    <t>m.romagosa4@gmail.com</t>
  </si>
  <si>
    <t>Romagosa, Miriam/HDN-5179-2022; Marques, Tiago A/A-5530-2010; Marques, Tiago André/M-3253-2019; Cascão, Irma/M-6500-2014; Silva, Mónica/D-1893-2012; Serrao Santos, Ricardo/B-3960-2008; Olabarria, Celia/R-8555-2018</t>
  </si>
  <si>
    <t>Romagosa, Miriam/0000-0003-2781-5528; Marques, Tiago André/0000-0002-2581-1972; Cascão, Irma/0000-0001-6231-0483; Silva, Mónica/0000-0002-2683-309X; Roman del Valle, Salvador/0000-0003-0201-2868; Serrao Santos, Ricardo/0000-0002-2536-1369; Roman-Geada, Marta/0000-0002-7082-0763; Olabarria, Celia/0000-0001-8332-5924</t>
  </si>
  <si>
    <t>Fundacao para a Ciencia e Tecnologia (FCT); Azores 2020 Operational Programme; Fundo Regional da Ciencia e Tecnologia (FRCT) [PTDC/MAR/74071/2006, M2.1.2/F/012/2011, PTDC/BIA-BMA/30514/201]; FEDER; COMPETE; QREN; POPH; ERDF; ESF; Lisbon Regional Operational Programme; Portuguese Ministry for Science and Education; Project AWARENESS [PTDC/BIA-BMA/30514/201]; FCT [UIDB/05634/2020, IF/00943/2013]; DRCT [M3.1.a/F/028/2015]; CEAUL (FCT - Fundaco para a Ciencia e a Tecnologia, Portugal) [UID/MAT/00006/2013]; Fundação para a Ciência e a Tecnologia [PTDC/MAR/74071/2006] Funding Source: FCT</t>
  </si>
  <si>
    <t>Fundacao para a Ciencia e Tecnologia (FCT)(Fundacao para a Ciencia e a Tecnologia (FCT)); Azores 2020 Operational Programme; Fundo Regional da Ciencia e Tecnologia (FRCT); FEDER(European Union (EU)Spanish Government); COMPETE; QREN; POPH; ERDF(European Union (EU)); ESF; Lisbon Regional Operational Programme; Portuguese Ministry for Science and Education(Fundacao para a Ciencia e a Tecnologia (FCT)); Project AWARENESS; FCT(Fundacao para a Ciencia e a Tecnologia (FCT)); DRCT; CEAUL (FCT - Fundaco para a Ciencia e a Tecnologia, Portugal); Fundação para a Ciência e a Tecnologia(Fundacao para a Ciencia e a Tecnologia (FCT))</t>
  </si>
  <si>
    <t>This work was supported by Fundacao para a Ciencia e Tecnologia (FCT), Azores 2020 Operational Programme and Fundo Regional da Ciencia e Tecnologia (FRCT) through research projects TRACE (PTDC/MAR/74071/2006), MAPCET (M2.1.2/F/012/2011) and AWARENESS (PTDC/BIA-BMA/30514/201), co-funded by FEDER, COMPETE, QREN, POPH, ERDF, ESF, the Lisbon Regional Operational Programme, and the Portuguese Ministry for Science and Education. Funding for publication fees was provided by Project AWARENESS (PTDC/BIA-BMA/30514/201). Okeanos R&amp;D Centre is supported by FCT, through the strategic fund (UIDB/05634/2020). MR was supported by a DRCT doctoral grant (M3.1.a/F/028/2015) and MAS by an FCT-Investigator contract (IF/00943/2013). TAM thanks partial support by CEAUL (funded by FCT - FundacAo para a Ciencia e a Tecnologia, Portugal, through the project UID/MAT/00006/2013). We are grateful to Rui Prieto, Sergio Gomez, Norberto Serpa, skilled skippers and crew that participated in the preparation and deployment of EARs at DOP/IMAR and to Ken Sexton and Michael Richlen for their roles in manufacturing the EARs. We are also grateful to Dr. Helena Silva for her feedback on statistical analysis.</t>
  </si>
  <si>
    <t>10.1038/s41598-020-61849-8</t>
  </si>
  <si>
    <t>LK6SY</t>
  </si>
  <si>
    <t>WOS:000530995200001</t>
  </si>
  <si>
    <t>Hopwood, MJ; Sanchez, N; Polyviou, D; Leiknes, O; Gallego-Urrea, JA; Achterberg, EP; Ardelan, MV; Aristegui, J; Bach, L; Besiktepe, S; Heriot, Y; Kalantzi, I; Kurt, TT; Santi, I; Tsagaraki, TM; Turner, D</t>
  </si>
  <si>
    <t>Hopwood, Mark J.; Sanchez, Nicolas; Polyviou, Despo; Leiknes, Oystein; Gallego-Urrea, Julian Alberto; Achterberg, Eric P.; Ardelan, Murat V.; Aristegui, Javier; Bach, Lennart; Besiktepe, Sengul; Heriot, Yohann; Kalantzi, Ioanna; Kurt, Tuba Terbiyik; Santi, Ioulia; Tsagaraki, Tatiana M.; Turner, David</t>
  </si>
  <si>
    <t>Experiment design and bacterial abundance control extracellular H2O2 concentrations during four series of mesocosm experiments</t>
  </si>
  <si>
    <t>DISSOLVED INORGANIC CARBON; HYDROGEN-PEROXIDE; NATURAL-WATERS; PHOTOCHEMICAL PRODUCTION; CARBOXYLIC-ACIDS; DARK PRODUCTION; ORGANIC-MATTER; INJECTION; SEAWATER; COASTAL</t>
  </si>
  <si>
    <t>The extracellular concentration of H2O2 in surface aquatic environments is controlled by a balance between photochemical production and the microbial synthesis of catalase and peroxidase enzymes to remove H2O2 from solution. In any kind of incubation experiment, the formation rates and equilibrium concentrations of reactive oxygen species (ROSs) such as H2O2 may be sensitive to both the experiment design, particularly to the regulation of incident light, and the abundance of different microbial groups, as both cellular H2O2 production and catalase-peroxidase enzyme production rates differ between species. Whilst there are extensive measurements of photochemical H2O2 formation rates and the distribution of H2O2 in the marine environment, it is poorly constrained how different microbial groups affect extracellular H2O2 concentrations, how comparable extracellular H2O2 concentrations within large-scale incubation experiments are to those observed in the surface-mixed layer, and to what extent a mismatch with environmentally relevant concentrations of ROS in incubations could influence biological processes differently to what would be observed in nature. Here we show that both experiment design and bacterial abundance consistently exert control on extracellular H2O2 concentrations across a range of incubation experiments in diverse marine environments. During four large-scale (&gt; 1000 L) mesocosm experiments (in Gran Canaria, the Mediterranean, Patagonia and Svalbard) most experimental factors appeared to exert only minor, or no, direct effect on H2O2 concentrations. For example, in three of four experiments where pH was manipulated to 0.4-0.5 below ambient pH, no significant change was evident in extracellular H2O2 concentrations relative to controls. An influence was sometimes inferred from zooplankton density, but not consistently between different incubation experiments, and no change in H2O2 was evident in controlled experiments using different densities of the copepod Calanus finmarchicus grazing on the diatom Skeletonema costatum (&lt; 1% change in [H2O2] comparing copepod densities from 1 to 10 L-1). Instead, the changes in H2O2 concentration contrasting high- and low-zooplankton incubations appeared to arise from the resulting changes in bacterial activity. The correlation between bacterial abundance and extracellular H2O2 was stronger in some incubations than others (R-2 range 0.09 to 0.55), yet high bacterial densities were consistently associated with low H2O2. Nonetheless, the main control on H2O2 concentrations during incubation experiments relative to those in ambient, unenclosed waters was the regulation of incident light. In an open (lidless) mesocosm experiment in Gran Canaria, H2O2 was persistently elevated (2-6-fold) above ambient concentrations; whereas using closed high-density polyethylene mesocosms in Crete, Svalbard and Patagonia H2O2 within incubations was always reduced (median 10 %-90 %) relative to ambient waters.</t>
  </si>
  <si>
    <t>[Hopwood, Mark J.; Achterberg, Eric P.; Heriot, Yohann] GEOMAR Helmholtz Ctr Ocean Res Kiel, Kiel, Germany; [Sanchez, Nicolas; Leiknes, Oystein; Ardelan, Murat V.] Norwegian Univ Sci &amp; Technol, Trondheim, Norway; [Polyviou, Despo] Natl Oceanog Ctr Southampton, Ocean &amp; Earth Sci, Southampton, Hants, England; [Gallego-Urrea, Julian Alberto] Univ Gothenburg, Dept Marine Sci, Kristineberg Marine Res Stn, Gothenburg, Sweden; [Aristegui, Javier] ULPGC, IOCAG, Inst Oceanog &amp; Cambio Global, Las Palmas Gran Canaria, Spain; [Bach, Lennart] Univ Tasmania, Inst Marine &amp; Antarctic Studies, Hobart, Tas, Australia; [Besiktepe, Sengul] Dokuz Eylul Univ, Inst Marine Sci &amp; Technol, Izmir, Turkey; [Kalantzi, Ioanna; Santi, Ioulia] Hellen Ctr Marine Res, Inst Oceanog, Iraklion, Greece; [Kurt, Tuba Terbiyik] Cukurova Univ, Dept Marine Biol, Fac Fisheries, Adana, Turkey; [Tsagaraki, Tatiana M.] Univ Bergen, Dept Biol Sci, Bergen, Norway; [Turner, David] Univ Gothenburg, Dept Marine Sci, Gothenburg, Sweden</t>
  </si>
  <si>
    <t>Helmholtz Association; GEOMAR Helmholtz Center for Ocean Research Kiel; Norwegian University of Science &amp; Technology (NTNU); NERC National Oceanography Centre; University of Southampton; University of Gothenburg; Universidad de Las Palmas de Gran Canaria; University of Tasmania; Dokuz Eylul University; Hellenic Centre for Marine Research; Cukurova University; University of Bergen; University of Gothenburg</t>
  </si>
  <si>
    <t>Hopwood, MJ (corresponding author), GEOMAR Helmholtz Ctr Ocean Res Kiel, Kiel, Germany.</t>
  </si>
  <si>
    <t>mhopwood@geomar.de</t>
  </si>
  <si>
    <t>Achterberg, Eric P/C-5820-2009; Arístegui, Javier/D-5833-2013; Besiktepe, Sengul/AAA-5356-2021; Santi, Ioulia/AEP-4316-2022; Ardelan, Murat V./J-6492-2013; Gallego, Julian Alberto/F-3693-2010; Terbiyik Kurt, Tuba/D-5285-2018; Hopwood, Mark/E-2187-2019; Tsagaraki, Tatiana Margo/Y-5584-2018</t>
  </si>
  <si>
    <t>Arístegui, Javier/0000-0002-7526-7741; Besiktepe, Sengul/0000-0003-4372-7106; Santi, Ioulia/0000-0002-0202-8256; Gallego, Julian Alberto/0000-0001-8527-8084; Terbiyik Kurt, Tuba/0000-0002-2937-6816; Bach, Lennart/0000-0003-0202-3671; Kalantzi, Ioanna/0000-0002-6539-4739; Hopwood, Mark/0000-0002-9743-079X; Tsagaraki, Tatiana Margo/0000-0002-3006-2232</t>
  </si>
  <si>
    <t>European Commission, Horizon 2020 Framework Programme [603773]</t>
  </si>
  <si>
    <t>European Commission, Horizon 2020 Framework Programme</t>
  </si>
  <si>
    <t>This research has been supported by the European Commission, Horizon 2020 Framework Programme (grant no. 603773).</t>
  </si>
  <si>
    <t>10.5194/bg-17-1309-2020</t>
  </si>
  <si>
    <t>KV3WC</t>
  </si>
  <si>
    <t>Green Submitted, Green Accepted, gold</t>
  </si>
  <si>
    <t>WOS:000520412900001</t>
  </si>
  <si>
    <t>Choi, JW; Wang, B</t>
  </si>
  <si>
    <t>Choi, Jae-Won; Wang, Bin</t>
  </si>
  <si>
    <t>Relationship between Antarctic Oscillation and the genesis activity of the yearly latest tropical cyclone in the western North Pacific</t>
  </si>
  <si>
    <t>INTERNATIONAL JOURNAL OF CLIMATOLOGY</t>
  </si>
  <si>
    <t>Antarctic Oscillation; statistical change-point analysis; tropical cyclone</t>
  </si>
  <si>
    <t>SOUTHERN-HEMISPHERE; INDIAN-OCEAN; VARIABILITY; CIRCULATION; FREQUENCY</t>
  </si>
  <si>
    <t>We find a significant negative correlation between the Antarctic Oscillation (AAO) and the genesis longitude of the last TC of the year (hereafter the last TC) in the western North Pacific (WNP). We also find that the mean longitude of the last TC genesis has experienced a significant westward shift since 1997-1998. That means both a positive AAO phase and AAO phase of the recent epoch (1998-2015) favour the last TC occurring more frequently in the western part of the WNP. Thus, we compared the differences between the positive and negative AAO phases on interannual time scale and the epochal differences between the 1998-2015 and 1983-1997 periods to find the common factors responsible for the more frequent occurrence of the last TCs in the western WNP. The common differences in the 850 hPa stream flows reveal that an anomalous cyclone occurs in the South Indian Ocean, whereas an anomalous anticyclone appears in the WNP. The anomalous northerlies from the Southern Indian Ocean anomalous cyclone move northward, enhancing the cross-equatorial flows and associated westerlies. The enhanced anomalous westerlies extend eastward and meet the anomalous easterlies originated from the WNP anomalous anticyclone at the South China Sea (SCS). As a result, the anomalous cyclones are strengthened in the SCS and around the Philippines. Further analysis of the differences in the outgoing longwave radiation, 850 hPa relative vorticity, 200-850 hPa vertical wind shear, sea surface temperature, horizontal divergence, 500 hPa omega and velocity potential and divergent winds between the two phases and the two epochs confirm that favourable environments for generation of the last TC take place in the western WNP during the positive AAO phase and in the 1998-2015 epoch.</t>
  </si>
  <si>
    <t>[Choi, Jae-Won] Nanjing Univ Informat Sci &amp; Technol, Coll Atmospher Sci, Nanjing 210044, Peoples R China; [Wang, Bin] Univ Hawaii Manoa, Dept Atmospher Sci, Honolulu, HI 96822 USA; [Wang, Bin] Univ Hawaii Manoa, Atmosphere Ocean Res Ctr, Honolulu, HI 96822 USA; [Wang, Bin] Nanjing Univ Informat Sci &amp; Technol, Earth Syst Modeling Ctr, Nanjing, Peoples R China</t>
  </si>
  <si>
    <t>Nanjing University of Information Science &amp; Technology; University of Hawaii System; University of Hawaii Manoa; University of Hawaii System; University of Hawaii Manoa; Nanjing University of Information Science &amp; Technology</t>
  </si>
  <si>
    <t>Choi, JW (corresponding author), Nanjing Univ Informat Sci &amp; Technol, Coll Atmospher Sci, Nanjing 210044, Peoples R China.</t>
  </si>
  <si>
    <t>jaewonchoi@nuist.edu.cn</t>
  </si>
  <si>
    <t>Choi, Jae-Won/AAA-1453-2022</t>
  </si>
  <si>
    <t>Startup Foundation for Introducing Talent of Nanjing University of Information Science and Technology [2018r059]</t>
  </si>
  <si>
    <t>Startup Foundation for Introducing Talent of Nanjing University of Information Science and Technology</t>
  </si>
  <si>
    <t>Startup Foundation for Introducing Talent of Nanjing University of Information Science and Technology, Grant/Award Number: 2018r059</t>
  </si>
  <si>
    <t>0899-8418</t>
  </si>
  <si>
    <t>1097-0088</t>
  </si>
  <si>
    <t>INT J CLIMATOL</t>
  </si>
  <si>
    <t>Int. J. Climatol.</t>
  </si>
  <si>
    <t>JUL</t>
  </si>
  <si>
    <t>10.1002/joc.6455</t>
  </si>
  <si>
    <t>ME5RK</t>
  </si>
  <si>
    <t>WOS:000519811100001</t>
  </si>
  <si>
    <t>Cheng, Y; Li, Q; Argentini, S; Sayde, C; Gentine, P</t>
  </si>
  <si>
    <t>Cheng, Yu; Li, Qi; Argentini, Stefania; Sayde, Chadi; Gentine, Pierre</t>
  </si>
  <si>
    <t>A Model for Turbulence Spectra in the Equilibrium Range of the Stable Atmospheric Boundary Layer</t>
  </si>
  <si>
    <t>MONIN-OBUKHOV SIMILARITY; LARGE-EDDY SIMULATIONS; DIRECT NUMERICAL-SIMULATION; STRATIFIED TURBULENCE; SURFACE-LAYER; REYNOLDS-NUMBER; LOCAL ISOTROPY; HEAT-FLUX; DOME C; GLOBAL INTERMITTENCY</t>
  </si>
  <si>
    <t>Stratification can cause turbulence spectra to deviate from Kolmogorov's isotropic -5/3 power law scaling in the universal equilibrium range at high Reynolds numbers. However, a consensus has not been reached with regard to the exact shape of the spectra. Here we propose a shape of the turbulent kinetic energy and temperature spectra in horizontal wavenumber for the equilibrium range that consists of three regimes at small Froude number: the buoyancy subrange, a transition region, and the isotropic inertial subrange through dimensional analysis and substantial revision of previous theoretical approximation. These spectral regimes are confirmed by various observations in the atmospheric boundary layer. The representation of the transition region in direct numerical simulations will require large-scale separation between the Dougherty-Ozmidov scale and the Kolmogorov scale for strongly stratified turbulence at high Reynolds numbers, which is still challenging computationally. In addition, we suggest that the failure of Monin-Obukhov similarity theory in the very stable atmospheric boundary layer is due to the fact that it does not consider the buoyancy scale that characterizes the transition region.</t>
  </si>
  <si>
    <t>[Cheng, Yu; Gentine, Pierre] Columbia Univ, Dept Earth &amp; Environm Engn, New York, NY 10027 USA; [Li, Qi] Cornell Univ, Sch Civil &amp; Environm Engn, Ithaca, NY 14853 USA; [Argentini, Stefania] CNR, Inst Atmospher Sci &amp; Climate, Rome, Italy; [Sayde, Chadi] North Carolina State Univ Raleigh, Dept Biol &amp; Agr Engn, Raleigh, NC USA</t>
  </si>
  <si>
    <t>Columbia University; Cornell University; Consiglio Nazionale delle Ricerche (CNR); Istituto di Scienze dell'Atmosfera e del Clima (ISAC-CNR); North Carolina State University</t>
  </si>
  <si>
    <t>Cheng, Y (corresponding author), Columbia Univ, Dept Earth &amp; Environm Engn, New York, NY 10027 USA.</t>
  </si>
  <si>
    <t>yc2965@columbia.edu</t>
  </si>
  <si>
    <t>Li, Qi/JLM-9816-2023; Gentine, Pierre/C-1495-2013</t>
  </si>
  <si>
    <t>Cheng, Yu/0000-0003-3817-9328; Li, Qi/0000-0003-4435-6220; Gentine, Pierre/0000-0002-0845-8345; Sayde, Chadi/0000-0002-4802-252X</t>
  </si>
  <si>
    <t>National Science Foundation (NSF CAREER) [EAR-1552304]; Department of Energy (DOE) [DE-SC00142013]; PNRA</t>
  </si>
  <si>
    <t>National Science Foundation (NSF CAREER)(National Science Foundation (NSF)NSF - Office of the Director (OD)); Department of Energy (DOE)(United States Department of Energy (DOE)); PNRA</t>
  </si>
  <si>
    <t>P. G. would like to acknowledge funding from the National Science Foundation (NSF CAREER, EAR-1552304) and from the Department of Energy (DOE Early Career, DE-SC00142013). The lake data were collected by the Environmental Fluid Mechanics and Hydrology Laboratory of Professor M. Parlange at L'Ecole Polytechnique Federale de Lausanne. We would like to thank Prof. M. Parlange and Prof. Elie Bou-Zeid for sharing Lake EC data and thank Prof. Jeffrey Basara for sharing MOISST EC data. The Dome C data were acquired in the frame of the projects Mass lost in wind flux (MALOX) and Concordia multiprocess atmospheric studies (COMPASS) sponsored by PNRA. A special thanks to P. Grigioni and all the staff of Antarctic Meteorological Observatory of Concordia for providing the radio sounding used in this study. And a special thanks to Dr. Igor Petenko of CNR ISAC for running the field experiment at Concordia station. We would also like to thank Prof. John Selker and Center for Transformative Environmental Monitoring Programs (CTEMPs) for help in the DTS experiment. We would like to acknowledge the National Center of Atmospheric Research computing facilities Yellowstone and Cheyenne where the DNS study was performed. The Dome C data can be downloaded from the http://www.climantartide.it website. Other data can be downloaded from the website (https://doi.org/10.7916/d8-9vba-pn54).</t>
  </si>
  <si>
    <t>e2019JD032191</t>
  </si>
  <si>
    <t>10.1029/2019JD032191</t>
  </si>
  <si>
    <t>KU3IF</t>
  </si>
  <si>
    <t>WOS:000519602000013</t>
  </si>
  <si>
    <t>England, MR; Polvani, LM; Sun, LT; Deser, C</t>
  </si>
  <si>
    <t>England, Mark R.; Polvani, Lorenzo M.; Sun, Lantao; Deser, Clara</t>
  </si>
  <si>
    <t>Tropical climate responses to projected Arctic and Antarctic sea-ice loss</t>
  </si>
  <si>
    <t>ATMOSPHERIC RESPONSE; MERIDIONAL MODES; HEAT-TRANSPORT; PACIFIC; CIRCULATION; MECHANISM; DECLINE; IMPACT; ROBUST; COVER</t>
  </si>
  <si>
    <t>Arctic and Antarctic sea-ice extent are both projected to dramatically decline over the coming century. The effects of Arctic sea-ice loss are not limited to the northern high latitudes, and reach deep into the tropics. Yet little is known about the effects of future Antarctic sea-ice loss outside of the southern high latitudes. Here, using a fully coupled climate model, we investigate the tropical response to Antarctic sea-ice loss and compare it with the response to Arctic sea-ice loss. We show that Antarctic sea-ice loss, similar to Arctic sea-ice loss, causes enhanced warming in the eastern equatorial Pacific and an equatorward intensification of the Intertropical Convergence Zone. We demonstrate that Antarctic sea-ice loss causes a mini global warming signal comparable to the one caused by Arctic sea-ice loss, and reminiscent of the response to greenhouse gases. We also show that ocean dynamics are key to capturing the tropical response to sea-ice loss. In short, we find that future Antarctic sea-ice loss will exert a profound influence on the tropics. Combined Arctic and Antarctic sea-ice losses will account for 20-30% of the projected tropical warming and precipitation changes under the high-emissions scenario Representative Concentration Pathway 8.5. Antarctic sea-ice loss causes enhanced warming in the eastern equatorial Pacific, and together with Arctic sea-ice loss accounts for 20-30% of projected warming and rainfall changes in the tropics, suggest climate model simulations.</t>
  </si>
  <si>
    <t>[England, Mark R.; Polvani, Lorenzo M.] Columbia Univ, Dept Appl Phys &amp; Appl Math, New York, NY 10027 USA; [England, Mark R.] Univ N Carolina, Dept Phys &amp; Phys Oceanog, Wilmington, NC 28403 USA; [England, Mark R.] UCSD, Scripps Inst Oceanog, Dept Climate Atmospher Sci &amp; Phys Oceanog, La Jolla, CA 92037 USA; [Polvani, Lorenzo M.] Columbia Univ, Lamont Doherty Earth Observ, Dept Earth &amp; Environm Sci, New York, NY USA; [Sun, Lantao] Colorado State Univ, Dept Atmospher Sci, Ft Collins, CO 80523 USA; [Deser, Clara] Natl Ctr Atmospher Res, POB 3000, Boulder, CO 80307 USA</t>
  </si>
  <si>
    <t>Columbia University; University of North Carolina; University of North Carolina Wilmington; University of California System; University of California San Diego; Scripps Institution of Oceanography; Columbia University; Colorado State University; National Center Atmospheric Research (NCAR) - USA</t>
  </si>
  <si>
    <t>England, MR (corresponding author), Columbia Univ, Dept Appl Phys &amp; Appl Math, New York, NY 10027 USA.;England, MR (corresponding author), Univ N Carolina, Dept Phys &amp; Phys Oceanog, Wilmington, NC 28403 USA.;England, MR (corresponding author), UCSD, Scripps Inst Oceanog, Dept Climate Atmospher Sci &amp; Phys Oceanog, La Jolla, CA 92037 USA.</t>
  </si>
  <si>
    <t>mengland@ucsd.edu</t>
  </si>
  <si>
    <t>England, Mark/AAI-5481-2020; Polvani, Lorenzo M/E-5949-2011; Sun, Lantao/D-9948-2015</t>
  </si>
  <si>
    <t>England, Mark/0000-0003-3882-872X; Sun, Lantao/0000-0001-8578-9175</t>
  </si>
  <si>
    <t>10.1038/s41561-020-0546-9</t>
  </si>
  <si>
    <t>WOS:000519843400005</t>
  </si>
  <si>
    <t>Zhang, E; Thibaut, LM; Terauds, A; Raven, M; Tanaka, MM; van Dorst, J; Wong, SY; Crane, S; Ferrari, BC</t>
  </si>
  <si>
    <t>Zhang, Eden; Thibaut, Loic M.; Terauds, Aleks; Raven, Mark; Tanaka, Mark M.; van Dorst, Josie; Wong, Sin Yin; Crane, Sally; Ferrari, Belinda C.</t>
  </si>
  <si>
    <t>Lifting the veil on arid-to-hyperarid Antarctic soil microbiomes: a tale of two oases</t>
  </si>
  <si>
    <t>MICROBIOME</t>
  </si>
  <si>
    <t>Antarctica; Soil Microbiome; Bacteria; Eukarya; Archaea; Conservation Ecology</t>
  </si>
  <si>
    <t>SPECIES ABUNDANCE DISTRIBUTIONS; AMMONIA-OXIDIZING ARCHAEA; DRY VALLEYS; DIVERSITY; POLAR; REDUNDANCY; PATTERNS; ECOLOGY; HISTORY; FUNGAL</t>
  </si>
  <si>
    <t>Background Resident soil microbiota play key roles in sustaining the core ecosystem processes of terrestrial Antarctica, often involving unique taxa with novel functional traits. However, the full scope of biodiversity and the niche-neutral processes underlying these communities remain unclear. In this study, we combine multivariate analyses, co-occurrence networks and fitted species abundance distributions on an extensive set of bacterial, micro-eukaryote and archaeal amplicon sequencing data to unravel soil microbiome patterns of nine sites across two east Antarctic regions, the Vestfold Hills and Windmill Islands. To our knowledge, this is the first microbial biodiversity report on the hyperarid Vestfold Hills soil environment. Results Our findings reveal distinct regional differences in phylogenetic composition, abundance and richness amongst microbial taxa. Actinobacteria dominated soils in both regions, yet Bacteroidetes were more abundant in the Vestfold Hills compared to the Windmill Islands, which contained a high abundance of novel phyla. However, intra-region comparisons demonstrate greater homogeneity of soil microbial communities and measured environmental parameters between sites at the Vestfold Hills. Community richness is largely driven by a variable suite of parameters but robust associations between co-existing members highlight potential interactions and sharing of niche space by diverse taxa from all three microbial domains of life examined. Overall, non-neutral processes appear to structure the polar soil microbiomes studied here, with niche partitioning being particularly strong for bacterial communities at the Windmill Islands. Eukaryotic and archaeal communities reveal weaker niche-driven signatures accompanied by multimodality, suggesting the emergence of neutrality. Conclusion We provide new information on assemblage patterns, environmental drivers and non-random occurrences for Antarctic soil microbiomes, particularly the Vestfold Hills, where basic diversity, ecology and life history strategies of resident microbiota are largely unknown. Greater understanding of these basic ecological concepts is a pivotal step towards effective conservation management.</t>
  </si>
  <si>
    <t>[Zhang, Eden; Thibaut, Loic M.; Tanaka, Mark M.; van Dorst, Josie; Wong, Sin Yin; Crane, Sally; Ferrari, Belinda C.] Univ New South Wales, Sch Biotechnol &amp; Biomol Sci, Sydney, NSW 2052, Australia; [Terauds, Aleks] Antarctic Conservat &amp; Management, Dept Environm, Australian Antarctic Div, 203 Channel Highway, Kingston, Tas 7050, Australia; [Raven, Mark] CSIRO, Mineral Serv, Urrbrae, SA 5064, Australia</t>
  </si>
  <si>
    <t>University of New South Wales Sydney; Australian Antarctic Division; Commonwealth Scientific &amp; Industrial Research Organisation (CSIRO)</t>
  </si>
  <si>
    <t>Ferrari, BC (corresponding author), Univ New South Wales, Sch Biotechnol &amp; Biomol Sci, Sydney, NSW 2052, Australia.</t>
  </si>
  <si>
    <t>b.ferrari@unsw.edu.au</t>
  </si>
  <si>
    <t>Raven, Mark D/F-6918-2011; Ferrari, Belinda/AAI-3022-2020; Thibaut, Loic/G-4284-2011</t>
  </si>
  <si>
    <t>Ferrari, Belinda/0000-0001-5043-3726; Thibaut, Loic/0000-0003-3813-682X; van Dorst, Josie/0000-0002-9353-8787</t>
  </si>
  <si>
    <t>Belinda Ferrari's ARC Future Fellowship [FT170100341]; Australian Antarctic Science Grants scheme [AAS-4406]</t>
  </si>
  <si>
    <t>Belinda Ferrari's ARC Future Fellowship; Australian Antarctic Science Grants scheme</t>
  </si>
  <si>
    <t>We acknowledge funding support through Belinda Ferrari's ARC Future Fellowship (FT170100341) and the Australian Antarctic Science Grants scheme (AAS-4406).</t>
  </si>
  <si>
    <t>2049-2618</t>
  </si>
  <si>
    <t>Microbiome</t>
  </si>
  <si>
    <t>10.1186/s40168-020-00809-w</t>
  </si>
  <si>
    <t>KW7KK</t>
  </si>
  <si>
    <t>WOS:000521362700001</t>
  </si>
  <si>
    <t>Pelletier, D; Seyer, Y; Garthe, S; Bonnefoi, S; Phillips, RA; Guillemette, M</t>
  </si>
  <si>
    <t>Pelletier, David; Seyer, Yannick; Garthe, Stefan; Bonnefoi, Salome; Phillips, Richard A.; Guillemette, Magella</t>
  </si>
  <si>
    <t>So far, so good ... Similar fitness consequences and overall energetic costs for short and long-distance migrants in a seabird</t>
  </si>
  <si>
    <t>NORTHERN GANNETS; MIGRATION STRATEGIES; ACTIVITY PATTERNS; BREEDING PERFORMANCE; FORAGING BEHAVIOR; ANNUAL CYCLE; SURVIVAL; EVOLUTION; TRACKING; DRIVERS</t>
  </si>
  <si>
    <t>Although there is a consensus about the evolutionary drivers of animal migration, considerable work is necessary to identify the mechanisms that underlie the great variety of strategies observed in nature. The study of differential migration offers unique opportunities to identify such mechanisms and allows comparisons of the costs and benefits of migration. The purpose of this study was to compare the characteristics of short and long-distance migrations, and fitness consequences, in a long-lived seabird species. We combined demographic monitoring (survival, phenology, hatching success) of 58 Northern Gannets (Morus bassanus) breeding on Bonaventure Island (Canada) and biologging technology (Global Location Sensor or GLS loggers) to estimate activity and energy budgets during the non-breeding period for three different migration strategies: to the Gulf of Mexico (GM), southeast (SE) or northeast (NE) Atlantic coast of the U.S. Survival, timing of arrival at the colony and hatching success are similar for short (NE, SE) and long-distance (GM) migrants. Despite similar fitness consequences, we found, as expected, that the overall energetic cost of migration is higher for long-distance migrants, although the daily cost during migration was similar between strategies. In contrast, daily maintenance and thermoregulation costs were lower for GM migrants in winter, where sea-surface temperature of the GM is 4-7 degrees C warmer than SE and NE. In addition, GM migrants tend to fly 30 min less per day in their wintering area than other migrants. Considering lower foraging effort and lower thermoregulation costs during winter for long-distance migrants, this suggests that the energetic benefits during the winter of foraging in the GM outweigh any negative consequences of the longer-distance migration. These results support the notion that the costs and benefits of short and long-distance migration is broadly equal on an annual basis, i.e. there are no apparent carry-over effects in this long-lived bird species, probably because of the favourable conditions in the furthest wintering area.</t>
  </si>
  <si>
    <t>[Pelletier, David] Cegep Rimouski, Dept Biol, Rimouski, PQ, Canada; [Pelletier, David; Bonnefoi, Salome; Guillemette, Magella] Univ Quebec Rimouski, Dept Biol, Rimouski, PQ, Canada; [Seyer, Yannick] Univ Laval, Dept Biol, Quebec City, PQ, Canada; [Seyer, Yannick] Univ Laval, Ctr Etud Nord, Quebec City, PQ, Canada; [Garthe, Stefan] Univ Kiel, Res &amp; Technol Ctr FTZ, Buesum, Germany; [Phillips, Richard A.] NERC, British Antarctic Survey, Cambridge, England</t>
  </si>
  <si>
    <t>University of Quebec; Universite du Quebec a Rimouski; Laval University; Laval University; University of Kiel; UK Research &amp; Innovation (UKRI); Natural Environment Research Council (NERC); NERC British Antarctic Survey</t>
  </si>
  <si>
    <t>Pelletier, D (corresponding author), Cegep Rimouski, Dept Biol, Rimouski, PQ, Canada.;Pelletier, D (corresponding author), Univ Quebec Rimouski, Dept Biol, Rimouski, PQ, Canada.</t>
  </si>
  <si>
    <t>david.pelletier@cegep-rimouski.qc.ca</t>
  </si>
  <si>
    <t>Seyer, Yannick/HGD-1023-2022</t>
  </si>
  <si>
    <t>Seyer, Yannick/0000-0001-5752-7952; Pelletier, David/0000-0002-7434-4354</t>
  </si>
  <si>
    <t>Natural Sciences and Engineering Research Council of Canada (NSERC) Discovery Grant; Fonds de recherche du Quebec Nature et Technologies (FRQNT) - Programme de recherche pour les chercheurs de college; NERC [bas0100035] Funding Source: UKRI</t>
  </si>
  <si>
    <t>Natural Sciences and Engineering Research Council of Canada (NSERC) Discovery Grant(Natural Sciences and Engineering Research Council of Canada (NSERC)); Fonds de recherche du Quebec Nature et Technologies (FRQNT) - Programme de recherche pour les chercheurs de college; NERC(UK Research &amp; Innovation (UKRI)Natural Environment Research Council (NERC))</t>
  </si>
  <si>
    <t>Natural Sciences and Engineering Research Council of Canada (NSERC) Discovery Grant (to MG) and Fonds de recherche du Que ' bec Nature et Technologies (FRQNT) - Programme de recherche pour les chercheurs de college (to DP). The funders had no role in study design, data collection and analysis, decision to publish, or preparation of the manuscript.</t>
  </si>
  <si>
    <t>e0230262</t>
  </si>
  <si>
    <t>10.1371/journal.pone.0230262</t>
  </si>
  <si>
    <t>gold, Green Published, Green Accepted</t>
  </si>
  <si>
    <t>WOS:000535291800021</t>
  </si>
  <si>
    <t>Bigg, GR</t>
  </si>
  <si>
    <t>Bigg, Grant R.</t>
  </si>
  <si>
    <t>The impact of icebergs of sub-Antarctic origin on Southern Ocean ice-rafted debris distributions</t>
  </si>
  <si>
    <t>QUATERNARY SCIENCE REVIEWS</t>
  </si>
  <si>
    <t>Quaternary; Paleoceanography; Southern ocean; Modelling; Ice-rafted debris; Past glaciation</t>
  </si>
  <si>
    <t>SHEET; MODEL</t>
  </si>
  <si>
    <t>The presence of widespread terrigenous material of an ice-rafted origin in Quaternary sediments of the Southern Ocean has been recognized for almost 150 years. Normally this material has been ascribed to deposits from icebergs of continental Antarctic origin. However, during Quaternary glaciations there have been periods of extensive land ice across the sub-Antarctic, on both islands scattered around most of the circumpolar extent of the Southern Ocean, as well as in Patagonia, so providing alternative sources for debris-carrying icebergs. Here a relatively high resolution ocean and iceberg model is used to study the potential distribution of ice-rafted debris (IRD) from the range of past ice sources around the Southern Ocean. It is shown that IRD found in marine cores of the Southern Ocean is most likely to have derived from the Antarctic continent in some regions, particularly of the South Atlantic, but that for extensive regions of the Southern Ocean sub-Antarctic sources of IRD, rather than the continent itself, are more likely. This is particularly true equatorward of 55(o)S, away from the core continental iceberg outflow from the Weddell gyre. It is argued that the glaciated sub-Antarctic cannot be neglected in explaining past IRD records in the Southern Ocean. This has implications not just for reconstructing the history of glaciation in the sub-Antarctic, but also for understanding past variation in the upper ocean circulation within the Quaternary Southern Ocean. (C) 2020 Elsevier Ltd. All rights reserved.</t>
  </si>
  <si>
    <t>[Bigg, Grant R.] Univ Sheffield, Dept Geog, Winter St, Sheffield S10 2TN, S Yorkshire, England</t>
  </si>
  <si>
    <t>University of Sheffield</t>
  </si>
  <si>
    <t>Bigg, GR (corresponding author), Univ Sheffield, Dept Geog, Winter St, Sheffield S10 2TN, S Yorkshire, England.</t>
  </si>
  <si>
    <t>grant.bigg@sheffield.ac.uk</t>
  </si>
  <si>
    <t>Bigg, Grant/GXW-2219-2022</t>
  </si>
  <si>
    <t>0277-3791</t>
  </si>
  <si>
    <t>QUATERNARY SCI REV</t>
  </si>
  <si>
    <t>Quat. Sci. Rev.</t>
  </si>
  <si>
    <t>MAR 15</t>
  </si>
  <si>
    <t>10.1016/j.quascirev.2020.106204</t>
  </si>
  <si>
    <t>LD1IA</t>
  </si>
  <si>
    <t>WOS:000525784300004</t>
  </si>
  <si>
    <t>Lübcker, N; Bloem, LM; du Toit, T; Swart, P; de Bruyn, PJN; Swart, AC; Millar, RP</t>
  </si>
  <si>
    <t>Lubcker, Nico; Bloem, Liezl M.; du Toit, Therina; Swart, Pieter; de Bruyn, P. J. Nico; Swart, Amanda C.; Millar, Robert P.</t>
  </si>
  <si>
    <t>What's in a whisker? High-throughput analysis of twenty-eight C19 and C21 steroids in mammalian whiskers by ultra-performance convergence chromatography-tandem mass spectrometry</t>
  </si>
  <si>
    <t>JOURNAL OF CHROMATOGRAPHY B-ANALYTICAL TECHNOLOGIES IN THE BIOMEDICAL AND LIFE SCIENCES</t>
  </si>
  <si>
    <t>Androgens; Progestogens; Glucocorticoids; Metabolites; Keratin and feathers; Marine mammal endocrinology; Southern elephant seal; Vibrissae; Whiskers; UPC2-MS/MS</t>
  </si>
  <si>
    <t>SOUTHERN ELEPHANT SEAL; HAIR CORTISOL; MIROUNGA-LEONINA; STRESS; REPRODUCTION; PARAMETERS; BIOMARKER; RESPONSES; HORMONES; BIRDS</t>
  </si>
  <si>
    <t>Obtaining longitudinal endocrinological data from free-ranging animals remains challenging. Steroid hormones can be extracted sequentially from non-invasively sampled biologically inert keratinous tissues, such as feathers, nails, hair and whiskers. However, uncertainty regarding the type and levels of steroids incorporated into such tissues complicates their utility in wildlife studies. Here, we developed a novel, comprehensive method to analyze fourteen C-19 and fourteen C-21 steroids deposited chronologically along the length of seal whiskers in a single, 6-minute chromatographic step, using ultra-performance convergence chromatography-tandem mass spectrometry. The limits of detection and quantification ranged from 0.01 to 2 ng/mL and from 0.1 to 10 ng/mL, respectively. The accuracy and precision were within acceptable limits for steroids at concentrations &gt;= 2 ng/mL. The recovery (mean = 107.5% at 200 ng/mL), matrix effect and process efficiency of steroids evaluated, using blanked whisker matrix samples, were acceptable. The method was applied to the analysis of steroid hormone levels in adult female whisker segments obtained from southern elephant seals (Mirounga leonina), n = 10, and two fur seal species, Antarctic fur seals (Arctocephalus gazella; n = 5) and subantarctic fur seals (Arctocephalus tropicalis; n = 5), sampled between 2012 and 2017. In the whisker subsamples analyzed (n = 71), the median concentration of steroid hormones detected above the LOQ ranged from 2.0 to 273.7 pg/mg. This was the first extraction of multiple C-19 and C-21 steroids, including their C11-oxy metabolites, from the whiskers of mammals. Measuring hormones sequentially along the whisker lengths can contribute to our understanding of the impact of stress associated with environmental/climate changes that affect the health, survival of organisms, as well as to delineate the reproductive cycles of free-living mammals with cryptic life stages.</t>
  </si>
  <si>
    <t>[Lubcker, Nico; de Bruyn, P. J. Nico] Univ Pretoria, Mammal Res Inst, Dept Zool &amp; Entomol, Private Bag X20, ZA-0028 Hatfield, South Africa; [Bloem, Liezl M.; du Toit, Therina; Swart, Pieter; Swart, Amanda C.] Stellenbosch Univ, Dept Biochem, ZA-7600 Stellenbosch, South Africa; [Millar, Robert P.] Univ Pretoria, Fac Hlth Sci, Ctr Neuroendocrinol, Dept Immunol, ZA-0001 Pretoria, South Africa</t>
  </si>
  <si>
    <t>University of Pretoria; Stellenbosch University; University of Pretoria</t>
  </si>
  <si>
    <t>Lübcker, N (corresponding author), Univ Pretoria, Mammal Res Inst, Dept Zool &amp; Entomol, Private Bag X20, ZA-0028 Hatfield, South Africa.</t>
  </si>
  <si>
    <t>nlubcker@zoology.up.ac.za</t>
  </si>
  <si>
    <t>de Bruyn, P. J. Nico/E-4176-2010; Lubcker, Nico/I-7622-2019; Swart, Amanda C./O-5939-2017</t>
  </si>
  <si>
    <t>de Bruyn, P. J. Nico/0000-0002-9114-9569; Lubcker, Nico/0000-0001-7141-6669; Du Toit, Therina/0000-0002-3533-0590; Swart, Amanda C./0000-0001-7529-8989</t>
  </si>
  <si>
    <t>National Research Foundation (NRF); Society for Marine Mammalogy (SMM)</t>
  </si>
  <si>
    <t>The National Research Foundation (NRF) funded the research and supported NL through an Innovation Scholarship. The 'Society for Marine Mammalogy (SMM) Small Grant in Aid of Research' provided additional support for the sample analyses. The conclusions drawn are attributed to the authors and not necessarily to the NRF and SMM.</t>
  </si>
  <si>
    <t>1570-0232</t>
  </si>
  <si>
    <t>1873-376X</t>
  </si>
  <si>
    <t>J CHROMATOGR B</t>
  </si>
  <si>
    <t>J. Chromatogr. B</t>
  </si>
  <si>
    <t>10.1016/j.jchromb.2020.122028</t>
  </si>
  <si>
    <t>Biochemical Research Methods; Chemistry, Analytical</t>
  </si>
  <si>
    <t>Biochemistry &amp; Molecular Biology; Chemistry</t>
  </si>
  <si>
    <t>KT2TU</t>
  </si>
  <si>
    <t>WOS:000518869300012</t>
  </si>
  <si>
    <t>Gonçalves, BC; Spitzbart, B; Lynch, HJ</t>
  </si>
  <si>
    <t>Goncalves, B. C.; Spitzbart, B.; Lynch, H. J.</t>
  </si>
  <si>
    <t>SealNet: A fully-automated pack-ice seal detection pipeline for sub-meter satellite imagery</t>
  </si>
  <si>
    <t>REMOTE SENSING OF ENVIRONMENT</t>
  </si>
  <si>
    <t>Crabeater seal; Lobodon carcinophaga; Weddell seal; Leptonychotes weddellii; APIS; CCAMLR; Deep learning; Object detection; Segmentation; Very high resolution</t>
  </si>
  <si>
    <t>CRAB-EATER SEALS; SOUTHERN-OCEAN; WEDDELL SEA; HEAT UPTAKE; ABUNDANCE; SYSTEMS; KRILL; CHALLENGES; DIET</t>
  </si>
  <si>
    <t>Antarctic pack-ice seals, a group of four species of true seals (Phocidae), play a pivotal role in the Southern Ocean foodweb as wide-ranging predators of Antarctic krill (Euphausia superba). Due to their circumpolar distribution and the remoteness and vastness of their habitat, little is known about their population sizes. Estimating pack-ice seal population sizes and trends is key to understanding how the Southern Ocean ecosystem will react to threats such as climate change driven sea ice loss and krill fishing. We present a functional pack-ice seal detection pipeline using Worldview-3 imagery and a Convolutional Neural Network that counts and locates seal centroids. We propose a new CNN architecture that detects objects by combining semantic segmentation heatmaps with binary classification and counting by regression. Our pipeline locates over 30% of seals, when compared to consensus counts from human experts, and reduces the time required for seal detection by 95% (assuming just a single GPU). While larger training sets and continued algorithm development will no doubt improve classification accuracy, our pipeline, which can be easily adapted for other large-bodied animals visible in sub-meter satellite imagery, demonstrates the potential for machine learning to vastly expand our capacity for regular pack-ice seal surveys and, in doing so, will contribute to ongoing international efforts to monitor pack-ice seals.</t>
  </si>
  <si>
    <t>[Goncalves, B. C.; Spitzbart, B.; Lynch, H. J.] Dept Ecol &amp; Evolut, 610 Life Sci Bldg, Stony Brook, NY 11777 USA</t>
  </si>
  <si>
    <t>Gonçalves, BC (corresponding author), Dept Ecol &amp; Evolut, 610 Life Sci Bldg, Stony Brook, NY 11777 USA.</t>
  </si>
  <si>
    <t>bento.goncalves@stonybrook.edu</t>
  </si>
  <si>
    <t>Collares Goncalves, Bento/0000-0003-2595-8293</t>
  </si>
  <si>
    <t>National Science Foundation EarthCube program [1740595]; Polar Geospatial Center under NSF-OPP awards [1043681, 1559691]; Institute for Advanced Computational Science; ICER; Directorate For Geosciences [1740595] Funding Source: National Science Foundation</t>
  </si>
  <si>
    <t>National Science Foundation EarthCube program; Polar Geospatial Center under NSF-OPP awards; Institute for Advanced Computational Science; ICER; Directorate For Geosciences(National Science Foundation (NSF)NSF - Directorate for Geosciences (GEO))</t>
  </si>
  <si>
    <t>We thank the Institute for Advanced Computational Science and the National Science Foundation EarthCube program (Award 1740595) for funding this work. Geospatial support for this work provided by the Polar Geospatial Center under NSF-OPP awards 1043681 and 1559691. The development of our CNN detection pipeline would not be possible without the advice of Felipe Codevilla Moraes, Hieu Le, Dimitris Samaras and the Stony Brook Computer Vision lab. We thank the Polar Geospatial Center for curating and providing the satellite imagery.</t>
  </si>
  <si>
    <t>0034-4257</t>
  </si>
  <si>
    <t>1879-0704</t>
  </si>
  <si>
    <t>REMOTE SENS ENVIRON</t>
  </si>
  <si>
    <t>Remote Sens. Environ.</t>
  </si>
  <si>
    <t>10.1016/j.rse.2019.111617</t>
  </si>
  <si>
    <t>Environmental Sciences; Remote Sensing; Imaging Science &amp; Photographic Technology</t>
  </si>
  <si>
    <t>Environmental Sciences &amp; Ecology; Remote Sensing; Imaging Science &amp; Photographic Technology</t>
  </si>
  <si>
    <t>KT0IO</t>
  </si>
  <si>
    <t>WOS:000518694400008</t>
  </si>
  <si>
    <t>Mulligan, M; van Soesbergen, A; Hole, DG; Brooks, TM; Burke, S; Hutton, J</t>
  </si>
  <si>
    <t>Mulligan, Mark; van Soesbergen, Arnout; Hole, David G.; Brooks, Thomas M.; Burke, Sophia; Hutton, Jon</t>
  </si>
  <si>
    <t>Mapping nature's contribution to SDG 6 and implications for other SDGs at policy relevant scales</t>
  </si>
  <si>
    <t>Earth observation; SDGs; Water; Trade-off; Opportunity cost; Conservation planning; Co$tingNature</t>
  </si>
  <si>
    <t>ECOSYSTEM SERVICES; WATER</t>
  </si>
  <si>
    <t>The natural world has multiple, sometimes conflicting, sometimes synergistic, values to society when viewed through the lens of the Sustainable Development Goals (SDGs), Spatial mapping of nature's contributions to the SDGs has the potential to support the implementation of SDG strategies through sustainable land management and conservation of ecosystem services. Such mapping requires a range of spatial data. This paper examines the use of remote sensing and spatial ecosystem service modelling to examine nature's contribution to targets under SDG 6, also highlighting synergies with other key SDGs and trade-offs with agriculture. We use a wide range of remotely sensed and globally available datasets (for land cover, climate, soil, population, agriculture) alongside the existing and widely used spatial ecosystem services assessment tool, Co$tingNature. With these we identify priority areas for sustainable management to realise targets under SDG 6 (water) at the country scale for Madagascar and at the basin scale for the Volta basin, though the application developed can be applied to any country or major basin in the world. Within this SDG 6 priority areas footprint, we assess the synergies and trade-offs provided by this land for SDG 15 (biodiversity) and SDG 13 (climate action) as well as SDG 2 (zero hunger). Results highlight the co-benefits of sustainably managing nature's contribution to SDG 6, such as the protection of forest cover (for SDG target 15.2), carbon storage as a contribution to the Paris climate agreement and nationally determined contributions (SDG 13) and biodiversity (for SDG target 15.5) but also trade-offs with the zero hunger goal (for SDG 2). Such analyses allow for better understanding of land management requirements for realising multiple SDGs through protection and restoration of green infrastructure. We provide a freely available tool, within the Co$tingNature platform, based on a variety of remotely sensed products, that can be used by SDG practitioners to carry out similar analyses and inform decision-making at national or sub-national levels globally.</t>
  </si>
  <si>
    <t>[Mulligan, Mark; van Soesbergen, Arnout] Kings Coll London, Dept Geog, Bush House NE 4-01,40 Aldwych, London WC2B 4BG, England; [van Soesbergen, Arnout] UN Environm World Conservat Monitoring Ctr, 219 Huntingdon Rd, Cambridge CB3 0DL, England; [Hole, David G.] Betty &amp; Gordon Moore Ctr Sci Conservat Int, 2011 Crystal Dr Suite 500, Arlington, VA 22202 USA; [Brooks, Thomas M.] IUCN, 28 Rue Maeverney, CH-1196 Gland, Switzerland; [Burke, Sophia] AmbioTEK Community Interest Co, Leigh On Sea, Essex, England; [Hutton, Jon] Luc Hoffmann Inst, Rue Mauverney 28, CH-1196 Gland, Switzerland; [Mulligan, Mark] Univ Tasmania, Inst Marine &amp; Antarctic Studies, Hobart, Tas, Australia; [Mulligan, Mark] Univ Philippines Los Banos, ICRAF, Los Banos, Philippines</t>
  </si>
  <si>
    <t>University of London; King's College London; University of Tasmania; University of the Philippines System; University of the Philippines Los Banos; CGIAR; World Agroforestry (ICRAF)</t>
  </si>
  <si>
    <t>Mulligan, M (corresponding author), Kings Coll London, Dept Geog, Bush House NE 4-01,40 Aldwych, London WC2B 4BG, England.;Mulligan, M (corresponding author), Univ Tasmania, Inst Marine &amp; Antarctic Studies, Hobart, Tas, Australia.;Mulligan, M (corresponding author), Univ Philippines Los Banos, ICRAF, Los Banos, Philippines.</t>
  </si>
  <si>
    <t>mark.mulligan@kcl.ac.uk</t>
  </si>
  <si>
    <t>Hole, David/Q-1692-2019; BITOUN, RACHEL Elisabeth/AAC-9538-2021</t>
  </si>
  <si>
    <t>Hole, David/0000-0001-9117-2956; BITOUN, RACHEL Elisabeth/0000-0002-3614-9910; Mulligan, Mark/0000-0002-0132-0888</t>
  </si>
  <si>
    <t>LUC Hoffman Institute (LHI) Developing a method to spatially map global SDGs, their synergies and trade-offs; Ecosystem Services for Poverty Alleviation Programme [NE/K010220/1]; ESRC-DfTD Pathways out of Poverty for reservoir-dependent communities in Burkina Faso (POP-BF) [ES/R002126/1]; NERC [NE/K010417/1] Funding Source: UKRI</t>
  </si>
  <si>
    <t>LUC Hoffman Institute (LHI) Developing a method to spatially map global SDGs, their synergies and trade-offs; Ecosystem Services for Poverty Alleviation Programme; ESRC-DfTD Pathways out of Poverty for reservoir-dependent communities in Burkina Faso (POP-BF); NERC(UK Research &amp; Innovation (UKRI)Natural Environment Research Council (NERC))</t>
  </si>
  <si>
    <t>The analysis carried out in this paper was supported by a grant from The LUC Hoffman Institute (LHI) Developing a method to spatially map global SDGs, their synergies and trade-offs. Thank you to all those organisations who took part in the stakeholder consultation associated with the project. The tools and datasets forming the basis of the applications in Madagascar and the Volta benefitted from the work carried out under the p4ges project Can Paying 4 Global Ecosystem Services values reduce poverty? (http://www.p4ges.org) funded by the Ecosystem Services for Poverty Alleviation Programme (grant ref.: NE/K010220/1) and ESRC-DfTD Pathways out of Poverty for reservoir-dependent communities in Burkina Faso (POP-BF) (grant ref: ES/R002126/1).</t>
  </si>
  <si>
    <t>10.1016/j.rse.2020.111671</t>
  </si>
  <si>
    <t>WOS:000518694400038</t>
  </si>
  <si>
    <t>Lu, ZB; Liu, DD; Liao, JS; Wang, J; Li, HR; Zhang, J</t>
  </si>
  <si>
    <t>Lu, Zhibo; Liu, Dandan; Liao, Jingsi; Wang, Juan; Li, Huirong; Zhang, Jie</t>
  </si>
  <si>
    <t>Characterizing spatial distribution of chlorophyll a in the Southern Ocean on a circumpolar cruise in summer</t>
  </si>
  <si>
    <t>Southern Ocean; Chlorophyll a; Phytoplankton bloom; Primary productivity</t>
  </si>
  <si>
    <t>FRONTAL ZONES; ROSS SEA; PHYTOPLANKTON; IRON; NUTRIENTS; PATTERNS; SECTOR; BLOOMS; WATERS; CO2</t>
  </si>
  <si>
    <t>The spatial variation of chlorophyll a in the Southern Ocean (SO) was of great significance. Sea surface chlorophyll a concentrations was measured by Ferry Box monitoring system on the Chinese polar research vessel Xue Long, which circumnavigated the Antarctic continent in a clockwise direction during the austral summer 2013-2014 (November 2013-April 2014). The concentrations of chlorophyll a indicated a relatively uniform distribution of 0.049-11.647 mg m(-3) (mean 0. 869 mg m(-3), n = 152,751). The highest chlorophyll a concentrations (mean 1.847 mg m(-3)) was found in the Ross sea (RS). In addition, six high-chlorophyll a hot spots were recognized. Analysis revealed that phytoplankton bloom could be controlled by multiple factors in different regions, and the chlorophyll a bloom is attributed to the combined effect of surface and subsurface processes such as, continental shelf, sea ice melting, Circumpolar Deep Water (CDW) upwelling, suitable temperature, and nutrient injection from subsurface to the surface. The topographic effects, sea ice melting and CDW upwelling may play a major role in controlling primary productivity in the SO. Among of all, CDW upwelling may be the most important role improving primary productivity. This study presented the phytoplankton distribution patterns and the relation with potential growth-controlling factors in the SO, which will provide more insight in the mechanisms that control global warming to reduce global CO2 the atmosphere into the ocean interior. (C) 2019 Elsevier B.V. All rights reserved.</t>
  </si>
  <si>
    <t>[Lu, Zhibo; Liu, Dandan; Liao, Jingsi; Wang, Juan; Li, Huirong] Tongji Univ, Coll Environm Sci &amp; Engn, State Key Lab Pollut Control &amp; Resource Reuse, Shanghai 200092, Peoples R China; [Zhang, Jie] Polar Res Inst China, Dept Informat Management, Shanghai 200136, Peoples R China</t>
  </si>
  <si>
    <t>Tongji University; Polar Research Institute of China</t>
  </si>
  <si>
    <t>Wang, J (corresponding author), Tongji Univ, Coll Environm Sci &amp; Engn, State Key Lab Pollut Control &amp; Resource Reuse, Shanghai 200092, Peoples R China.</t>
  </si>
  <si>
    <t>wangjuan@tongji.edu.cn</t>
  </si>
  <si>
    <t>Liu, Dan/JVN-8346-2024; ZHIBO, LU/HHS-4083-2022</t>
  </si>
  <si>
    <t>Liu, Dan/0000-0001-9638-1247;</t>
  </si>
  <si>
    <t>National Natural Science Foundation of China [41406213]; Polar Research Institute of China</t>
  </si>
  <si>
    <t>National Natural Science Foundation of China(National Natural Science Foundation of China (NSFC)); Polar Research Institute of China</t>
  </si>
  <si>
    <t>This research was supported by the National Natural Science Foundation of China (No. 41406213). We thank all members of our groups for their encouragement and helpful discussion. We are grateful to the captain and crew of the Xue Long during the 30th Chinese Antarctic Scientific Expedition, for their successful navigation and assistance in data collection. We also thank the Polar Research Institute of China for the provision of data. If you have any questions, please do not hesitate to contact us.</t>
  </si>
  <si>
    <t>10.1016/j.scitotenv.2019.134833</t>
  </si>
  <si>
    <t>KB0TV</t>
  </si>
  <si>
    <t>WOS:000506214900016</t>
  </si>
  <si>
    <t>Hopp, T; Budde, G; Kleine, T</t>
  </si>
  <si>
    <t>Hopp, Timo; Budde, Gerrit; Kleine, Thorsten</t>
  </si>
  <si>
    <t>Heterogeneous accretion of Earth inferred from Mo-Ru isotope systematics</t>
  </si>
  <si>
    <t>EARTH AND PLANETARY SCIENCE LETTERS</t>
  </si>
  <si>
    <t>late stage accretion; heterogeneous accretion; siderophile elements; nucleosynthetic isotope anomalies; isotope dichotomy; origin of volatiles</t>
  </si>
  <si>
    <t>SOLAR NEBULA; IRON-METEORITES; S-PROCESS; ORIGIN; OSMIUM; ANOMALIES; INSIGHTS; DIFFERENTIATION; CONSTRAINTS; CHONDRITES</t>
  </si>
  <si>
    <t>The Mo and Ru isotopic compositions of meteorites and the bulk silicate Earth (BSE) hold important clues about the provenance of Earth's building material. Prior studies have argued that non-carbonaceous (NC) and carbonaceous (CC) meteorite groups together define a Mo-Ru 'cosmic' correlation, and that the BSE plots on the extension of this correlation. These observations were taken as evidence that the final 10-15% of Earth's accreted material derived from a homogeneous inner disk reservoir with an enstatite chondrite-like isotopic composition. Here, using new Mo and Ru isotopic data for previously uninvestigated meteorite groups, we show that the Mo-Ru correlation only exists for NC meteorites, and that both the BSE and CC meteorites fall off this Mo-Ru correlation. These observations indicate that the final stages of Earth's accretion were heterogeneous and consisted of a mixture of NC and CC materials. The Mo-Ru isotope systematics are best accounted for by either an NC heritage of the late veneer combined with a CC heritage of the Moon-forming giant impactor, or by mixed NC-CC compositions for both components. The involvement of CC bodies in the late-stage accretionary assemblage of Earth is consistent with chemical models for core-mantle differentiation, which argue for the addition of more oxidized and volatile-rich material toward the end of Earth's formation. As such, this study resolves the inconsistencies between homogeneous accretion models based on prior interpretations of the MoRu systematics of meteorites and the chemical evidence for heterogeneous accretion of Earth. (C) 2020 The Author(s). Published by Elsevier B.V.</t>
  </si>
  <si>
    <t>[Hopp, Timo; Budde, Gerrit; Kleine, Thorsten] Univ Munster, Inst Planetol, Wilhelm Klemm Str 10, D-48149 Munster, Germany; [Hopp, Timo] Univ Chicago, Dept Geophys Sci, Origins Lab, 5743 South Ellis Ave, Chicago, IL 60637 USA; [Hopp, Timo] Univ Chicago, Enrico Fermi Inst, 5743 South Ellis Ave, Chicago, IL 60637 USA; [Budde, Gerrit] CALTECH, Div Geol &amp; Planetary Sci, Isotoparium, Pasadena, CA 91125 USA</t>
  </si>
  <si>
    <t>University of Munster; University of Chicago; University of Chicago; California Institute of Technology</t>
  </si>
  <si>
    <t>Hopp, T (corresponding author), Univ Munster, Inst Planetol, Wilhelm Klemm Str 10, D-48149 Munster, Germany.;Hopp, T (corresponding author), Univ Chicago, Dept Geophys Sci, Origins Lab, 5743 South Ellis Ave, Chicago, IL 60637 USA.;Hopp, T (corresponding author), Univ Chicago, Enrico Fermi Inst, 5743 South Ellis Ave, Chicago, IL 60637 USA.</t>
  </si>
  <si>
    <t>hopp@uchicago.edu</t>
  </si>
  <si>
    <t>Kleine, Thorsten/S-2792-2017</t>
  </si>
  <si>
    <t>Hopp, Timo/0000-0002-4056-5431; Budde, Gerrit/0000-0003-0762-779X</t>
  </si>
  <si>
    <t>NSF; NASA; European Research Council under the European Community's Seventh Framework Program (FP7/2007-2013 Grant) [616564]; Deutsche Forschungsgemeinschaft [SFB-TRR170]</t>
  </si>
  <si>
    <t>NSF(National Science Foundation (NSF)); NASA(National Aeronautics &amp; Space Administration (NASA)); European Research Council under the European Community's Seventh Framework Program (FP7/2007-2013 Grant); Deutsche Forschungsgemeinschaft(German Research Foundation (DFG))</t>
  </si>
  <si>
    <t>We gratefully acknowledge Addi Bischoff, Knut Metzler, the Institute of Meteoritics, University of New Mexico, and NASA for providing samples.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further thank Ulla Heitmann for technical support and sample preparation. This research received funding to Thorsten Kleine from the European Research Council under the European Community's Seventh Framework Program (FP7/2007-2013 Grant Agreement 616564 'ISOCORE') and was supported by the Deutsche Forschungsgemeinschaft (SFB-TRR170, subproject B3). This is TRR 170 publication No. 85.</t>
  </si>
  <si>
    <t>0012-821X</t>
  </si>
  <si>
    <t>1385-013X</t>
  </si>
  <si>
    <t>EARTH PLANET SC LETT</t>
  </si>
  <si>
    <t>Earth Planet. Sci. Lett.</t>
  </si>
  <si>
    <t>10.1016/j.epsl.2020.116065</t>
  </si>
  <si>
    <t>KN9WO</t>
  </si>
  <si>
    <t>Green Accepted, Green Submitted, hybrid</t>
  </si>
  <si>
    <t>WOS:000515198200002</t>
  </si>
  <si>
    <t>Kaplan, MR; Strelin, JA; Schaefer, JM; Peltier, C; Martini, MA; Flores, E; Winckler, G; Schwartz, R</t>
  </si>
  <si>
    <t>Kaplan, M. R.; Strelin, J. A.; Schaefer, J. M.; Peltier, C.; Martini, M. A.; Flores, E.; Winckler, G.; Schwartz, R.</t>
  </si>
  <si>
    <t>Holocene glacier behavior around the northern Antarctic Peninsula and possible causes</t>
  </si>
  <si>
    <t>Antarctic Peninsula; cosmogenic dating; deglaciation; Holocene; Antarctica; paleoclimate</t>
  </si>
  <si>
    <t>JAMES-ROSS-ISLAND; NUCLIDE PRODUCTION-RATES; PRINCE GUSTAV CHANNEL; SOUTHERN ANNULAR MODE; ICE-SHELF; CLIMATE VARIABILITY; DEGLACIAL HISTORY; SEDIMENT CORES; LAGO ARGENTINO; OCEAN</t>
  </si>
  <si>
    <t>We obtained 49 new Be-10 ages that document the activity of the former Northern Antarctic Peninsula Ice Sheet, and subsequently the James Ross Island Ice Cap and nearby glaciers, from the end of the last glacial period until the last similar to 100 years. The data indicate that from &gt;11 to similar to 8 ka marked recession of glacier systems occurred around James Ross Island, including tidewater and local land-terminating glaciers. Glaciers reached heads of bays and fjords by 8-7 ka. Subsequently, local glaciers were larger than present around (at least) 7.5-7 ka and similar to 5-4 ka, at times between 3.9 and 3.6 ka and just after 3 ka, between similar to 2.4 and similar to 1 ka, and from similar to 300 to similar to 100 years ago. After deglaciation, the largest local glacier extents occurred between similar to 7 ka and similar to 4 ka. Comparison with other paleoclimate records, including of sea ice extent, reveals coherent climate changes over similar to 15 degrees of latitude. In the early Holocene, most of the time a swath of warmth spanned from southern South America to the Antarctic Peninsula sector. We infer such intervals are times of weakening and/or poleward expansion of the band of stronger westerlies, associated with contraction of the polar vortex. Conversely, increased sea ice and equatorward expansion of the westerlies and the polar vortex favor larger glaciers from Patagonia to the Antarctic Peninsula, which typically occurred after similar to 8 ka, although warm stretches did take place. For example, on the Antarctic Peninsula and in Patagonia the interval from 4 to similar to 3 ka was typically warm, but conditions were not uniform in either region. We also infer that reduced and expanded glacier extents in Patagonia and the eastern Antarctic Peninsula tend to occur when conditions resemble a persistent positive and negative southern annular mode, respectively. (C) 2020 Elsevier B.V. All rights reserved.</t>
  </si>
  <si>
    <t>[Kaplan, M. R.; Schaefer, J. M.; Peltier, C.; Winckler, G.; Schwartz, R.] Lamont Doherty Earth Observ, Geochem, Palisades, NY 10964 USA; [Strelin, J. A.] Inst Antartico Argentine, Buenos Aires, DF, Argentina; [Strelin, J. A.; Martini, M. A.; Flores, E.] UNC, CONICET, Fac Ciencias Exactas Fis &amp; Nat, Ctr Invest Ciencias Tierra,CICTERRA, Cordoba, Argentina; [Schaefer, J. M.; Peltier, C.; Winckler, G.] Columbia Univ, Dept Earth &amp; Environm Sci, New York, NY 10027 USA; [Martini, M. A.] Univ Chile, Nucleo Milenio Paleoclima, Santiago, Chile; [Martini, M. A.] Pontificia Univ Catolica Chile, Inst Geog, Santiago, Chile</t>
  </si>
  <si>
    <t>Columbia University; Instituto Antartico Argentino; Consejo Nacional de Investigaciones Cientificas y Tecnicas (CONICET); National University of Cordoba; Columbia University; Universidad de Chile; Pontificia Universidad Catolica de Chile</t>
  </si>
  <si>
    <t>Kaplan, MR (corresponding author), Lamont Doherty Earth Observ, Geochem, Palisades, NY 10964 USA.</t>
  </si>
  <si>
    <t>mkaplan@Ideo.columbia.edu</t>
  </si>
  <si>
    <t>Martini, Mateo/ABF-3602-2020; Kaplan, Michael R/D-4720-2011</t>
  </si>
  <si>
    <t>Martini, Mateo/0000-0003-1704-9313; Flores, Eliseo/0000-0002-3903-5193</t>
  </si>
  <si>
    <t>PICTA; Instituto Antartico Argentino-SECyT; Geomorfologia y Geologla Glaciar del Archipielago James Ross e Islas Shetland del Sur, Sector Norte de la Peninsula Antartica; National Science Foundation [PLR-11-42002]</t>
  </si>
  <si>
    <t>PICTA; Instituto Antartico Argentino-SECyT; Geomorfologia y Geologla Glaciar del Archipielago James Ross e Islas Shetland del Sur, Sector Norte de la Peninsula Antartica; National Science Foundation(National Science Foundation (NSF))</t>
  </si>
  <si>
    <t>We want to express our gratitude to the personnel of the Instituto Antartico Argentino (IAA), Direccion Nacional del Antartico (DNA), and Fuerza Aerea Argentina, for their logistic support. We thank Jeremy Frisch and Jean Hanley for laboratory assistance. We thank Greg Balco, Matias Barrionuevo, Patricio Moreno (especially for important suggestion for Fig. 6C), Xiaojun Yuan, and Julia Gottschalk for discussion and anonymous Reviewers who helped greatly to strengthen the manuscript. We acknowledge support by PICTA, 2011-0102, Instituto Antartico Argentino-SECyT, Geomorfologia y Geologla Glaciar del Archipielago James Ross e Islas Shetland del Sur, Sector Norte de la Peninsula Antartica, granted to J.A.S., and National Science Foundation PLR-11-42002 to MK, JS, and GW. This is LDEO contribution 8375.</t>
  </si>
  <si>
    <t>10.1016/j.epsl.2020.116077</t>
  </si>
  <si>
    <t>WOS:000515198200019</t>
  </si>
  <si>
    <t>Ohneiser, C; Wilson, GS; Beltran, C; Dolan, AM; Hill, DJ; Prebble, JG</t>
  </si>
  <si>
    <t>Ohneiser, Christian; Wilson, Gary S.; Beltran, Catherine; Dolan, Aisling M.; Hill, Daniel J.; Prebble, Joseph G.</t>
  </si>
  <si>
    <t>Warm fjords and vegetated landscapes in early Pliocene East Antarctica</t>
  </si>
  <si>
    <t>Pliocene; East Antarctic Ice Sheet; environmental magnetism; sedimentary biomarkers; modelling; BIOME4</t>
  </si>
  <si>
    <t>SOUTHERN VICTORIA LAND; ENVIRONMENTAL MAGNETIC RECORD; ICE-SHEET; CLIMATE; MODEL; SENSITIVITY; IMPACT; SEA; PALEOCLIMATE; SIMULATION</t>
  </si>
  <si>
    <t>The response of the Antarctic ice sheets to future warming is uncertain. The IPCC are predicting minimal melt from Antarctica while others suggest increased meltwater contributions are possible. The Pliocene period (5.333 Ma to 2.58 Ma) may provide insights into future ice sheet response, because atmospheric CO2 concentrations were similar to today (350-450 ppmv) and the earth surface was between 2 degrees C and 4 degrees C warmer than the preindustrial conditions. Geological records indicate that Antarctica's ice sheets were smaller and more dynamic at this time and many sea-level estimates require meltwater input from the Greenland, West (WAIS) and East Antarctic Ice sheets (EAIS). However, only a few records exist proximal to the Antarctic ice sheet which allow for reconstruction of the Pliocene climate state. We present a multiproxy climate reconstruction from a sedimentary succession that was deposited in an ancient fjord within the Transantarctic Mountains, covering discrete intervals between the early Pliocene and the late Pleistocene. In contrast to modern frigid conditions, our records indicate sea surface temperatures of about 5.6 degrees C at c. 4.1 Ma, the presence of a plant community at the fjord margins and evidence of soil formation. Simulations of potential vegetation cover in the Pliocene indicate our reconstruction is most compatible with a complete collapse of the WAIS and a large scale retreat of the EAIS from the subglacial basins with atmospheric CO2 levels of less than 450 ppmv. Our study indicates that under present day atmospheric CO2 conditions, in the early Pliocene, the Antarctic ice sheets retreated significantly. Understanding the mechanisms driving this large-scale ice sheet retreat would enable us to assess whether current atmospheric CO2 concentrations will lead to the same ice sheet configuration once the Earth system has come to a new equilibrium state. (C) 2019 Elsevier B.V. All rights reserved.</t>
  </si>
  <si>
    <t>[Ohneiser, Christian; Wilson, Gary S.; Beltran, Catherine] Univ Otago, Dept Geol, POB 56, Dunedin, New Zealand; [Wilson, Gary S.; Beltran, Catherine] Univ Otago, Dept Marine Sci, POB 56, Dunedin, New Zealand; [Beltran, Catherine] Univ Otago, Dept Chem, POB 56, Dunedin, New Zealand; [Dolan, Aisling M.; Hill, Daniel J.] Univ Leeds, Sch Earth &amp; Environm, Leeds LS2 9JT, W Yorkshire, England; [Wilson, Gary S.; Prebble, Joseph G.] GNS Sci, 1 Fairway Dr, Lower Hutt 5010, New Zealand</t>
  </si>
  <si>
    <t>University of Otago; University of Otago; University of Otago; University of Leeds; GNS Science - New Zealand</t>
  </si>
  <si>
    <t>Ohneiser, C (corresponding author), Univ Otago, Dept Geol, POB 56, Dunedin, New Zealand.</t>
  </si>
  <si>
    <t>christian.ohneiser@otago.ac.nz</t>
  </si>
  <si>
    <t>Wilson, Gary S/B-3803-2010; Dolan, Aisling M/D-2625-2012</t>
  </si>
  <si>
    <t>Wilson, Gary/0000-0003-0025-3641; Ohneiser, Christian/0000-0002-2781-2522; Hill, Daniel/0000-0001-5492-3925</t>
  </si>
  <si>
    <t>New Zealand Foundation for Research, Science and Technology, New Zealand ANDRILL grant; University of Otago; MBIE funded Past Antarctic Climates research programme</t>
  </si>
  <si>
    <t>New Zealand Foundation for Research, Science and Technology, New Zealand ANDRILL grant; University of Otago; MBIE funded Past Antarctic Climates research programme(New Zealand Ministry of Business, Innovation and Employment (MBIE))</t>
  </si>
  <si>
    <t>This work was supported by the New Zealand Foundation for Research, Science and Technology as part of the New Zealand ANDRILL grant, a University of Otago Research grant to CO, and by the MBIE funded Past Antarctic Climates research programme. We thank Matt Olney, Steven Petrushak, and Simon Harder Holm Nielsen at the Antarctic Marine Geology Research Facility, Florida State University for assistance with sample collection. Numerical climate model simulations made use of ARC1, part of the High Performance Computing facilities at the University of Leeds, UK. We are grateful for the constructive reviews by Luca Lanci and one anonymous reviewer which improved this manuscript.</t>
  </si>
  <si>
    <t>10.1016/j.epsl.2019.116045</t>
  </si>
  <si>
    <t>WOS:000515198200023</t>
  </si>
  <si>
    <t>Olierook, HKH; Jourdan, F; Whittaker, JM; Merle, RE; Jiang, Q; Pourteau, A; Doucet, LS</t>
  </si>
  <si>
    <t>Olierook, Hugo K. H.; Jourdan, Fred; Whittaker, Joanne M.; Merle, Renaud E.; Jiang, Qiang; Pourteau, Amaury; Doucet, Luc S.</t>
  </si>
  <si>
    <t>Timing and causes of the mid-Cretaceous global plate reorganization event</t>
  </si>
  <si>
    <t>40Ar/39Ar geochronology; Wharton Basin; eastern Gondwana; Neotethys; subduction; slab pull</t>
  </si>
  <si>
    <t>LARGE IGNEOUS PROVINCE; TORE-MADEIRA RISE; SUBDUCTION INITIATION; TIME SCALES; EVOLUTION; GONDWANA; DRIVEN; BASIN; AGE; SEAMOUNTS</t>
  </si>
  <si>
    <t>Global plate reorganization events (GPREs) can have profound impact on plate velocities, climate and the biotic cycle but the timing and triggers for GPREs remain debated. The timing and causes of the mid-Cretaceous GPRE, one of only two GPREs since the breakup of Pangea, remains poorly constrained because it occurred during the Cretaceous Normal Superchron. Here, we provide a new plagioclase 40Ar/39Ar age of 103.82 +/- 0.54 Ma (2 sigma) at DSDP site 256 along the world's clearest curved fracture zones in the Wharton Basin, off NW Australia. Using Monte Carlo simulations, we compute that the mid-Cretaceous GPRE commenced at 111.2(-1.2)(+1.3) Ma (95% confidence). The mid-Cretaceous GPRE was associated with a significant plate deceleration (minimum similar to 26%), similar to the Eocene GPRE, implying that this process is fundamental to plate reconfigurations. We propose that the mid-Cretaceous GPRE was caused by slab-breakoff and cessation of the south-dipping subduction zone in the Mesotethys Ocean at ca. 111 Ma. Ultimately, we posit that subduction zone initiations and cessations are the primary triggers for both post-Pangean GPREs and that top-down processes may be the fundamental drivers for GPREs. (C) 2020 Elsevier B.V. All rights reserved.</t>
  </si>
  <si>
    <t>[Olierook, Hugo K. H.; Jourdan, Fred; Jiang, Qiang; Pourteau, Amaury; Doucet, Luc S.] Curtin Univ, Sch Earth &amp; Planetary Sci, GPO Box U1987, Perth, WA 6845, Australia; [Olierook, Hugo K. H.; Jourdan, Fred] Curtin Univ, John de Laeter Ctr, GPO Box U1987, Perth, WA 6845, Australia; [Olierook, Hugo K. H.] Curtin Univ, Ctr Explorat Targeting Curtin Node, GPO Box U1987, Perth, WA 6845, Australia; [Jourdan, Fred; Jiang, Qiang] Curtin Univ, Western Australian Argon Isotope Facil, GPO Box U1987, Perth, WA 6845, Australia; [Whittaker, Joanne M.] Univ Tasmania, Inst Marine &amp; Antarctic Studies, Private Bag 129, Hobart, Tas 7001, Australia; [Merle, Renaud E.] Swedish Museum Nat Hist, S-10405 Stockholm, Sweden; [Pourteau, Amaury; Doucet, Luc S.] Curtin Univ, ARC Ctr Excellence Core Crust Fluid Syst CCFS, Earth Dynam Res Grp, GPO Box U1987, Perth, WA 6845, Australia</t>
  </si>
  <si>
    <t>Curtin University; Curtin University; Curtin University; Curtin University; University of Tasmania; Swedish Museum of Natural History; Curtin University; University of Western Australia</t>
  </si>
  <si>
    <t>Olierook, HKH (corresponding author), Curtin Univ, Sch Earth &amp; Planetary Sci, GPO Box U1987, Perth, WA 6845, Australia.</t>
  </si>
  <si>
    <t>hugo.olierook@curtin.edu.au</t>
  </si>
  <si>
    <t>Doucet, Luc/AAO-9321-2020; Olierook, Hugo/AAQ-3657-2021; Jiang, Qiang/GNO-9906-2022; Jiang, Qiang/HMD-5605-2023; merle, renaud e./ABG-7421-2020; Whittaker, Joanne/B-3695-2010</t>
  </si>
  <si>
    <t>Doucet, Luc/0000-0002-7542-0582; Olierook, Hugo/0000-0001-5961-4304; Jiang, Qiang/0000-0003-3381-9592; merle, renaud e./0000-0001-9018-6862; Whittaker, Joanne/0000-0002-3170-3935; Jourdan, Fred/0000-0001-5626-4521; Pourteau, Amaury/0000-0002-6121-8383</t>
  </si>
  <si>
    <t>Australian IODP office through the Australian Research Council [LE160100067]; Australian Research Council [LE160100067] Funding Source: Australian Research Council</t>
  </si>
  <si>
    <t>Australian IODP office through the Australian Research Council; Australian Research Council(Australian Research Council)</t>
  </si>
  <si>
    <t>This manuscript benefited from detailed comments from an anonymous reviewer and the editorial handling of A. Yin. We would like to thank L. Gupta and the team at the Kochi Core Center for the ease of acquiring samples. We also thank C. Meyer and A. Frew for sample preparation. AP and LSD thank ZX Li, leader of the Earth Dynamics Research Group, for his support. The project was funded by the Australian IODP office through the Australian Research Council Grant LE160100067.</t>
  </si>
  <si>
    <t>10.1016/j.epsl.2020.116071</t>
  </si>
  <si>
    <t>WOS:000515198200006</t>
  </si>
  <si>
    <t>Cerro-Gálvez, E; Roscales, JL; Jiménez, B; Sala, MM; Dachs, J; Vila-Costa, M</t>
  </si>
  <si>
    <t>Cerro-Galvez, Elena; Roscales, Jose L.; Jimenez, Begona; Sala, Maria Montserrat; Dachs, Jordi; Vila-Costa, Maria</t>
  </si>
  <si>
    <t>Microbial responses to perfluoroalkyl substances and perfluorooctanesulfonate (PFOS) desulfurization in the Antarctic marine environment</t>
  </si>
  <si>
    <t>WATER RESEARCH</t>
  </si>
  <si>
    <t>Marine bacteria; Antarctica; PFOS; Biodegradation; Seawater; Metatranscriptomics</t>
  </si>
  <si>
    <t>POLYFLUOROALKYL SUBSTANCES; PERFLUORINATED COMPOUNDS; SURFACE SEAWATER; FOOD-WEB; ACID; IDENTIFICATION; SULFONATE; COMMUNITY; BACTERIA; ISLAND</t>
  </si>
  <si>
    <t>Perfluorooctanesulfonate (PFOS) and perfluorooctanoate (PFOA) acids are ubiquitous in the oceans, including remote regions, and are toxic to fish and mammals. The impact to the lowest trophic levels of the food web, however, remains unknown. We challenged natural bacterial communities inhabiting Antarctic coastal waters (Deception Island) with PFOS and PFOA concentrations ranging from 2 ng/L to 600 ng/L that selected for tolerant taxa. After 48 h, concentrations of PFOS decreased by more than 50% and sulfur metabolism-related transcripts were significantly enriched in the treatments suggesting desulfurization of PFOS. Conversely, no significant differences were found between initial and final PFOA concentrations. Gammaproteobacteria and Roseobacter, two abundant groups of marine bacteria, increased their relative activity after 24 h of incubation, whereas Flavobacteriia became the main contributor in the treatments after 6 days. Community activities (extracellular enzyme activity and absolute number of transcripts) were higher in the treatments than in the controls, while bacterial abundances were lower in the treatments, suggesting a selection of PFOS and PFOA tolerant community in the exposed treatments. Our results show a direct effect of PFOS and PFOA exposure on the composition and functionality of natural Antarctic marine microbial communities. While no evidence of defluorination of PFOS or PFOA was detected, probable desulfurization of PFOS depicts a direct link with the sulfur biogeochemistry of the ocean. (C) 2020 Elsevier Ltd. All rights reserved.</t>
  </si>
  <si>
    <t>[Cerro-Galvez, Elena; Dachs, Jordi; Vila-Costa, Maria] CSIC, Inst Environm Assessment &amp; Water Res IDAEA, Dept Environm Chem, Barcelona, Catalunya, Spain; [Roscales, Jose L.; Jimenez, Begona] CSIC, Inst Organ Chem IQOG, Dept Instrumental Anal &amp; Environm Chem, Madrid, Spain; [Sala, Maria Montserrat] CSIC, Inst Marine Sci ICM, Dept Marine Biol &amp; Oceanog, Barcelona, Catalunya, Spain</t>
  </si>
  <si>
    <t>Consejo Superior de Investigaciones Cientificas (CSIC); CSIC - Centro de Investigacion y Desarrollo Pascual Vila (CID-CSIC); CSIC - Instituto de Diagnostico Ambiental y Estudios del Agua (IDAEA); Consejo Superior de Investigaciones Cientificas (CSIC); CSIC - Instituto de Quimica Organica General (IQOG); Consejo Superior de Investigaciones Cientificas (CSIC); CSIC - Centro Mediterraneo de Investigaciones Marinas y Ambientales (CMIMA); CSIC - Instituto de Ciencias del Mar (ICM)</t>
  </si>
  <si>
    <t>Vila-Costa, M (corresponding author), CSIC, Inst Environm Assessment &amp; Water Res IDAEA, Dept Environm Chem, Barcelona, Catalunya, Spain.</t>
  </si>
  <si>
    <t>maria.vila@idaea.csic.es</t>
  </si>
  <si>
    <t>, Maria Montserrat/AAW-7487-2021; Jiménez, Begoña/C-6324-2012; SALA, Maria Montserrat/O-4726-2014; Roscales, Jose/H-6716-2015; Vila-Costa, Maria/L-4833-2014</t>
  </si>
  <si>
    <t>Jiménez, Begoña/0000-0002-2401-4648; SALA, Maria Montserrat/0000-0002-3804-5680; Dachs, Jordi/0000-0002-4237-169X; Roscales, Jose/0000-0002-0446-6911; Vila-Costa, Maria/0000-0003-1730-8418; CERRO-GALVEZ, ELENA/0000-0001-9821-9227</t>
  </si>
  <si>
    <t>Spanish MEIC [CTM2015-65691-R, CTM2015-70535-P]; FI-AGAUR Fellowship Program (Catalan Government); FORD Espana-Apadrina la Ciencia; Catalan Government [2017SGR800]</t>
  </si>
  <si>
    <t>Spanish MEIC; FI-AGAUR Fellowship Program (Catalan Government); FORD Espana-Apadrina la Ciencia; Catalan Government</t>
  </si>
  <si>
    <t>This work was supported by the Spanish MEIC through projects ISOMICS (CTM2015-65691-R) and SENTINEL (CTM2015-70535-P). This research is part of POLARCSIC activities. ECG was awarded a PhD fellowship by FI-AGAUR Fellowship Program (Catalan Government) and an extra support by FORD Espana-Apadrina la Ciencia. We sincerely thank D. Lundin for assistance with bioinformatics; I. Forn, M. Sebastian, R. Massana and J.M. Gasol for support with BONCAT and flow cytometry counts; C. Antequera for EEA; M.I. Abad and E. Berdalet for nutrient analysis; L Arin for chlorophyll analysis, and the personnel of the Spanish Antarctic Station Gabriel de Castilla for support during the study. The research group of Global Change and Genomic Biogeochemistry is supported by the Catalan Government (2017SGR800).</t>
  </si>
  <si>
    <t>0043-1354</t>
  </si>
  <si>
    <t>1879-2448</t>
  </si>
  <si>
    <t>WATER RES</t>
  </si>
  <si>
    <t>Water Res.</t>
  </si>
  <si>
    <t>10.1016/j.watres.2019.115434</t>
  </si>
  <si>
    <t>Engineering, Environmental; Environmental Sciences; Water Resources</t>
  </si>
  <si>
    <t>Engineering; Environmental Sciences &amp; Ecology; Water Resources</t>
  </si>
  <si>
    <t>KN3NZ</t>
  </si>
  <si>
    <t>WOS:000514748900057</t>
  </si>
  <si>
    <t>Jourdan, F; Kennedy, T; Benedix, GK; Eroglu, E; Mayer, C</t>
  </si>
  <si>
    <t>Jourdan, F.; Kennedy, T.; Benedix, G. K.; Eroglu, E.; Mayer, C.</t>
  </si>
  <si>
    <t>Timing of the magmatic activity and upper crustal cooling of differentiated asteroid 4 Vesta</t>
  </si>
  <si>
    <t>Asteroid 4 Vesta; HED meteorites; Eucrites; 40Ar/39Ar thermochronology; Magmatism; Crustal cooling</t>
  </si>
  <si>
    <t>U-PB; ARGON DIFFUSION; THERMAL HISTORY; 40AR/39AR GEOCHRONOLOGY; COLLISIONAL HISTORY; EUCRITE ZIRCONS; AGE; IMPACT; MODEL; CRYSTALLIZATION</t>
  </si>
  <si>
    <t>Eucrites are extraterrestrial basalts and cumulate gabbros formed, and subsequently more or less metamorphosed, at the crustal level of the HED (Howardite-Eucrite-Diogenite) parent body, thought to be the asteroid 4 Vesta. Unbrecciated eucrites offer the best way to understand the igneous, metamorphic and cooling processes occurring in the crust of Vesta following accretion since they were not substantially affected/altered by secondary impact processes. The 40Ar/39Ar system of unbrecciated eucrites should be in a relatively pristine state, and thus can inform us on the early volcanic and thermal history of the HED parent body, and, in particular, the cooling history of various crustal parts below the similar to 300 degrees C isotherm, which represents the average closure temperature of the Ar diffusion in plagioclase. We analysed plagioclase and pyroxene (+/- groundmass) separates of two cumulate (Moore County and Moama), and five (Caldera, BTN 00300, EET 90020, GRA 98098, QUE 97053) equilibrated basaltic eucrites with the 40Ar/39Ar technique using a Thermo(C) ARGUS VI multi-collection mass spectrometer. The two cumulate unequilibrated gabbros also gave cooling ages of 4531 +/- 11 Ma and 4533 +/- 12 Ma and combined with a fast cooling rate estimated from lamella thicknesses, suggest that magmatic activity persisted up to 4533 +/- 11 and 4535 +/- 12 Ma and that the plutons were intruded in a relatively shallow part of the crust, above the metamorphosed regions. Four equilibrated eucrites yielded a well-defined cluster of ages between 4523 +/- 8 Ma to 4514 +/- 6 Ma. Those ages indicate when the part of the upper crust, where those eucrites probably resided (similar to 10-15 km deep), cooled below similar to 300 degrees C at a rate of 17.3 +/- 3.6 degrees C/Ma (2r). Such a slow cooling rate combined with available global thermal models, supports the hypothesis of a global crustal metamorphism by burial and reheating of lava flows. Finally, an age of 4531 +/- 5 Ma was obtained for metamorphosed eucrite EET 90020 and, combined with petrographic observations, indicates the age of a major crustal excavation event by impact. 40Ar diffusion models suggest that it is possible to differentiate impact vs crustal cooling provided that a sufficient quantity of pyroxene is measured by 40Ar/39Ar. (C) 2020 Elsevier Ltd. All rights reserved. Eucrites are extraterrestrial basalts and cumulate gabbros formed, and subsequently more or less metamorphosed, at the crustal level of the HED (Howardite-Eucrite-Diogenite) parent body, thought to be the asteroid 4 Vesta. Unbrecciated eucrites offer the best way to understand the igneous, metamorphic and cooling processes occurring in the crust of Vesta following accretion since they were not substantially affected/altered by secondary impact processes. The 40Ar/39Ar system of unbrecciated eucrites should be in a relatively pristine state, and thus can inform us on the early volcanic and thermal history of the HED parent body, and, in particular, the cooling history of various crustal parts below the similar to 300 degrees C isotherm, which represents the average closure temperature of the Ar diffusion in plagioclase. We analysed plagioclase and pyroxene (+/- groundmass) separates of two cumulate (Moore County and Moama), and five (Caldera, BTN 00300, EET 90020, GRA 98098, QUE 97053) equilibrated basaltic eucrites with the 40Ar/39Ar technique using a Thermo(C) ARGUS VI multi-collection mass spectrometer. The two cumulate unequilibrated gabbros also gave cooling ages of 4531 +/- 11 Ma and 4533 +/- 12 Ma and combined with a fast cooling rate estimated from lamella thicknesses, suggest that magmatic activity persisted up to 4533 +/- 11 and 4535 +/- 12 Ma and that the plutons were intruded in a relatively shallow part of the crust, above the metamorphosed regions. Four equilibrated eucrites yielded a well-defined cluster of ages between 4523 +/- 8 Ma to 4514 +/- 6 Ma. Those ages indicate when the part of the upper crust, where those eucrites probably resided (similar to 10-15 km deep), cooled below similar to 300 degrees C at a rate of 17.3 +/- 3.6 degrees C/Ma (2r). Such a slow cooling rate combined with available global thermal models, supports the hypothesis of a global crustal metamorphism by burial and reheating of lava flows. Finally, an age of 4531 +/- 5 Ma was obtained for metamorphosed eucrite EET 90020 and, combined with petrographic observations, indicates the age of a major crustal excavation event by impact. 40Ar diffusion models suggest that it is possible to differentiate impact vs crustal cooling provided that a sufficient quantity of pyroxene is measured by 40Ar/39Ar. (C) 2020 Elsevier Ltd. All rights reserved.</t>
  </si>
  <si>
    <t>[Jourdan, F.; Kennedy, T.; Mayer, C.] Curtin Univ, John de Laeter Ctr, TIGeR, Western Australian Argon Isotope Facil, Perth, WA, Australia; [Jourdan, F.; Kennedy, T.; Benedix, G. K.] Curtin Univ, Space Sci &amp; Technol Ctr, Sch Earth &amp; Planetary Sci, Perth, WA, Australia; [Eroglu, E.] Curtin Univ, WA Sch Mines Minerals Energy &amp; Chem Engn, Discipline Chem Engn, Perth, WA 6845, Australia</t>
  </si>
  <si>
    <t>Curtin University; Curtin University; Curtin University</t>
  </si>
  <si>
    <t>Jourdan, F (corresponding author), Curtin Univ, John de Laeter Ctr, TIGeR, Western Australian Argon Isotope Facil, Perth, WA, Australia.</t>
  </si>
  <si>
    <t>f.jourdan@curtin.edu.au</t>
  </si>
  <si>
    <t>Eroglu, Ela/B-3323-2013; Benedix, Gretchen/L-1953-2018</t>
  </si>
  <si>
    <t>Jourdan, Fred/0000-0001-5626-4521; Eroglu, Ela/0000-0002-6080-2879; Benedix, Gretchen/0000-0003-0990-8878</t>
  </si>
  <si>
    <t>NSF; NASA</t>
  </si>
  <si>
    <t>NSF(National Science Foundation (NSF)); NASA(National Aeronautics &amp; Space Administration (NASA))</t>
  </si>
  <si>
    <t>We thank Zdenka Martelli and Adam Frew for technical help with the sample preparation and analysis. Dermot Henry is thanked for one meteorite sample from the collection of Museum Victoria, Dr Kevin Righter, Lunar and Planetary Institute, is thanked for four samples from the NASA Antarctic Meteorite Collection, and Dr Linda Welzenbach, Smithsonian Institute, National Museum of Natural History, for two meteorite samples.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Two anonymous reviewers and K. Min are thanked for their review of this manuscript.</t>
  </si>
  <si>
    <t>10.1016/j.gca.2020.01.036</t>
  </si>
  <si>
    <t>KN4TY</t>
  </si>
  <si>
    <t>WOS:000514832600012</t>
  </si>
  <si>
    <t>Lowry, D; Fisher, RE; France, JL; Coleman, M; Lanoisellé, M; Zazzeri, G; Nisbet, EG; Shaw, JT; Allen, G; Pitt, J; Ward, RS</t>
  </si>
  <si>
    <t>Lowry, David; Fisher, Rebecca E.; France, James L.; Coleman, Max; Lanoiselle, Mathias; Zazzeri, Giulia; Nisbet, Euan G.; Shaw, Jacob T.; Allen, Grant; Pitt, Joseph; Ward, Robert S.</t>
  </si>
  <si>
    <t>Environmental baseline monitoring for shale gas development in the UK: Identification and geochemical characterisation of local source emissions of methane to atmosphere</t>
  </si>
  <si>
    <t>Mobile measurement; Baseline surveys; Methane; Carbon isotopes; Ethane</t>
  </si>
  <si>
    <t>CARBON-DIOXIDE; ISOTOPIC COMPOSITION; FOSSIL-FUEL; CH4; LONDON; OIL</t>
  </si>
  <si>
    <t>Baseline mobile surveys of methane sources using vehicle-mounted instruments have been performed in the Fylde and Ryedale regions of Northern England over the 2016-19 period around proposed unconventional (shale) gas extraction sites. The aim was to identify and characterise methane sources ahead of hydraulically fractured shale gas extraction in the area around drilling sites. This allows a potential additional source of emissions to atmosphere to be readily distinguished from adjacent sources, should gas production take place. The surveys have used ethane:methane (C2:C1) ratios to separate combustion, thermogenic gas and biogenic sources. Sample collection of source plumes followed by high precision delta C-13 analysis of methane, to separate and isotopically characterise sources, adds additional biogenic source distinction between active and closed landfills, and ruminant eructations from manure. The surveys show that both drill sites and adjacent fixed monitoring sites have cow barns and gas network pipeline leaks as sources of methane within a 1 km range. These two sources are readily separated by isotopes (delta C-13 of -67 to -58 parts per thousand, for barns, compared to -43 to -39 parts per thousand, for gas leaks), and ethane: methane ratios (&lt;0.001 for barns, compared to &gt;0.05 for gas leaks). Under a well-mixed daytime atmospheric boundary layer these sources are generally detectable as above baseline elevations up to 100 m downwind for gas leaks and up to 500 m downwind for populated cow barns. It is considered that careful analysis of these proxies for unconventional production gas, if and when available, will allow any fugitive emissions from operations to be distinguished from surrounding sources. (C) 2019 The Author(s). Published by Elsevier B.V.</t>
  </si>
  <si>
    <t>[Lowry, David; Fisher, Rebecca E.; France, James L.; Coleman, Max; Lanoiselle, Mathias; Zazzeri, Giulia; Nisbet, Euan G.] Royal Holloway Univ London, Dept Earth Sci, Egham TW20 0EX, Surrey, England; [France, James L.] British Antarctic Survey, Madingley Rd, Cambridge CB3 0ET, England; [Shaw, Jacob T.; Allen, Grant; Pitt, Joseph] Univ Manchester, Sch Earth &amp; Environm Sci, Manchester M13 9PL, Lancs, England; [Ward, Robert S.] British Geol Survey, Environm Sci Ctr, Nottingham NG12 5GG, England; [Zazzeri, Giulia] Imperial Coll London, Dept Phys, London SW7 2AZ, England</t>
  </si>
  <si>
    <t>University of London; Royal Holloway University London; UK Research &amp; Innovation (UKRI); Natural Environment Research Council (NERC); NERC British Antarctic Survey; University of Manchester; UK Research &amp; Innovation (UKRI); Natural Environment Research Council (NERC); NERC British Geological Survey; Imperial College London</t>
  </si>
  <si>
    <t>Lowry, D (corresponding author), Royal Holloway Univ London, Dept Earth Sci, Egham TW20 0EX, Surrey, England.</t>
  </si>
  <si>
    <t>d.lowry@rhul.ac.uk</t>
  </si>
  <si>
    <t>Pitt, Joseph/GWM-5007-2022; Allen, Grant/AAF-7097-2021; Lowry, David/GXG-1235-2022; Fisher, Rebecca/AAA-5352-2022; Allen, Grant/A-7737-2013; Lowry, David/JCE-0619-2023; France, James/L-9719-2015</t>
  </si>
  <si>
    <t>Pitt, Joseph/0000-0002-8660-5136; Allen, Grant/0000-0002-7070-3620; Allen, Grant/0000-0002-7070-3620; Fisher, Rebecca/0000-0002-9262-5467; Zazzeri, Giulia/0000-0002-7297-5670; Shaw, Jacob/0000-0003-3558-3894; Coleman, Max/0000-0002-5709-6141; LOWRY, DAVID/0000-0002-8535-0346; France, James/0000-0002-8785-1240</t>
  </si>
  <si>
    <t>UK Government Department for Business, Energy and Industrial Strategy (BEIS) [GA/18F/017/NEE6617R]; NERC; Natural Environment Research Council [NE/R01809X/1] Funding Source: researchfish; NERC [NE/R01809X/1, NE/S003657/1, bgs06003, NE/R017360/1, NE/N015835/1, NE/R017638/1, bas0100032, NE/N015584/1, NE/R017492/1] Funding Source: UKRI</t>
  </si>
  <si>
    <t>UK Government Department for Business, Energy and Industrial Strategy (BEIS); NERC(UK Research &amp; Innovation (UKRI)Natural Environment Research Council (NERC)); Natural Environment Research Council(UK Research &amp; Innovation (UKRI)Natural Environment Research Council (NERC)); NERC(UK Research &amp; Innovation (UKRI)Natural Environment Research Council (NERC))</t>
  </si>
  <si>
    <t>Thanks to Jerry Morris of the RHUL science workshop who setup and adapted the survey vehicle to accommodate the multiple instruments, power supplies and roof ornaments. This ongoing research is funded by the UK Government Department for Business, Energy and Industrial Strategy (BEIS; Grant code: GA/18F/017/NEE6617R). BGS authors publish with the permission of the Executive Director, BGS NERC-UKRI. The project has close synergies with the NERC-funded Equipt4Risk project. The measurement protocols for this project are closely linked to those that have been developed for the EU Horizon 2020 Marie Sklodowska-Curie Innovative Training Network MEMO2 (MEthane goes MObile: MEasurement and MOdelling). OpenStreetMap_(R) is used to create the basemaps for most figures. It is open data, licensed under the Open Data Commons Open Database License (ODbL) by the Open-StreetMap Foundation (OSMF). Data is available under the Open Database Licence, and map tiles licenced as CC BY-SA. https://www.openstreetmap.org/copyright</t>
  </si>
  <si>
    <t>10.1016/j.scitotenv.2019.134600</t>
  </si>
  <si>
    <t>WOS:000506214900032</t>
  </si>
  <si>
    <t>Ding, MH; Han, W; Zhang, T; Yue, XY; Fyke, J; Liu, G; Xiao, CD</t>
  </si>
  <si>
    <t>Ding, Minghu; Han, Wei; Zhang, Tong; Yue, Xiaoyuan; Fyke, Jeremy; Liu, Ge; Xiao, Cunde</t>
  </si>
  <si>
    <t>Towards More Snow Days in Summer since 2001 at the Great Wall Station, Antarctic Peninsula: The Role of the Amundsen Sea Low</t>
  </si>
  <si>
    <t>precipitation phase; Great Wall Station; Amundsen Sea Low</t>
  </si>
  <si>
    <t>PRECIPITATION TYPES; WEST ANTARCTICA; SURFACE; ICE; CLIMATE; TEMPERATURE; RAIN; VARIABILITY; CIRCULATION; IMPACTS</t>
  </si>
  <si>
    <t>The variation in the precipitation phase in polar regions represents an important indicator of climate change and variability. We studied the precipitation phase at the Great Wall Station and Antarctic Peninsula (AP) region, based on daily precipitation, synoptic records and ERA-Interim data during the austral summers of 1985-2014. Overall, there was no trend in the total precipitation amount or days, but the phase of summer precipitation (rainfall days versus snowfall days) showed opposite trends before and after 2001 at the AP. The total summer rain days/snow days increased/decreased during 1985-2001 and significantly decreased at a rate of -14.13 d (10 yr)(-1)/increased at a rate of 14.31 d (10 yr)(-1) during 2001-2014, agreeing well with corresponding variations in the surface air temperature. Further, we found that the longitudinal location of the Amundsen Sea low (ASL) should account for the change in the precipitation phase since 2001, as it has shown a westward drift after 2001 [-41.1 degrees (10 yr)(-1)], leading to stronger cold southerly winds, colder water vapor flux, and more snow over the AP region during summertime. This study points out a supplementary factor for the climate variation on the AP.</t>
  </si>
  <si>
    <t>[Ding, Minghu; Han, Wei; Zhang, Tong; Yue, Xiaoyuan; Liu, Ge] Chinese Acad Meteorol Sci, State Key Lab Severe Weather, Beijing 100081, Peoples R China; [Ding, Minghu; Xiao, Cunde] Chinese Acad Sci, State Key Lab Cryospher Sci, Northwest Inst Ecoenvironm &amp; Resources, Lanzhou 730000, Peoples R China; [Zhang, Tong] Los Alamos Natl Lab, Fluid Dynam &amp; Solid Mech Grp, Los Alamos, NM 87545 USA; [Fyke, Jeremy] Associated Engn GrpLtd, Vernon, BC V1T 9P9, Canada; [Xiao, Cunde] Beijing Normal Univ, State Key Lab Earth Surface &amp; Resource Ecol, Beijing 100875, Peoples R China; [Han, Wei] Beijing Meteorol Observat Ctr, Beijing 100176, Peoples R China</t>
  </si>
  <si>
    <t>China Meteorological Administration; Chinese Academy of Meteorological Sciences (CAMS); Chinese Academy of Sciences; United States Department of Energy (DOE); Los Alamos National Laboratory; Beijing Normal University</t>
  </si>
  <si>
    <t>Ding, MH (corresponding author), Chinese Acad Meteorol Sci, State Key Lab Severe Weather, Beijing 100081, Peoples R China.;Ding, MH (corresponding author), Chinese Acad Sci, State Key Lab Cryospher Sci, Northwest Inst Ecoenvironm &amp; Resources, Lanzhou 730000, Peoples R China.</t>
  </si>
  <si>
    <t>dingminghu@foxmail.com</t>
  </si>
  <si>
    <t>Yue, Xiaoyuan/GZL-3568-2022; Ding, Minghu/AFU-3600-2022; Han, Wei/L-7391-2016</t>
  </si>
  <si>
    <t>Ding, Minghu/0000-0002-1142-6598; Han, Wei/0000-0002-1966-446X; Liu, Ge/0000-0001-8186-2996</t>
  </si>
  <si>
    <t>Strategic Priority Research Program of Chinese Academy of Sciences [XDA20100300]; National Natural Science Foundation of China [41771064]; Basic Fund of the Chinese Academy of Meteorological Sciences [2018Z001, 2019Z008]</t>
  </si>
  <si>
    <t>Strategic Priority Research Program of Chinese Academy of Sciences(Chinese Academy of Sciences); National Natural Science Foundation of China(National Natural Science Foundation of China (NSFC)); Basic Fund of the Chinese Academy of Meteorological Sciences</t>
  </si>
  <si>
    <t>This research was supported by Strategic Priority Research Program of Chinese Academy of Sciences (XDA20100300), the National Natural Science Foundation of China (Grant No. 41771064) and the Basic Fund of the Chinese Academy of Meteorological Sciences (Grant Nos. 2018Z001 and 2019Z008).</t>
  </si>
  <si>
    <t>10.1007/s00376-019-9196-5</t>
  </si>
  <si>
    <t>WOS:000520701900001</t>
  </si>
  <si>
    <t>Massonnet, F; Ménégoz, M; Acosta, M; Yepes-Arbós, X; Exarchou, E; Doblas-Reyes, FJ</t>
  </si>
  <si>
    <t>Massonnet, Francois; Menegoz, Martin; Acosta, Mario; Yepes-Arbos, Xavier; Exarchou, Eleftheria; Doblas-Reyes, Francisco J.</t>
  </si>
  <si>
    <t>Replicability of the EC-Earth3 Earth system model under a change in computing environment</t>
  </si>
  <si>
    <t>GEOSCIENTIFIC MODEL DEVELOPMENT</t>
  </si>
  <si>
    <t>HYDROLOGY; SOFTWARE; ERRORS; IMPACT</t>
  </si>
  <si>
    <t>Most Earth system models (ESMs) are running under different high-performance computing (HPC) environments. This has several advantages, from allowing different groups to work with the same tool in parallel to leveraging the burden of ensemble climate simulations, but it also offers alternative solutions in the case of shutdown (expected or not) of any of the environments. However, for obvious scientific reasons, it is critical to ensure that ESMs provide identical results under changes in computing environment. While strict bit-for-bit reproducibility is not always guaranteed with ESMs, it is desirable that results obtained under one computing environment are at least statistically indistinguishable from those obtained under another environment, which we term a replicability condition following the metrology nomenclature. Here, we develop a protocol to assess the replicability of the EC-Earth ESM. Using two versions of EC-Earth, we present one case of non-replicability and one case of replicability. The non-replicable case occurs with the older version of the model and likely finds its origin in the treatment of river runoff along Antarctic coasts. By contrast, the more recent version of the model provides replicable results. The methodology presented here has been adopted as a standard test by the EC-Earth consortium (27 institutions in Europe) to evaluate the replicability of any new model version across platforms, including for CMIP6 experiments. To a larger extent, it can be used to assess whether other ESMs can safely be ported from one HPC environment to another for studying climate-related questions. Our results and experience with this work suggest that the default assumption should be that ESMs are not replicable under changes in the HPC environment, until proven otherwise.</t>
  </si>
  <si>
    <t>[Massonnet, Francois] Catholic Univ Louvain, Earth &amp; Life Inst, Georges Lemaitre Ctr Earth &amp; Climate Res, 3 Pl Louis Pasteur, B-1348 Louvain La Neuve, Belgium; [Massonnet, Francois; Menegoz, Martin; Acosta, Mario; Yepes-Arbos, Xavier; Exarchou, Eleftheria; Doblas-Reyes, Francisco J.] Barcelona Supercomp Ctr, Ctr Nacl Supercomp, Nexus 2 Planta 1 C Jordi Girona 29, Barcelona 08034, Spain; [Menegoz, Martin] Univ Grenoble Alpes, IGE, CNRS, F-38000 Grenoble, France; [Doblas-Reyes, Francisco J.] ICREA, Pg Lluis Co 23, Barcelona 08010, Spain</t>
  </si>
  <si>
    <t>Universite Catholique Louvain; Universitat Politecnica de Catalunya; Barcelona Supercomputer Center (BSC-CNS); Communaute Universite Grenoble Alpes; Universite Grenoble Alpes (UGA); Centre National de la Recherche Scientifique (CNRS); ICREA</t>
  </si>
  <si>
    <t>Massonnet, F (corresponding author), Catholic Univ Louvain, Earth &amp; Life Inst, Georges Lemaitre Ctr Earth &amp; Climate Res, 3 Pl Louis Pasteur, B-1348 Louvain La Neuve, Belgium.;Massonnet, F (corresponding author), Barcelona Supercomp Ctr, Ctr Nacl Supercomp, Nexus 2 Planta 1 C Jordi Girona 29, Barcelona 08034, Spain.</t>
  </si>
  <si>
    <t>francois.massonnet@uclouvain.be</t>
  </si>
  <si>
    <t>Acosta, Mario/ABG-3035-2020; acosta, mario/HNR-9651-2023; Menegoz, Martin/AAE-3523-2020; Doblas-Reyes, Francisco/C-1228-2016; Massonnet, Francois/J-5315-2014</t>
  </si>
  <si>
    <t>Acosta, Mario/0000-0001-7054-8168; Menegoz, Martin/0000-0001-7098-9270; Doblas-Reyes, Francisco/0000-0002-6622-4280; Yepes-Arbos, Xavier/0000-0002-1420-6400; Massonnet, Francois/0000-0002-4697-5781</t>
  </si>
  <si>
    <t>EU Commission-H2020 [727862: APPLICATE, 312979: IS-ENES2, 675191: ESiWACE, 641727: PRIMAVERA]; Spanish Ministerio de Economia y Competitividad (MINECO) [CGL2015-70353-R: HIATUS]</t>
  </si>
  <si>
    <t>EU Commission-H2020(European Union (EU)); Spanish Ministerio de Economia y Competitividad (MINECO)</t>
  </si>
  <si>
    <t>This research has been supported by the EU Commission-H2020 (grant nos. 727862: APPLICATE, 312979: IS-ENES2, 675191: ESiWACE, and 641727: PRIMAVERA) and the Spanish Ministerio de Economia y Competitividad (MINECO) (grant no. CGL2015-70353-R: HIATUS).</t>
  </si>
  <si>
    <t>1991-959X</t>
  </si>
  <si>
    <t>1991-9603</t>
  </si>
  <si>
    <t>GEOSCI MODEL DEV</t>
  </si>
  <si>
    <t>Geosci. Model Dev.</t>
  </si>
  <si>
    <t>MAR 12</t>
  </si>
  <si>
    <t>10.5194/gmd-13-1165-2020</t>
  </si>
  <si>
    <t>KU7ZQ</t>
  </si>
  <si>
    <t>WOS:000519932000003</t>
  </si>
  <si>
    <t>Zika, JD; Sallée, JB; Meijers, A; Naveira-Garabato, A; Watson, AJ; Messias, MJ; King, B</t>
  </si>
  <si>
    <t>Zika, Jan D.; Sallee, Jean-baptiste; Meijers, Andrew; Naveira-Garabato, Alberto; Watson, Andrew J.; Messias, Marie-Jose; King, Brian</t>
  </si>
  <si>
    <t>Tracking the spread of a passive tracer through Southern Ocean water masses</t>
  </si>
  <si>
    <t>RELEASE EXPERIMENT; CIRCULATION</t>
  </si>
  <si>
    <t>A dynamically passive inert tracer was released in the interior South Pacific Ocean at latitudes of the Antarctic Circumpolar Current. Observational cross sections of the tracer were taken over 4 consecutive years as it drifted through Drake Passage and into the Atlantic Ocean. The tracer was released within a region of high salinity relative to surrounding waters at the same density. In the absence of irreversible mixing a tracer remains at constant salinity and temperature on an isopycnal surface. To investigate the process of irreversible mixing we analysed the tracer in potential density-versus-salinity-anomaly coordinates. Observations of high tracer concentration tended to be collocated with isopycnal salinity anomalies. With time, an initially narrow peak in tracer concentration as a function of salinity at constant density broadened with the tracer being found at ever fresher salinities, consistent with diffusion-like behaviour in that coordinate system. The second moment of the tracer as a function of salinity suggested an initial period of slow spreading for approximately 2 years in the Pacific, followed by more rapid spreading as the tracer entered Drake Passage and the Scotia Sea. Analysis of isopycnal salinity gradients based on the Argo programme suggests that part of this apparent change can be explained by changes in background salinity gradients while part may be explained by the evolution of the tracer patch from a slowly growing phase where the tracer forms filaments to a more rapid phase where the tracer mixes at 240-550 m(2) s(-1).</t>
  </si>
  <si>
    <t>[Zika, Jan D.] Univ New South Wales, Sch Math &amp; Stat, Sydney, NSW, Australia; [Sallee, Jean-baptiste] Sorbonne Univ, LOCEAN Lab, CNRS, Paris, France; [Meijers, Andrew] British Antarctic Survey, Cambridge, England; [Naveira-Garabato, Alberto] Univ Southampton, Natl Oceanog Ctr, Southampton, Hants, England; [Watson, Andrew J.; Messias, Marie-Jose] Univ Exeter, Coll Life &amp; Environm Sci, Exeter, Devon, England; [King, Brian] Natl Oceanog Ctr, Southampton, Hants, England</t>
  </si>
  <si>
    <t>University of New South Wales Sydney; Centre National de la Recherche Scientifique (CNRS); Sorbonne Universite; Museum National d'Histoire Naturelle (MNHN); UK Research &amp; Innovation (UKRI); Natural Environment Research Council (NERC); NERC British Antarctic Survey; University of Southampton; NERC National Oceanography Centre; University of Exeter; NERC National Oceanography Centre</t>
  </si>
  <si>
    <t>Zika, JD (corresponding author), Univ New South Wales, Sch Math &amp; Stat, Sydney, NSW, Australia.</t>
  </si>
  <si>
    <t>j.zika@unsw.edu.au</t>
  </si>
  <si>
    <t>SALLEE, Jean baptiste/HDO-5355-2022; Garabato, Alberto Naveira/AAQ-1114-2020; SALLEE, Jean baptiste/A-5837-2010</t>
  </si>
  <si>
    <t>Garabato, Alberto Naveira/0000-0001-6071-605X; Zika, Jan/0000-0003-3462-3559; SALLEE, Jean baptiste/0000-0002-6109-5176; Messias, Marie-Jose/0000-0002-3852-2854; KING, Brian/0000-0003-1338-3234; Watson, Andrew/0000-0002-9654-8147</t>
  </si>
  <si>
    <t>Natural Environment Research Council [NE/E006000/1]; NERC [NE/E006000/1, NE/K002473/1, NE/P021298/1, NE/F01242X/1] Funding Source: UKRI</t>
  </si>
  <si>
    <t>Natural Environment Research Council(UK Research &amp; Innovation (UKRI)Natural Environment Research Council (NERC)); NERC(UK Research &amp; Innovation (UKRI)Natural Environment Research Council (NERC))</t>
  </si>
  <si>
    <t>This research has been supported by the Natural Environment Research Council (grant no. NE/E006000/1).</t>
  </si>
  <si>
    <t>10.5194/os-16-323-2020</t>
  </si>
  <si>
    <t>KU8AB</t>
  </si>
  <si>
    <t>gold, Green Accepted, Green Submitted</t>
  </si>
  <si>
    <t>WOS:000519933100001</t>
  </si>
  <si>
    <t>Upadhyay, A; Kakad, B; Kakad, A; Omura, Y; Sinha, AK</t>
  </si>
  <si>
    <t>Upadhyay, Aditi; Kakad, Bharati; Kakad, Amar; Omura, Yoshiharu; Sinha, Ashwini Kumar</t>
  </si>
  <si>
    <t>Occurrence characteristics of electromagnetic ion cyclotron waves at sub-auroral Antarctic station Maitri during solar cycle 24</t>
  </si>
  <si>
    <t>EARTH PLANETS AND SPACE</t>
  </si>
  <si>
    <t>ULF wave; EMIC occurrence; Solar cycle; Induction coil magnetometer</t>
  </si>
  <si>
    <t>VAN ALLEN PROBES; EMIC WAVES; PLASMASPHERIC PLUMES; SUBPACKET STRUCTURES; DEPENDENCE; PRECIPITATION; PLASMAPAUSE; PULSATIONS; EMISSIONS; PARTICLE</t>
  </si>
  <si>
    <t>We present a statistical study of electromagnetic ion cyclotron (EMIC) waves observed at Antarctic station (geographic 70.7. S, 11.8. E, L = 5) on quiet and disturbed days during 2011-2017. The data span a fairly good period of both ascending and descending phases of the solar cycle 24, which has witnessed extremely low activity. We noted EMIC wave occurrence by examining wave power in different frequency ranges in the spectrogram. EMIC wave occurrence during ascending and descending phases of solar cycle 24, its local time, seasonal dependence and durations have been examined. There are total 2367 days for which data are available. Overall, EMIC waves are observed for 3166.5 h (5.57% of total duration) which has contributions from 1263 days. We find a significantly higher EMIC wave occurrence during the descending phase (6.83%) as compared to the ascending phase (4.08%) of the solar cycle, which implies nearly a twofold increase in EMIC wave occurrence. This feature is attributed to the higher solar wind dynamic pressure during descending phase of solar activity. There is no evident difference in the percentage occurrence of EMIC waves on magnetically disturbed and quiet days. On ground, EMIC waves show marginally higher occurrence during winter as compared to summer. This seasonal tendency is attributed to lower electron densities and conductivities in the ionosphere, which can affect the propagation of EMIC waves through ionospheric ducts. In local time, the probability distribution function of EMIC wave occurrence shows enhancement during 11.7-20.7 LT (i.e., afternoon-dusk sector). Daily durations of EMIC waves are in the range of 5-1015 min and it is noted that the longer duration (240-1015 min) events are prevalent on quiet days and are mostly seen during the descending phase of solar cycle.</t>
  </si>
  <si>
    <t>[Upadhyay, Aditi; Kakad, Bharati; Kakad, Amar; Sinha, Ashwini Kumar] Indian Inst Geomagnetism, New Panvel, Navi Mumbai, India; [Omura, Yoshiharu] Kyoto Univ, Res Inst Sustainable Humanosphere, Kyoto, Japan</t>
  </si>
  <si>
    <t>Department of Science &amp; Technology (India); Indian Institute of Geomagnetism (IIG); Kyoto University</t>
  </si>
  <si>
    <t>Upadhyay, A (corresponding author), Indian Inst Geomagnetism, New Panvel, Navi Mumbai, India.</t>
  </si>
  <si>
    <t>aditiu147@gmail.com</t>
  </si>
  <si>
    <t>Omura, Yoshiharu/P-8565-2014; Kakad, Amar/K-3061-2017</t>
  </si>
  <si>
    <t>Omura, Yoshiharu/0000-0002-6683-3940; Sinha, Ashwini Kumar/0000-0003-1329-6579</t>
  </si>
  <si>
    <t>JSPS KAKENHI [17H06140]</t>
  </si>
  <si>
    <t>JSPS KAKENHI(Ministry of Education, Culture, Sports, Science and Technology, Japan (MEXT)Japan Society for the Promotion of ScienceGrants-in-Aid for Scientific Research (KAKENHI))</t>
  </si>
  <si>
    <t>The work at Kyoto University is supported by JSPS KAKENHI Grant 17H06140. We thank OMNIWeb team for interplanetary data available at http://omniw eb.gsfc.nasa.gov, NASA NGDC team for IRI model available at http://irimodel.org, WDC Kyoto for ionospheric conductivities and Ap indices available at http://wdc.kugi.kyoto-u.ac.jp/, and http://www.spaceweather.gc.ca for solar flux data. We duly acknowledge the support of R. Rawat in running the ICM experiment at Maitri.</t>
  </si>
  <si>
    <t>SPRINGEROPEN</t>
  </si>
  <si>
    <t>CAMPUS, 4 CRINAN ST, LONDON, N1 9XW, ENGLAND</t>
  </si>
  <si>
    <t>1880-5981</t>
  </si>
  <si>
    <t>EARTH PLANETS SPACE</t>
  </si>
  <si>
    <t>Earth Planets Space</t>
  </si>
  <si>
    <t>10.1186/s40623-020-01157-7</t>
  </si>
  <si>
    <t>KT9SD</t>
  </si>
  <si>
    <t>WOS:000519352600001</t>
  </si>
  <si>
    <t>Fourteau, K; Martinerie, P; Fain, X; Ekaykin, AA; Chappellaz, J; Lipenkov, V</t>
  </si>
  <si>
    <t>Fourteau, Kevin; Martinerie, Patricia; Fain, Xavier; Ekaykin, Alexey A.; Chappellaz, Jerome; Lipenkov, Vladimir</t>
  </si>
  <si>
    <t>Estimation of gas record alteration in very low-accumulation ice cores</t>
  </si>
  <si>
    <t>ANTARCTIC ICE; POLAR FIRN; OLD ICE; DOME C; ATMOSPHERIC METHANE; CHRONOLOGY AICC2012; GREENLAND; VARIABILITY; AIR; CONSTRAINTS</t>
  </si>
  <si>
    <t>We measured the methane mixing ratios of enclosed air in five ice core sections drilled on the East Antarctic Plateau. Our work aims to study two effects that alter the recorded gas concentrations in ice cores: layered gas trapping artifacts and firn smoothing. Layered gas trapping artifacts are due to the heterogeneous nature of polar firn, where some strata might close early and trap abnormally old gases that appear as spurious values during measurements. The smoothing is due to the combined effects of diffusive mixing in the firn and the progressive closure of bubbles at the bottom of the firn. Consequently, the gases trapped in a given ice layer span a distribution of ages. This means that the gas concentration in an ice layer is the average value over a certain period of time, which removes the fast variability from the record. Here, we focus on the study of East Antarctic Plateau ice cores, as these low-accumulation ice cores are particularly affected by both layering and smoothing. We use high-resolution methane data to test a simple trapping model reproducing the layered gas trapping artifacts for different accumulation conditions typical of the East Antarctic Plateau. We also use the high-resolution methane measurements to estimate the gas age distributions of the enclosed air in the five newly measured ice core sections. It appears that for accumulations below 2 cm ice equivalent yr(-1) the gas records experience nearly the same degree of smoothing. We therefore propose to use a single gas age distribution to represent the firn smoothing observed in the glacial ice cores of the East Antarctic Plateau. Finally, we used the layered gas trapping model and the estimation of glacial firn smoothing to quantify their potential impacts on a hypothetical 1.5-million-year-old ice core from the East Antarctic Plateau. Our results indicate that layering artifacts are no longer individually resolved in the case of very thinned ice near the bedrock. They nonetheless contribute to slight biases of the measured signal (less than 10 ppbv and 0.5 ppmv in the case of methane using our currently established continuous CH4 analysis and carbon dioxide, respectively). However, these biases are small compared to the dampening experienced by the record due to firn smoothing.</t>
  </si>
  <si>
    <t>[Fourteau, Kevin; Martinerie, Patricia; Fain, Xavier; Chappellaz, Jerome] Univ Grenoble Alpes, CNRS, IRD, Grenoble INP,IGE, F-38000 Grenoble, France; [Ekaykin, Alexey A.; Lipenkov, Vladimir] Arctic &amp; Antarctic Res Inst, Climate &amp; Environm Res Lab, St Petersburg 199397, Russia</t>
  </si>
  <si>
    <t>Communaute Universite Grenoble Alpes; Institut National Polytechnique de Grenoble; Institut de Recherche pour le Developpement (IRD); Universite Grenoble Alpes (UGA); Centre National de la Recherche Scientifique (CNRS); Arctic &amp; Antarctic Research Institute</t>
  </si>
  <si>
    <t>Fourteau, K; Martinerie, P (corresponding author), Univ Grenoble Alpes, CNRS, IRD, Grenoble INP,IGE, F-38000 Grenoble, France.</t>
  </si>
  <si>
    <t>kevin.fourteau@univ-grenoble-alpes.fr; patricia.martinerie@univ-grenoble-alpes.fr</t>
  </si>
  <si>
    <t>Martinerie, Patricia/N-5731-2017; Fourteau, Kevin/ITV-9385-2023; FAIN, Xavier/C-8645-2009; Ekaykin, Alexey/K-9894-2015</t>
  </si>
  <si>
    <t>Martinerie, Patricia/0000-0002-6820-2296; Fourteau, Kevin/0000-0002-9905-2446; FAIN, Xavier/0000-0002-4119-6025; Ekaykin, Alexey/0000-0001-9819-2802</t>
  </si>
  <si>
    <t>European Commission [291062]; H2020 Research Infrastructures [730258, 815384]; French CNRS; French ANR program RPD COCLICO [ANR-10-RPDOC-002-01]; Russian Science Foundation [18-17-00110]; Russian Science Foundation [18-17-00110] Funding Source: Russian Science Foundation</t>
  </si>
  <si>
    <t>European Commission(European Union (EU)European Commission Joint Research Centre); H2020 Research Infrastructures; French CNRS(Centre National de la Recherche Scientifique (CNRS)); French ANR program RPD COCLICO(Agence Nationale de la Recherche (ANR)); Russian Science Foundation(Russian Science Foundation (RSF)); Russian Science Foundation(Russian Science Foundation (RSF))</t>
  </si>
  <si>
    <t>This publication was generated in the frame of Beyond EPICA. The project has been supported by the European Commission, Seventh Framework Programme (ICE &amp; LASERS; grant no. 291062), and H2020 Research Infrastructures (BE-OI, grant no. 730258, and Beyond EPICA, grant no. 815384). It is supported by national partners and funding agencies in Belgium, Denmark, France, Germany, Italy, Norway, Sweden, Switzerland, the Netherlands, and the United Kingdom. Logistic support is mainly provided by ENEA and IPEV. This publication also benefited from financial support by the French CNRS INSU LEFE projects NEVE-CLIMAT and HEPIGANE, by the French ANR program RPD COCLICO (grant no. ANR-10-RPDOC-002-01), and by the Russian Science Foundation (grant no. 18-17-00110).</t>
  </si>
  <si>
    <t>MAR 11</t>
  </si>
  <si>
    <t>10.5194/cp-16-503-2020</t>
  </si>
  <si>
    <t>KU7GU</t>
  </si>
  <si>
    <t>WOS:000519882400001</t>
  </si>
  <si>
    <t>Schellenberg, L; Clarke, LJ</t>
  </si>
  <si>
    <t>Schellenberg, Lisa; Clarke, Laurence J.</t>
  </si>
  <si>
    <t>Spatial Structure of Marine Host-Associated Microbiomes: Effect of Taxonomy, Species Traits, and Study Design</t>
  </si>
  <si>
    <t>host-associated microbiome; biogeography; high-throughput sequencing; fish; coral; sponge; selection; dispersal</t>
  </si>
  <si>
    <t>CORAL-ASSOCIATED BACTERIA; IRCINIA SPP.; TOLL-LIKE; COMMUNITIES; BIOGEOGRAPHY; DIVERSITY; PATTERNS; SPONGES; MICROORGANISMS; EVOLUTION</t>
  </si>
  <si>
    <t>Marine host-associated microbiomes can strongly influence their host's function and are shaped by selection, dispersal, diversification, and drift. These processes can lead to spatially structured microbiomes, with potential implications for host fitness in different locations. We review the literature on marine host-associated microbiomes to identify if spatially structured microbiomes are more prevalent in certain taxonomic groups, are linked to species traits, or sampling design and methodology. The 28 papers analyzed represented 38 host species, with spatial structure detected in 75% of species, increasing to 83% when restricted to studies using high-throughput DNA sequencing. Spatial structure was detected in all coral and marine mammal microbiomes, but was less common in fish (69%) and sponges (46%). Mobile species and external tissues were more likely to show spatially structured microbiomes than sessile species and internal tissues. We found no relationship between spatial structuring and maximum distance between sampling sites, with studies on large (&gt;1000 km) and small spatial scales (&lt;100 km) almost as likely to show spatial structure (87% vs. 79%). Our results support using high-throughput sequencing for studying marine host-associated microbiomes due to better taxonomic resolution compared to other methods. Given the observed generality of spatially structured microbiomes, future studies should test whether microbiome variation between locations affects host fitness. Researchers should include sufficient environmental microbiome sampling and host data to distinguish host and environmental effects. This will help resolve the relative importance of selection, dispersal, diversification and drift in shaping marine host-associated microbiomes.</t>
  </si>
  <si>
    <t>[Schellenberg, Lisa; Clarke, Laurence J.] Univ Tasmania, Inst Marine &amp; Antarctic Studies, Hobart, Tas, Australia; [Clarke, Laurence J.] Univ Tasmania, Antarctic Climate &amp; Ecosyst Cooperat Res Ctr, Hobart, Tas, Australia</t>
  </si>
  <si>
    <t>University of Tasmania; Antarctic Climate &amp; Ecosystems Cooperative Research Centre (ACE CRC); University of Tasmania</t>
  </si>
  <si>
    <t>Schellenberg, L (corresponding author), Univ Tasmania, Inst Marine &amp; Antarctic Studies, Hobart, Tas, Australia.</t>
  </si>
  <si>
    <t>lisa.schellenberg@utas.edu.au</t>
  </si>
  <si>
    <t>Clarke, Laurence/N-3579-2017</t>
  </si>
  <si>
    <t>Clarke, Laurence/0000-0002-0844-4453</t>
  </si>
  <si>
    <t>Australian Government's Business Cooperative Research Centres Programme through the Antarctic Climate and Ecosystems Cooperative Research Centre (ACE CRC)</t>
  </si>
  <si>
    <t>Australian Government's Business Cooperative Research Centres Programme through the Antarctic Climate and Ecosystems Cooperative Research Centre (ACE CRC)(Australian GovernmentDepartment of Industry, Innovation and ScienceCooperative Research Centres (CRC) Programme)</t>
  </si>
  <si>
    <t>This work was supported by the Australian Government's Business Cooperative Research Centres Programme through the Antarctic Climate and Ecosystems Cooperative Research Centre (ACE CRC).</t>
  </si>
  <si>
    <t>10.3389/fmars.2020.00146</t>
  </si>
  <si>
    <t>KT4WQ</t>
  </si>
  <si>
    <t>WOS:000519015800001</t>
  </si>
  <si>
    <t>Friedlander, AM; Ballesteros, E; Bell, TW; Caselle, JE; Campagna, C; Goodell, W; Hüne, M; Muñoz, A; Salinas-de-León, P; Sala, E; Dayton, PK</t>
  </si>
  <si>
    <t>Friedlander, Alan M.; Ballesteros, Enric; Bell, Tom W.; Caselle, Jennifer E.; Campagna, Claudio; Goodell, Whitney; Hune, Mathias; Munoz, Alex; Salinas-de-Leon, Pelayo; Sala, Enric; Dayton, Paul K.</t>
  </si>
  <si>
    <t>Kelp forests at the end of the earth: 45 years later</t>
  </si>
  <si>
    <t>ANTARCTIC CIRCUMPOLAR WAVE; MACROCYSTIS-PYRIFERA; CLIMATE-CHANGE; BEAGLE CHANNEL; LOS-ESTADOS; ECOLOGY; SOUTH; DYNAMICS; ISLA; ASSEMBLAGES</t>
  </si>
  <si>
    <t>The kelp forests of southern South America are some of the least disturbed on the planet. The remoteness of this region has, until recently, spared it from many of the direct anthropogenic stressors that have negatively affected these ecosystems elsewhere. Re-surveys of 11 locations at the easternmost extent of Tierra del Fuego originally conducted in 1973 showed no significant differences in the densities of adult and juvenile Macrocystis pyrifera kelp or kelp holdfast diameter between the two survey periods. Additionally, sea urchin assemblage structure at the same sites were not significantly different between the two time periods, with the dominant species Loxechinus albus accounting for 66.3% of total sea urchin abundance in 2018 and 61.1% in 1973. Time series of Landsat imagery of the region from 1998 to 2018 showed no long-term trends in kelp canopy over the past 20 years. However, similar to 4-year oscillations in canopy fraction were observed and were strongly and negatively correlated with the NOAA Multivariate ENSO index and sea surface temperature. More extensive surveying in 2018 showed significant differences in benthic community structure between exposed and sheltered locations. Fish species endemic to the Magellanic Province accounted for 73% of all nearshore species observed and from 98-100% of the numerical abundance enumerated at sites. Fish assemblage structure varied significantly among locations and wave exposures. The recent creation of the Yaganes Marine Park is an important step in protecting this unique and biologically rich region; however, the nearshore waters of the region are currently not included in this protection. There is a general lack of information on changes in kelp forests over long time periods, making a global assessment difficult. A complete picture of how these ecosystems are responding to human pressures must also include remote locations and locations with little to no impact.</t>
  </si>
  <si>
    <t>[Friedlander, Alan M.; Goodell, Whitney; Munoz, Alex; Salinas-de-Leon, Pelayo; Sala, Enric] Natl Geog Soc, Pristine Seas, Washington, DC 20036 USA; [Friedlander, Alan M.; Goodell, Whitney] Hawaii Inst Marine Biol, Kaneohe, HI 96744 USA; [Ballesteros, Enric] CSIC, Ctr Estudis Avancats CEAB, Blanes, Spain; [Bell, Tom W.] Univ Calif Santa Barbara, Earth Res Inst, Santa Barbara, CA 93106 USA; [Caselle, Jennifer E.] Univ Calif Santa Barbara, Marine Sci Inst, Santa Barbara, CA 93106 USA; [Campagna, Claudio] Wildlife Conservat Soc, Buenos Aires, DF, Argentina; [Hune, Mathias] Fdn Ictiol, Santiago, Chile; [Salinas-de-Leon, Pelayo] Charles Darwin Res Stn, Puerto Ayora, Galapagos Islan, Ecuador; [Dayton, Paul K.] Univ Calif San Diego, Scripps Inst Oceanog, San Diego, CA 92103 USA</t>
  </si>
  <si>
    <t>National Geographic Society; Consejo Superior de Investigaciones Cientificas (CSIC); CSIC - Centre d'Estudis Avancats de Blanes (CEAB); University of California System; University of California Santa Barbara; University of California System; University of California Santa Barbara; University of California System; University of California San Diego; Scripps Institution of Oceanography</t>
  </si>
  <si>
    <t>Friedlander, AM (corresponding author), Natl Geog Soc, Pristine Seas, Washington, DC 20036 USA.;Friedlander, AM (corresponding author), Hawaii Inst Marine Biol, Kaneohe, HI 96744 USA.</t>
  </si>
  <si>
    <t>alan.friedlander@hawaii.edu</t>
  </si>
  <si>
    <t>Hüne, Mathias/ABE-6000-2020; Ballesteros, Enric/K-6497-2012</t>
  </si>
  <si>
    <t>Salinas-de-Leon, Pelayo/0000-0001-9155-8373</t>
  </si>
  <si>
    <t>Brooks Foundation; Keith Campbell Foundation for the Environment; Case Foundation; Leonardo DiCaprio Foundation; Davidoff; Don Quixote Foundation; Roger and Rosemary Enrico Foundation; Helmsley Charitable Trust; Lindblad Expeditions-National Geographic Fund; Philip Stephenson Foundation; Waitt Foundation; National Geographic Society</t>
  </si>
  <si>
    <t>Brooks Foundation; Keith Campbell Foundation for the Environment; Case Foundation; Leonardo DiCaprio Foundation; Davidoff; Don Quixote Foundation; Roger and Rosemary Enrico Foundation; Helmsley Charitable Trust; Lindblad Expeditions-National Geographic Fund; Philip Stephenson Foundation; Waitt Foundation; National Geographic Society(National Geographic Society)</t>
  </si>
  <si>
    <t>We received funding from The Brooks Foundation, The Keith Campbell Foundation for the Environment, The Case Foundation, Leonardo DiCaprio Foundation, Davidoff, The Don Quixote Foundation, Roger and Rosemary Enrico Foundation, Helmsley Charitable Trust, Lindblad Expeditions-National Geographic Fund, Philip Stephenson Foundation, Vicki and Roger Sant, The Waitt Foundation, and The National Geographic Society. The funders had no role in study design, data collection and analysis, decision to publish, or preparation of the manuscript.</t>
  </si>
  <si>
    <t>e0229259</t>
  </si>
  <si>
    <t>10.1371/journal.pone.0229259</t>
  </si>
  <si>
    <t>LQ8YS</t>
  </si>
  <si>
    <t>WOS:000535284700020</t>
  </si>
  <si>
    <t>Shukla, T; Mehta, M; Dobhal, DP; Bohra, A; Pratap, B; Kumar, A</t>
  </si>
  <si>
    <t>Shukla, Tanuj; Mehta, Manish; Dobhal, D. P.; Bohra, Archna; Pratap, Bhanu; Kumar, Anil</t>
  </si>
  <si>
    <t>Late-Holocene climate response and glacial fluctuations revealed by the sediment record of the monsoon-dominated Chorabari Lake, Central Himalaya</t>
  </si>
  <si>
    <t>HOLOCENE</t>
  </si>
  <si>
    <t>Chorabari Lake; glacial variability; Himalaya; late-Holocene climate</t>
  </si>
  <si>
    <t>LATE QUATERNARY GLACIATION; ASIAN SOUTHWEST MONSOON; INDIAN CENTRAL HIMALAYA; MOUNT EVEREST; ICE-AGE; GARHWAL HIMALAYA; TIBETAN PLATEAU; JUNE 2013; VALLEY; HISTORY</t>
  </si>
  <si>
    <t>We studied a periglacial lake situated in the monsoon-dominated Central Himalaya where an interplay of monsoonal precipitation and glacial fluctuations during the late Holocene is well preserved. A major catastrophe occurred on 16-17 June 2013, with heavy rains causing rupturing of the moraine-dammed Chorabari Lake located in the Mandakini basin, Central Himalaya, and exposed 8-m-thick section of the lacustrine strata. We reconstructed the late-Holocene climatic variability in the region using multi-parametric approach including magnetic, mineralogical and chemical (XRF) properties of sediments, paired with grain size and optically simulated luminescence (OSL) dating. The OSL chronology suggests that the lake was formed by a lateral moraine during the deglaciation phase of Chorabari Glacier between 4.2 and 3.9 ka and thereafter the lake deposited about 8-m-thick sediment sequence in the past 2.3 ka. The climatic reconstruction of the lake broadly represents the late-Holocene glacial chronology of the Central Himalaya coupled with many short-term climatic perturbations recorded at a peri-glacial lake setting. The major climatic phases inferred from the study suggests (1) a cold period between 260 BCE and 270 CE, (2) warmer conditions between 900 and 1260 CE for glacial recession and (3) glacial conditions between similar to 1370 and 1720 CE when the glacier gained volume probably during the 'Little Ice Age' (LIA). We suggest a high glacial sensitivity to climatic variability in the monsoon-dominated region of the Himalaya.</t>
  </si>
  <si>
    <t>[Shukla, Tanuj; Dobhal, D. P.; Bohra, Archna; Pratap, Bhanu] Wadia Inst Himalayan Geol, Ctr Glaciol, Dehra Dun, Uttarakhand, India; [Shukla, Tanuj] Indian Inst Technol Kanpur, Kanpur, Uttar Pradesh, India; [Mehta, Manish; Kumar, Anil] Wadia Inst Himalayan Geol, 33 GMS Rd, Dehra Dun 248001, Uttarakhand, India; [Bohra, Archna] Cent Univ Punjab, Dept Geog &amp; Geol, Bathinda, India; [Pratap, Bhanu] ESSO Natl Ctr Antarctic &amp; Ocean Res, Headland Sada, India</t>
  </si>
  <si>
    <t>Department of Science &amp; Technology (India); Wadia Institute of Himalayan Geology (WIHG); Indian Institute of Technology System (IIT System); Indian Institute of Technology (IIT) - Kanpur; Department of Science &amp; Technology (India); Wadia Institute of Himalayan Geology (WIHG); Central University of Punjab; Ministry of Earth Sciences (MoES) - India; National Centre for Polar and Ocean Research (NCPOR)</t>
  </si>
  <si>
    <t>Mehta, M (corresponding author), Wadia Inst Himalayan Geol, 33 GMS Rd, Dehra Dun 248001, Uttarakhand, India.</t>
  </si>
  <si>
    <t>msmehta75@gmail.com</t>
  </si>
  <si>
    <t>Shukla, Tanuj/AAO-3444-2020; Kumar, Anil/K-3768-2014</t>
  </si>
  <si>
    <t>Kumar, Anil/0000-0003-1559-8589; Bohra, Dr. Archna/0000-0003-0597-0885</t>
  </si>
  <si>
    <t>Department of Science and Technology (DST), New Delhi; Wadia Institute of Himalayan Geology (WIHG), Dehradun</t>
  </si>
  <si>
    <t>Department of Science and Technology (DST), New Delhi(Department of Science &amp; Technology (India)); Wadia Institute of Himalayan Geology (WIHG), Dehradun(Department of Science &amp; Technology (India))</t>
  </si>
  <si>
    <t>The author(s) received financial support from Department of Science and Technology (DST), New Delhi, and Wadia Institute of Himalayan Geology (WIHG), Dehradun for the research, authorship and/or publication of this article.</t>
  </si>
  <si>
    <t>SAGE PUBLICATIONS LTD</t>
  </si>
  <si>
    <t>1 OLIVERS YARD, 55 CITY ROAD, LONDON EC1Y 1SP, ENGLAND</t>
  </si>
  <si>
    <t>0959-6836</t>
  </si>
  <si>
    <t>1477-0911</t>
  </si>
  <si>
    <t>Holocene</t>
  </si>
  <si>
    <t>10.1177/0959683620908654</t>
  </si>
  <si>
    <t>MD8YJ</t>
  </si>
  <si>
    <t>WOS:000523807800001</t>
  </si>
  <si>
    <t>Li, DY; Saxton, RD; Yuan, WM; Sun, LM; Liu, HY; Jiang, N; Cheng, HQ; Zhou, HY; Komossa, S; Jin, CC</t>
  </si>
  <si>
    <t>Li, Dongyue; Saxton, R. D.; Yuan, Weimin; Sun, Luming; Liu, He-Yang; Jiang, Ning; Cheng, Huaqing; Zhou, Hongyan; Komossa, S.; Jin, Chichuan</t>
  </si>
  <si>
    <t>Multiwavelength Study of an X-Ray Tidal Disruption Event Candidate in NGC 5092</t>
  </si>
  <si>
    <t>SUPERMASSIVE BLACK-HOLES; STAR-FORMING GALAXIES; DIGITAL SKY SURVEY; INFRARED-EMISSION; HOST GALAXIES; FOLLOW-UP; CALIBRATION; OUTBURST; LINE; ULTRAVIOLET</t>
  </si>
  <si>
    <t>We present multiwavelength studies of a transient X-ray source, XMMSL1.J131952.3+225958, associated with the galaxy NGC 5092 at z.=.0.023 detected in the XMM-Newton SLew survey (XMMSL). The source brightened in the 0.2-2 keV band by a factor of&gt;20 in 2005 as compared with previous flux limits and then faded by a factor of &gt;200 as observed with XMM-Newton in 2013 and with Swift in 2018. At the flaring state the X-ray spectrum can be modeled with a blackbody at a temperature of 60 eV and an overall luminosity of 1.5 ' 1043 erg s-1. A UV flare and optical flare were also detected with the Galaxy Evolution Explorer and the Sloan Digital Sky Survey, respectively, within several months of the X-ray flare, whose nonstellar UV-optical spectrum can be described with a blackbody at a temperature of (1-2) ' 104 K and a luminosity of (2-6) ' 1043 erg s-1. Interestingly, mid-infrared monitoring observations of NGC 5092 with the Wide-field Infrared Survey Explorer 5-13 yr later show a continuous flux decline. These dramatic variability properties, from the X-ray through UV and optical to infrared, appear to be orderly, suggestive of a stellar tidal disruption event (TDE) by a massive black hole, confirming the postulation by Kanner et al. This TDE candidate belongs to a rare sample with contemporaneous bright emission detected in the X-ray, UV, and optical, which are later echoed by dust-reprocessed light in the midinfrared. The black hole has a mass of5 ' 107 M., residing in a galaxy that is dominated by a middle-aged stellar population of 2.5 Gyr.</t>
  </si>
  <si>
    <t>[Li, Dongyue; Yuan, Weimin; Liu, He-Yang; Cheng, Huaqing; Jin, Chichuan] Chinese Acad Sci, Natl Astron Observ, Key Lab Space Astron &amp; Technol, 20A Datun Rd, Beijing 100101, Peoples R China; [Li, Dongyue; Yuan, Weimin; Liu, He-Yang; Cheng, Huaqing; Jin, Chichuan] Univ Chinese Acad Sci, Sch Astron &amp; Space Sci, 19A Yuquan Rd, Beijing 100049, Peoples R China; [Saxton, R. D.] Telespazio Vega UK ESA, Euporean Space Astron Ctr, Operat Dept, E-28691 Villanueva De La Canada, Spain; [Sun, Luming; Jiang, Ning; Zhou, Hongyan] Univ Sci &amp; Technol China, Dept Astron, Key Lab Res Galaxies &amp; Cosmol, Hefei 230026, Anhui, Peoples R China; [Sun, Luming; Jiang, Ning; Zhou, Hongyan] Univ Sci &amp; Technol China, Sch Astron &amp; Space Sci, Hefei 230026, Anhui, Peoples R China; [Zhou, Hongyan] Polar Res Inst China, Antarctic Astron Res Div, Sci State Ocean Adm, Key Lab Polar Sci, 451 Jinqiao Rd, Shanghai 20136, Peoples R China; [Komossa, S.] Max Planck Inst Radioastron, Hugel 69, D-53121 Bonn, Germany; [Komossa, S.] Chinese Acad Sci, Natl Astron Observ, Key Lab Space Sci Astron &amp; Technol, 20A Datun Rd, Beijing 100101, Peoples R China</t>
  </si>
  <si>
    <t>Chinese Academy of Sciences; National Astronomical Observatory, CAS; Chinese Academy of Sciences; University of Chinese Academy of Sciences, CAS; Thales Group; Chinese Academy of Sciences; University of Science &amp; Technology of China, CAS; Chinese Academy of Sciences; University of Science &amp; Technology of China, CAS; Polar Research Institute of China; Max Planck Society; Chinese Academy of Sciences; National Astronomical Observatory, CAS</t>
  </si>
  <si>
    <t>Li, DY (corresponding author), Chinese Acad Sci, Natl Astron Observ, Key Lab Space Astron &amp; Technol, 20A Datun Rd, Beijing 100101, Peoples R China.;Li, DY (corresponding author), Univ Chinese Acad Sci, Sch Astron &amp; Space Sci, 19A Yuquan Rd, Beijing 100049, Peoples R China.</t>
  </si>
  <si>
    <t>dyli@nao.cas.cn; wmy@nao.cas.cn</t>
  </si>
  <si>
    <t>Jiang, Ning/0000-0002-7152-3621; Liu, Heyang/0000-0002-2412-5751; Jin, Chichuan/0000-0002-2006-1615; Saxton, Richard/0000-0002-4912-2477; Huaqing, Cheng/0000-0003-4200-9954</t>
  </si>
  <si>
    <t>National Natural Science Foundation of China [11803047, 11833007, 11873054]; Strategic Pioneer Program on Space Science, Chinese Academy of Sciences [XDA15310300, XDA15052100]; Faculty of the European Space Astronomy Centre (ESAC); ESA Member States; NASA [NAS5-98034]; National Aeronautics and Space Administration; National Science Foundation; gravitational wave pilot B [XDB23040100]</t>
  </si>
  <si>
    <t>National Natural Science Foundation of China(National Natural Science Foundation of China (NSFC)); Strategic Pioneer Program on Space Science, Chinese Academy of Sciences; Faculty of the European Space Astronomy Centre (ESAC); ESA Member States(European Space Agency); NASA(National Aeronautics &amp; Space Administration (NASA)); National Aeronautics and Space Administration(National Aeronautics &amp; Space Administration (NASA)); National Science Foundation(National Science Foundation (NSF)); gravitational wave pilot B</t>
  </si>
  <si>
    <t>This work is supported by the National Natural Science Foundation of China (grant Nos. 11803047, 11833007, and 11873054), the gravitational wave pilot B (grant No. XDB23040100), and the Strategic Pioneer Program on Space Science, Chinese Academy of Sciences, grant Nos. XDA15310300 and XDA15052100, and we acknowledge the support from the Faculty of the European Space Astronomy Centre (ESAC). Tinggui Wang is warmly thanked for his helpful suggestions and comments. This work is mainly based on observations obtained with XMM-Newton, an ESA science mission with instruments and contributions directly funded by ESA Member States and NASA. This work also makes use of data products from ROSAT, Swift, GALEX, SDSS, WISE, and 2MASS. We use the ROSAT Data Archive of the Max-Planck-Institute fur extraterrestrische Physik (MPE) at Garching, Germany. GALEX is operated for NASA by the California Institute of Technology under NASA contract NAS5-98034. WISE is a joint project of the University of California, Los Angeles, and the Jet Propulsion Laboratory/California Institute of Technology, funded by the National Aeronautics and Space Administration. 2MASS is a joint project of the University of Massachusetts and the Infrared Processing and Analysis Center/California Institute of Technology, funded by the National Aeronautics and Space Administration and the National Science Foundation. We acknowledge the use of public data from the Swift and SDSS data archive.</t>
  </si>
  <si>
    <t>MAR 10</t>
  </si>
  <si>
    <t>10.3847/1538-4357/ab744a</t>
  </si>
  <si>
    <t>KV1PF</t>
  </si>
  <si>
    <t>Bronze, Green Submitted</t>
  </si>
  <si>
    <t>WOS:000520196800001</t>
  </si>
  <si>
    <t>Mah, CL; Fujita, T</t>
  </si>
  <si>
    <t>Mah, Christopher L.; Fujita, Toshihiko</t>
  </si>
  <si>
    <t>New species and occurrence records of Japanese Solasteridae and Ganeriidae including a new species of Paralophaster from the North Pacific with an overview of Hyalinothrix</t>
  </si>
  <si>
    <t>ZOOTAXA</t>
  </si>
  <si>
    <t>deep-sea; Japan; taxonomy; classification; Asterinidae; Solasteridae; Ganeriidae; Asterinidae</t>
  </si>
  <si>
    <t>SEA STAR; ASTEROIDEA; ECHINODERMATA; POPULATION; RESPONSES; ASTERINA; PHYLOGENY; VELATIDA; ISLANDS; NUCLEAR</t>
  </si>
  <si>
    <t>Japanese waters contain a highly diverse echinoderm fauna including many undiscovered species, especially in deeper-water settings. Molecular phylogenetic data has shown a close relationship between three established families of asteroids, the Asterinidae, the Solasteridae and the Ganeriidae, which are three groups that are well-represented in the region. We present two undescribed species of solasterids, Lophaster cactorum n. sp. and Paralophaster gomo n. sp., the latter represents a genus which had previously been known primarily from Antarctic settings. New occurrence records of the tropical deep-sea Pacific solasterid Rhipidaster vannipes Sladen, 1889 has led to synonymy of Xenorias polyctenius Fisher, 1913. Three undescribed species of Hyalinothrix, Hyalinothrix diversus n. sp., Hyaliothrix enoki n. sp. and Hyalinothrix virtrispinum n. sp. are described. Nepanthia grangei McKnight, 2001 is transferred to Hyalinothrix. A new subfamily, the Hyalinothricinae is established within the Asterinidae, including Tarachaster and Seriaster, which was formerly assigned to the Solasteridae. Knightaster is reassigned to the Asterinidae from the Ganeriidae.</t>
  </si>
  <si>
    <t>[Mah, Christopher L.] Natl Museumn Nat Hist, Dept Invertebrate Zool, Washington, DC 20560 USA; [Fujita, Toshihiko] Natl Museum Nat &amp; Sci, Dept Zool, Amakubo 4-1-1, Tsukuba, Ibaraki 3050005, Japan</t>
  </si>
  <si>
    <t>National Museum of Nature and Science</t>
  </si>
  <si>
    <t>Mah, CL (corresponding author), Natl Museumn Nat Hist, Dept Invertebrate Zool, Washington, DC 20560 USA.</t>
  </si>
  <si>
    <t>brisinga@gmail.com; fujita@kahaku.go.jp</t>
  </si>
  <si>
    <t>Mah, Christopher/0000-0002-0178-8237</t>
  </si>
  <si>
    <t>The specimens examined in NSMT were mostly collected through the integrated research projects conducted by NSMT. We thank the captains, officers, scientists and crew members of the following research vessels (R/V) Tansei-maru, Kotaka-maru, Soyo-maru, Shin'yo-maru, Koyo, and Yoko-maru, T/S Toyoshio-maru, fishing boats Chogoro-maru and Seishin-maru and for their help in collecting specimens. The authors are grateful to Ms. Courtney Wickel and Amanda Robinson, USNM for their assistance with types and specimen requests. Kate Neill at the New Zealand Institute of Water and Atmosphere (NIWA) is graciously thanked for assistance with photographs of types. Thanks to Christine Piotrowski, Elizabeth Kools, Terry Gosliner, and Rich Mooi for assistance with type specimen deposition at CAS. Marivene Santos at the National Museum of the Philippines (NMEC) graciously provided collections and cataloging assistance. Dan Blake and Loic Villier are thanked for their critical comments which greatly improved the manuscript. This work was financially supported by the integrated research Geological, biological, and anthropological histories in relation to the Kuroshio Current and the special grant by Director-General for International collaboration on collection building and taxonomic studies of echinoderms, both conducted by the National Museum of Nature and Science.</t>
  </si>
  <si>
    <t>MAGNOLIA PRESS</t>
  </si>
  <si>
    <t>AUCKLAND</t>
  </si>
  <si>
    <t>PO BOX 41383, AUCKLAND, ST LUKES 1030, NEW ZEALAND</t>
  </si>
  <si>
    <t>1175-5326</t>
  </si>
  <si>
    <t>1175-5334</t>
  </si>
  <si>
    <t>Zootaxa</t>
  </si>
  <si>
    <t>10.11646/zootaxa.4750.1.4</t>
  </si>
  <si>
    <t>Zoology</t>
  </si>
  <si>
    <t>KT2IP</t>
  </si>
  <si>
    <t>WOS:000518838300004</t>
  </si>
  <si>
    <t>Daane, JM; Dornburg, A; Smits, P; MacGuigan, DJ; Hawkins, MB; Near, TJ; Detrich, HW; Harris, MP</t>
  </si>
  <si>
    <t>Daane, Jacob M.; Dornburg, Alex; Smits, Patrick; MacGuigan, Daniel J.; Hawkins, M. Brent; Near, Thomas J.; Detrich, H. William, III; Harris, Matthew P.</t>
  </si>
  <si>
    <t>Historical contingency shapes adaptive radiation in Antarctic fishes (vol 3, pg 1102, 2019)</t>
  </si>
  <si>
    <t>NATURE ECOLOGY &amp; EVOLUTION</t>
  </si>
  <si>
    <t>An amendment to this paper has been published and can be accessed via a link at the top of the paper.</t>
  </si>
  <si>
    <t>j.daane@northeastern.edu; w.detrich@northeastern.edu; harris@genetics.med.harvard.edu</t>
  </si>
  <si>
    <t>Dornburg, Alex/CAF-1206-2022</t>
  </si>
  <si>
    <t>Harris, Matthew/0000-0002-7201-4693; Hawkins, Michael/0000-0002-5164-2893; Daane, Jacob/0000-0003-3631-4514</t>
  </si>
  <si>
    <t>American Heart Association Postdoctoral Fellowship [17POST33660801]; National Institutes of Health (NIH) [U01DE024434]; John Simon Guggenheim Fellowship</t>
  </si>
  <si>
    <t>American Heart Association Postdoctoral Fellowship(American Heart Association); National Institutes of Health (NIH)(United States Department of Health &amp; Human ServicesNational Institutes of Health (NIH) - USA); John Simon Guggenheim Fellowship</t>
  </si>
  <si>
    <t>The original sentence This work was supported in part by American Heart Association Postdoctoral Fellowship (No. 17POST33660801) to J.M.D., the John Simon Guggenheim Fellowship... should have read as follows: This work was supported in part by American Heart Association Postdoctoral Fellowship (No. 17POST33660801) to J.M.D., the National Institutes of Health (NIH) (No. U01DE024434), the John Simon Guggenheim Fellowship.... This has now been amended.</t>
  </si>
  <si>
    <t>2397-334X</t>
  </si>
  <si>
    <t>NAT ECOL EVOL</t>
  </si>
  <si>
    <t>Nat. Ecol. Evol.</t>
  </si>
  <si>
    <t>10.1038/s41559-020-1169-7</t>
  </si>
  <si>
    <t>Ecology; Evolutionary Biology</t>
  </si>
  <si>
    <t>Environmental Sciences &amp; Ecology; Evolutionary Biology</t>
  </si>
  <si>
    <t>KZ1EI</t>
  </si>
  <si>
    <t>WOS:000518883000001</t>
  </si>
  <si>
    <t>Cubaynes, HC; Rees, WG; Jackson, JA; Moore, M; Sformo, TL; McLellan, WA; Niemeyer, ME; George, JC; van der Hoop, J; Forcada, J; Trathan, P; Fretwell, PT</t>
  </si>
  <si>
    <t>Cubaynes, Hannah C.; Rees, W. Gareth; Jackson, Jennifer A.; Moore, Michael; Sformo, Todd L.; McLellan, William A.; Niemeyer, Misty E.; George, John C.; van der Hoop, Julie; Forcada, Jaume; Trathan, Phil; Fretwell, Peter T.</t>
  </si>
  <si>
    <t>Spectral reflectance of whale skin above the sea surface: a proposed measurement protocol</t>
  </si>
  <si>
    <t>REMOTE SENSING IN ECOLOGY AND CONSERVATION</t>
  </si>
  <si>
    <t>Population monitoring; reflectance; spectroradiometer; VHRsatellite; whales</t>
  </si>
  <si>
    <t>ABUNDANCE; COLOR; MANAGEMENT</t>
  </si>
  <si>
    <t>Great whales have been detected using very-high-resolution satellite imagery, suggesting this technology could be used to monitor whales in remote areas. However, the application of this method to whale studies is at an early developmental stage and several technical factors need to be addressed, including capacity for species differentiation and the maximum depth of detection in the water column. Both require knowledge of the spectral reflectance of the various whale species just above the sea surface, as when whales bodies break the surface of the water to breath, log or breach, there is, at times, no sea water between the whale's skin and the satellite sensor. Here we tested whether such reflectance could be measured on dead whale tissue. We measured the spectral reflectance of fresh integument collected during the bowhead subsistence harvest, and of thawed integument samples from various species obtained following strandings and stored at -20 degrees C. We show that fresh and thawed samples of whale integument have different spectral properties. The reflectance of fresh samples was higher than the reflectance of thawed samples, as integument appears to darken after death and with time, even under frozen conditions. In this study, we present the first whale reflectance estimates (without the influence of sea water and for dead tissue). These provide a baseline for additional work, needed to advance the use of satellite imagery to monitor whales and facilitate their conservation.</t>
  </si>
  <si>
    <t>[Cubaynes, Hannah C.; Jackson, Jennifer A.; Forcada, Jaume; Trathan, Phil; Fretwell, Peter T.] British Antarctic Survey, Madingley Rd, Cambridge CB3 0ET, England; [Cubaynes, Hannah C.; Rees, W. Gareth] Univ Cambridge, Scott Polar Res Inst, Lensfield Rd, Cambridge CB2 1ER, England; [Moore, Michael; van der Hoop, Julie] Woods Hole Oceanog Inst, Biol Dept, Woods Hole, MA 02543 USA; [Sformo, Todd L.; George, John C.] Dept Wildlife Management, POB 69, Barrow, AK 99723 USA; [Sformo, Todd L.] Univ Alaska Fairbanks, Inst Arctic Biol, Fairbanks, AK 99775 USA; [McLellan, William A.] Univ North Carolina Wilmington, Biol &amp; Marine Biol, 601 South Coll Rd, Wilmington, NC 28403 USA; [Niemeyer, Misty E.] Int Fund Anim Welf, 290 Summer St, Yarmouth Port, MA 02675 USA; [van der Hoop, Julie] Aarhus Univ, Dept Biosci, DK-8000 Aarhus C, Denmark</t>
  </si>
  <si>
    <t>UK Research &amp; Innovation (UKRI); Natural Environment Research Council (NERC); NERC British Antarctic Survey; University of Cambridge; Woods Hole Oceanographic Institution; University of Alaska System; University of Alaska Fairbanks; University of North Carolina; University of North Carolina Wilmington; Aarhus University</t>
  </si>
  <si>
    <t>Cubaynes, HC (corresponding author), British Antarctic Survey, Madingley Rd, Cambridge CB3 0ET, England.</t>
  </si>
  <si>
    <t>hannah.cubaynes@gmail.com</t>
  </si>
  <si>
    <t>Forcada, Jaume/GYU-0677-2022; Jackson, Jennifer A/E-7997-2013; Rees, William Gareth/AAM-9701-2020</t>
  </si>
  <si>
    <t>Rees, William Gareth/0000-0001-6020-1232; Cubaynes, Hannah/0000-0002-9497-154X; van der Hoop, Julie/0000-0003-2327-9000; Sformo, Todd/0000-0003-4833-2007; Jackson, Jennifer/0000-0003-4158-1924</t>
  </si>
  <si>
    <t>MAVA Foundation [16035]; NERC; BB Roberts Fund; Cambridge Philosophical Society [S54/104/18]; Prescott Stranding grants; NERC [NE/S013385/1, bas0100035, bas010011, fsf010001] Funding Source: UKRI</t>
  </si>
  <si>
    <t>MAVA Foundation; NERC(UK Research &amp; Innovation (UKRI)Natural Environment Research Council (NERC)); BB Roberts Fund; Cambridge Philosophical Society; Prescott Stranding grants; NERC(UK Research &amp; Innovation (UKRI)Natural Environment Research Council (NERC))</t>
  </si>
  <si>
    <t>We are thankful for the financial support of the MAVA Foundation (project 16035 'Studying whales from space'), NERC, BB Roberts Fund, and the Cambridge Philosophical Society (S54/104/18) and Prescott Stranding grants to UNCW. We are also thankful to NERC Field Spectroscopy facility for lending us a 'Spectralon' reflectance standard. We are grateful for the incredible support from the Barrow Whaling Captains Association, the North Slope Borough Department of Wildlife Management, Emma Shanahan and the IFAW's team and Carrie Rowlands, Laura Murley and Tiffany Keenan-Bateman from the UNCW crew for helping us sort out and access the whale integument samples. Thank you to the many staff and volunteers over the years who assisted with post-mortem exams and collected the samples used for this study. We thank Billy Mills and Danny L. Buss for their generosity in sharing their statistical knowledge. The samples of whale integument were collected under the following permit: Stranding Agreements between the NOAA, National Marine Fisheries Service and network participants: IFAW and UNCW, NOAA stranding Letter of Authorization to UNCW, NOAA Marine Mammal Health and Stranding Response Permits 932-1489, 932-1905, 17355, 18786 and 18786, Authorization from the NOAA NMFS NE Regional Office, NE and SE US NMFS MMPA Regional Letters of Authorization, under NMFS permit to Dr Teri Rowles. The integument samples from the bowhead subsistence harvest used to measure the reflectance were under the NMFS Permit No. 21386, however, samples were not retained.</t>
  </si>
  <si>
    <t>111 RIVER ST, HOBOKEN, NJ 07030 USA</t>
  </si>
  <si>
    <t>2056-3485</t>
  </si>
  <si>
    <t>REMOTE SENS ECOL CON</t>
  </si>
  <si>
    <t>Remote Sens. Ecol. Conserv.</t>
  </si>
  <si>
    <t>10.1002/rse2.155</t>
  </si>
  <si>
    <t>Ecology; Remote Sensing</t>
  </si>
  <si>
    <t>Environmental Sciences &amp; Ecology; Remote Sensing</t>
  </si>
  <si>
    <t>NR1TW</t>
  </si>
  <si>
    <t>WOS:000562310600001</t>
  </si>
  <si>
    <t>Zemo, DA</t>
  </si>
  <si>
    <t>Zemo, Dawn A.</t>
  </si>
  <si>
    <t>Letter to Editor regarding Pudasaini et al. 2019, Characterization of polar metabolites and evaluation of their potential toxicity in hydrocarbon contaminated Antarctic soil elutriates. Science of Total Environment, v689, 390-397</t>
  </si>
  <si>
    <t>[Zemo, Dawn A.] Zemo &amp; Associates Inc, Incline Village, NV 89451 USA</t>
  </si>
  <si>
    <t>Zemo, DA (corresponding author), Zemo &amp; Associates Inc, Incline Village, NV 89451 USA.</t>
  </si>
  <si>
    <t>dazemo@zemoassociates.com</t>
  </si>
  <si>
    <t>10.1016/j.scitotenv.2019.135471</t>
  </si>
  <si>
    <t>KD5SL</t>
  </si>
  <si>
    <t>WOS:000507925700086</t>
  </si>
  <si>
    <t>Taylor, AR; Bardadóttir, T; Auffret, S; Bombosch, A; Cusick, AL; Falk, E; Lynnes, A</t>
  </si>
  <si>
    <t>Taylor, Audrey R.; Bardadottir, Thorny; Auffret, Sarah; Bombosch, Annette; Cusick, Allison Lee; Falk, Edda; Lynnes, Amanda</t>
  </si>
  <si>
    <t>Arctic expedition cruise tourism and citizen science: a vision for the future of polar tourism</t>
  </si>
  <si>
    <t>JOURNAL OF TOURISM FUTURES</t>
  </si>
  <si>
    <t>Education; Citizen science; Arctic tourism; Arctic monitoring; Arctic observing; Expedition cruise industry</t>
  </si>
  <si>
    <t>Purpose The purpose of this paper is to provide a conceptual framework for using citizen science - defined as a data collection method through which non-professionals engage in contributing to authentic scientific inquiry - within the expedition cruise industry to contribute significantly to the collection of environmental data from hard-to-access Arctic areas. Design/methodology/approach The authors review trends in Arctic expedition cruise tourism and current needs in Arctic research and monitoring, and clarify where the expedition cruise tourism industry could have the most impact by providing data to the scientific community. The authors also compare the regulatory context in the Antarctic to that in the Arctic and discuss how these differences could affect the widespread use of citizen science. At last, the authors describe some general principles for designing citizen science programs to be successful on board, and highlight several existing programs that are being recognized for their contributions to a greater scientific understanding of the Arctic. Findings The authors find that citizen science data from the expedition cruise industry are underutilized as a tool for monitoring Arctic change. Numerous examples illustrate how citizen science programs on-board expedition ships can successfully collect robust scientific data and contribute to enhancing the knowledge and stewardship capacity of cruise passengers. Inclusion of citizen science data from the expedition cruise industry should be considered a critical part of international Arctic observing networks and systems. Social implications Active participation in Arctic citizen science by tourists on expedition cruise ships has many potential benefits beyond the collection of high quality data, from increasing passengers' knowledge and understanding of the Arctic while on board, to affecting their attitudes and behaviors after they return home. Originality/value The potential for tourism to contribute to Arctic observing systems has been discussed previously in the scientific literature; the authors narrow the focus to citizen science programs in the expedition cruise industry, and provide concrete examples, in the hope that this will streamline acceptance and implementation of these ideas by researchers and tourism practitioners.</t>
  </si>
  <si>
    <t>[Taylor, Audrey R.] Univ Alaska Anchorage, Dept Geog &amp; Environm Studies, Anchorage, AK 99508 USA; [Taylor, Audrey R.] Arctic Res Consortium Us, Fairbanks, AK 99709 USA; [Bardadottir, Thorny] Iceland Tourism Res Ctr, Akureyri, Iceland; [Auffret, Sarah; Falk, Edda] Assoc Arctic Expedit Cruise Operators AECO, Longyearbyen, Norway; [Bombosch, Annette] Polar Citizen Sci Collect, Leicester, Leics, England; [Cusick, Allison Lee] Univ Calif San Diego, Scripps Inst Oceanog, San Diego, CA 92103 USA; [Lynnes, Amanda] Int Assoc Antarctica Tour Operators IAATO, South Kingstown, RI USA</t>
  </si>
  <si>
    <t>University of Alaska System; University of Alaska Anchorage; University of California System; University of California San Diego; Scripps Institution of Oceanography</t>
  </si>
  <si>
    <t>Taylor, AR (corresponding author), Univ Alaska Anchorage, Dept Geog &amp; Environm Studies, Anchorage, AK 99508 USA.;Taylor, AR (corresponding author), Arctic Res Consortium Us, Fairbanks, AK 99709 USA.</t>
  </si>
  <si>
    <t>artaylor@alaska.edu</t>
  </si>
  <si>
    <t>Bardadottir, THorny/0000-0001-8415-7846; Cusick, Allison/0000-0002-1372-2016</t>
  </si>
  <si>
    <t>University of Alaska Anchorage; National Science Foundation Public Participation in STEM Research [PLR-1443705]; Scripps Institution of Oceanography's Michael M. Mullin Fellowship (2018-2019); Hurtigruten Foundation</t>
  </si>
  <si>
    <t>University of Alaska Anchorage; National Science Foundation Public Participation in STEM Research; Scripps Institution of Oceanography's Michael M. Mullin Fellowship (2018-2019); Hurtigruten Foundation</t>
  </si>
  <si>
    <t>A. Taylor thanks the University of Alaska Anchorage for time and travel funding to support this work during the academic year 2018-2019 sabbatical. The FjordPhyto project is supported in part by a National Science Foundation Public Participation in STEM Research extension to NSF Award No. PLR-1443705 (2017-2018), the Scripps Institution of Oceanography's Michael M. Mullin Fellowship (2018-2019), the Hurtigruten Foundation, and many generous donors through the University of California San Diego's Crowdsurf campaign (2018-present). The authors thank an anonymous reviewer for their suggestions, which significantly improved the manuscript.</t>
  </si>
  <si>
    <t>EMERALD GROUP PUBLISHING LTD</t>
  </si>
  <si>
    <t>BINGLEY</t>
  </si>
  <si>
    <t>HOWARD HOUSE, WAGON LANE, BINGLEY BD16 1WA, W YORKSHIRE, ENGLAND</t>
  </si>
  <si>
    <t>2055-5911</t>
  </si>
  <si>
    <t>2055-592X</t>
  </si>
  <si>
    <t>J TOUR FUTURES</t>
  </si>
  <si>
    <t>J. Tour. Futures</t>
  </si>
  <si>
    <t>MAR 9</t>
  </si>
  <si>
    <t>10.1108/JTF-06-2019-0051</t>
  </si>
  <si>
    <t>Hospitality, Leisure, Sport &amp; Tourism</t>
  </si>
  <si>
    <t>Social Sciences - Other Topics</t>
  </si>
  <si>
    <t>OK5OO</t>
  </si>
  <si>
    <t>gold</t>
  </si>
  <si>
    <t>WOS:000584699900009</t>
  </si>
  <si>
    <t>Hoffmann, K; Fernandoy, F; Meyer, H; Thomas, ER; Aliaga, M; Tetzner, D; Freitag, J; Opel, T; Arigony-Neto, J; Gobel, CF; Jaña, R; Oroz, DR; Tuckwell, R; Ludlow, E; Mcconnell, JR; Schneider, C</t>
  </si>
  <si>
    <t>Hoffmann, Kirstin; Fernandoy, Francisco; Meyer, Hanno; Thomas, Elizabeth R.; Aliaga, Marcelo; Tetzner, Dieter; Freitag, Johannes; Opel, Thomas; Arigony-Neto, Jorge; Gobel, Christian Florian; Jana, Ricardo; Rodriguez Oroz, Delia; Tuckwell, Rebecca; Ludlow, Emily; Mcconnell, Joseph R.; Schneider, Christoph</t>
  </si>
  <si>
    <t>Stable water isotopes and accumulation rates in the Union Glacier region, Ellsworth Mountains, West Antarctica, over the last 35 years</t>
  </si>
  <si>
    <t>DRONNING MAUD-LAND; SURFACE MASS-BALANCE; NINO-SOUTHERN-OSCILLATION; SHALLOW FIRN CORES; FIMBUL ICE SHELF; 20TH-CENTURY INCREASE; CLIMATE VARIABILITY; HYDROGEN-PEROXIDE; ANNULAR MODES; DOME-C</t>
  </si>
  <si>
    <t>Antarctica is well known to be highly susceptible to atmospheric and oceanic warming. However, due to the lack of long-term and in situ meteorological observations, little is known about the magnitude of the warming and the meteorological conditions in the intersection region between the Antarctic Peninsula (AP), the West Antarctic Ice Sheet (WAIS) and the East Antarctic Ice Sheet (EAIS). Here we present new stable water isotope data (delta O-18, delta D, d excess) and accumulation rates from firn cores in the Union Glacier (UG) region, located in the Ellsworth Mountains at the northern edge of the WAIS. The firn core stable oxygen isotopes and the d excess exhibit no statistically significant trend for the period 1980-2014, suggesting that regional changes in near-surface air temperature and moisture source variability have been small during the last 35 years. Backward trajectory modelling revealed the Weddell Sea sector, Coats Land and Dronning Maud Land (DML) to be the main moisture source regions for the study site throughout the year. We found that mean annual delta O-18 (delta D) values in the UG region are negatively correlated with sea ice concentrations (SICs) in the northern Weddell Sea but not influenced by large-scale modes of climate variability such as the Southern Annular Mode (SAM) and the El Nino-Southern Oscillation (ENSO). Only mean annual d-excess values show a weak positive correlation with the SAM. On average annual snow accumulation in the UG region amounts to 0.245m w.e. a(-1) in 1980-2014 and has slightly decreased during this period. It is only weakly related to sea ice conditions in the Weddell Sea sector and not correlated with SAM and ENSO. We conclude that neither the rapid warming nor the large increases in snow accumulation observed on the AP and in West Antarctica during the last decades have extended inland to the Ellsworth Mountains. Hence, the UG region, although located at the northern edge of the WAIS and relatively close to the AP, exhibits rather stable climate characteristics similar to those observed in East Antarctica.</t>
  </si>
  <si>
    <t>[Hoffmann, Kirstin; Schneider, Christoph] Humboldt Univ, Geograph Inst, Unter Linden 6, D-10099 Berlin, Germany; [Hoffmann, Kirstin; Meyer, Hanno; Opel, Thomas] Alfred Wegener Inst, Helmholtz Ctr Polar &amp; Marine Res, Res Unit Potsdam, Telegrafenberg A45, D-14473 Potsdam, Germany; [Fernandoy, Francisco; Aliaga, Marcelo] Univ Nacl Andres Bello, Fac Ingn, Quillota 980, Vina Del Mar 2531015, Chile; [Thomas, Elizabeth R.; Tetzner, Dieter; Tuckwell, Rebecca; Ludlow, Emily] British Antarctic Survey, Ice Dynam &amp; Paleoclimate, Madingley Rd, Cambridge CB3 0ET, England; [Tetzner, Dieter] Univ Cambridge, Dept Earth Sci, Downing St, Cambridge CB2 3EQ, England; [Freitag, Johannes] Alfred Wegener Inst, Helmholtz Ctr Polar &amp; Marine Res, Alten Hafen 26, D-27568 Bremerhaven, Germany; [Opel, Thomas] Univ Sussex, Permafrost Lab, Dept Geog, Brighton BN1 9QJ, E Sussex, England; [Arigony-Neto, Jorge; Gobel, Christian Florian] Univ Fed Rio Grande, Inst Oceanog, Lab Monitoramento Criosfera, Ave Italia,Km 8, BR-96203900 Rio Grande, RS, Brazil; [Jana, Ricardo] Inst Antartico Chileno, Dept Cient, Plaza Munoz Gamero 1055, Punta Arenas 6200965, Chile; [Rodriguez Oroz, Delia] Univ Desarrollo, Fac Ingn, Ave Plaza 680, Santiago 7610658, Chile; [Mcconnell, Joseph R.] Desert Res Inst, Div Hydrol Sci, 2215 Raggio Parkway, Reno, NV 89512 USA</t>
  </si>
  <si>
    <t>Humboldt University of Berlin; Helmholtz Association; Alfred Wegener Institute, Helmholtz Centre for Polar &amp; Marine Research; Universidad Andres Bello; UK Research &amp; Innovation (UKRI); Natural Environment Research Council (NERC); NERC British Antarctic Survey; University of Cambridge; Helmholtz Association; Alfred Wegener Institute, Helmholtz Centre for Polar &amp; Marine Research; University of Sussex; Universidade Federal do Rio Grande; Universidad del Desarrollo; Nevada System of Higher Education (NSHE); Desert Research Institute NSHE</t>
  </si>
  <si>
    <t>Hoffmann, K (corresponding author), Humboldt Univ, Geograph Inst, Unter Linden 6, D-10099 Berlin, Germany.;Hoffmann, K (corresponding author), Alfred Wegener Inst, Helmholtz Ctr Polar &amp; Marine Res, Res Unit Potsdam, Telegrafenberg A45, D-14473 Potsdam, Germany.</t>
  </si>
  <si>
    <t>kirstin.hoffmann@awi.de</t>
  </si>
  <si>
    <t>Meyer, Hanno/AAQ-4260-2021; Jaña, Ricardo/AAR-1225-2020; Thomas, Elizabeth Ruth/ADF-3660-2022; Opel, Thomas/O-9037-2014</t>
  </si>
  <si>
    <t>Meyer, Hanno/0000-0003-4129-4706; Jaña, Ricardo/0000-0003-3319-1168; Thomas, Elizabeth Ruth/0000-0002-3010-6493; Arigony-Neto, Jorge/0000-0003-4848-2064; Gobel, Christian/0000-0002-2646-6437; Opel, Thomas/0000-0003-1315-8256; Rodriguez, Maria Delia/0000-0002-9859-485X; Freitag, Johannes/0000-0003-2654-9440; Hoffmann, Kirstin/0000-0002-8009-6369</t>
  </si>
  <si>
    <t>FONDECYT [11121551]; Elsa-Neumann PhD scholarship - state of Berlin, Germany; NERC [bas0100034] Funding Source: UKRI</t>
  </si>
  <si>
    <t>FONDECYT(Comision Nacional de Investigacion Cientifica y Tecnologica (CONICYT)CONICYT FONDECYT); Elsa-Neumann PhD scholarship - state of Berlin, Germany; NERC(UK Research &amp; Innovation (UKRI)Natural Environment Research Council (NERC))</t>
  </si>
  <si>
    <t>The presented work was partially funded by the FONDECYT project 11121551. Kirstin Hoffmann was funded by an Elsa-Neumann PhD scholarship awarded by the state of Berlin, Germany.</t>
  </si>
  <si>
    <t>10.5194/tc-14-881-2020</t>
  </si>
  <si>
    <t>KU4UB</t>
  </si>
  <si>
    <t>WOS:000519704900001</t>
  </si>
  <si>
    <t>Rogers, DC; Severo-Neto, F; Volcan, MV; De los Ríos, P; Epele, LB; Ferreira, AO; Rabet, N</t>
  </si>
  <si>
    <t>Rogers, D. Christopher; Severo-Neto, Francisco; Volcan, Matheus Vieira; De los Rios, Patricio; Epele, Luis B.; Ferreira, Aloisio O.; Rabet, Nicolas</t>
  </si>
  <si>
    <t>Comments and records on the large branchiopod Crustacea (Anostraca, Notostraca, Laevicaudata, Spinicaudata, Cyclestherida) of the Neotropical and Antarctic bioregions</t>
  </si>
  <si>
    <t>STUDIES ON NEOTROPICAL FAUNA AND ENVIRONMENT</t>
  </si>
  <si>
    <t>Fairy shrimp; tadpole shrimp; clam shrimp; Spiralifrons mira; Leptestheriidae; distribution</t>
  </si>
  <si>
    <t>COLOMBIAN CONCHOSTRACA CRUSTACEA; DENDROCEPHALUS-BRASILIENSIS PESTA; N. SP BRANCHIOPODA; FAIRY SHRIMP; CLAM SHRIMP; BRANCHINECTA CRUSTACEA; ECOLOGICAL ASPECTS; 1ST RECORD; LIMNADIIDAE BRANCHIOPODA; MORPHOLOGICAL DIVERSITY</t>
  </si>
  <si>
    <t>The large branchiopod crustacean fauna (fairy shrimp, tadpole shrimp and clam shrimp) of the Neotropical Bioregion are incompletely known, with scattered records for many taxa, and many new taxa discovered and described regularly. As an aid to furthering our knowledge of the group in this region, we present an assortment of notes and records on various Neotropical taxa. We present our information in the form of a checklist, listing all reported species, with a review of their known distribution, with 56 new distributional records for 29 taxa. We also include a revised description of Spiralifrons mira based on new material from Brazil, and provide important comments on the Leptestheriidae, reducing Strakrabiidae, Straskrabia, and Brtekia to synonymy. The information presented here will assist in additional studies, surveys, and conservation, as well as help develop a biogeographical understanding of this vast region. Thus, we have compiled these records so that it will be available to other researchers. Future survey efforts will undoubtedly reveal additional records and taxa.</t>
  </si>
  <si>
    <t>[Rogers, D. Christopher] Univ Kansas, Kansas Biol Survey, Lawrence, KS 66045 USA; [Rogers, D. Christopher] Univ Kansas, Nat Hist Museum, Biodivers Inst, Lawrence, KS 66045 USA; [Severo-Neto, Francisco] Univ Fed Mato Grosso do Sul, Ctr Ciencias Biol &amp; Saude, Campo Grande, MS, Brazil; [Volcan, Matheus Vieira] Inst Propampa Ippampa, Lab Ictiol, Pelotas, RS, Brazil; [De los Rios, Patricio] Univ Catolica Temuco, Fac Recursos Nat, Dept Ciencias Biol &amp; Quim, Temuco, Chile; [De los Rios, Patricio] UC Temuco, Nucleo Estudios Ambientales, Temuco, Chile; [Epele, Luis B.] UNPSJB, CONICET, Ctr Invest Esquel Montana &amp; Estepa Patagon, Esquel, Argentina; [Ferreira, Aloisio O.] MUNDI Biol Integrada Ltda, Belo Horizonte, MG, Brazil; [Rabet, Nicolas] Univ Antilles, Univ Caen Normandie,Museum Natl Hist Nat, Univ Pierre &amp; Marie Curie,Sorbonne Univ,CNRS,IRD, UMR 7208,Unite Biol Organismes &amp; Ecosyst Aquat BO, Paris, France</t>
  </si>
  <si>
    <t>University of Kansas; University of Kansas; Universidade Federal de Mato Grosso do Sul; Universidad Catolica de Temuco; Consejo Nacional de Investigaciones Cientificas y Tecnicas (CONICET); Universite de Caen Normandie; Centre National de la Recherche Scientifique (CNRS); CNRS - Institute of Ecology &amp; Environment (INEE); Institut de Recherche pour le Developpement (IRD); Museum National d'Histoire Naturelle (MNHN); Sorbonne Universite</t>
  </si>
  <si>
    <t>Rogers, DC (corresponding author), Univ Kansas, Kansas Biol Survey, Lawrence, KS 66045 USA.;Rogers, DC (corresponding author), Univ Kansas, Nat Hist Museum, Biodivers Inst, Lawrence, KS 66045 USA.</t>
  </si>
  <si>
    <t>Branchiopod@gmail.com</t>
  </si>
  <si>
    <t>De los Rios Escalante, Patricio R./E-2775-2014; Rogers, D. Christopher/O-4256-2019</t>
  </si>
  <si>
    <t>De los Rios Escalante, Patricio R./0000-0001-5056-7003; Rogers, D. Christopher/0000-0003-3335-7287; ferreira, aloisio/0000-0001-9667-4728; Severo-Neto, Francisco/0000-0002-1912-8237</t>
  </si>
  <si>
    <t>MECESUP UCT [0804]</t>
  </si>
  <si>
    <t>MECESUP UCT</t>
  </si>
  <si>
    <t>D.C.R. wishes to first and foremost thank R.G. Cohen for fruitful discussions, direction, advice and literature. Her knowledge of the fauna is very extensive, and we are grateful to have learned so much from her. We are all grateful to those who supplied material to us and helped in the collections: M. Archangelsky, J. Coronel, R. Hirano, A.C. Hulse, M.A. Ivie, S. Lacau, L.E. Lanes, K. Questel, D. Pillet, K.A.L. Reading, E.W. Roessler, J.B. Runyan, W.D. Shepard, and the late D. Belk. P.D.L.'s funding source was MECESUP UCT 0804, and P.D.L. is grateful to M.I. and S.M.A. for logistical support in specimen collections.</t>
  </si>
  <si>
    <t>TAYLOR &amp; FRANCIS LTD</t>
  </si>
  <si>
    <t>ABINGDON</t>
  </si>
  <si>
    <t>2-4 PARK SQUARE, MILTON PARK, ABINGDON OR14 4RN, OXON, ENGLAND</t>
  </si>
  <si>
    <t>0165-0521</t>
  </si>
  <si>
    <t>1744-5140</t>
  </si>
  <si>
    <t>STUD NEOTROP FAUNA E</t>
  </si>
  <si>
    <t>Stud. Neotrop. Fauna Environ.</t>
  </si>
  <si>
    <t>JAN 2</t>
  </si>
  <si>
    <t>10.1080/01650521.2020.1728879</t>
  </si>
  <si>
    <t>QP2CT</t>
  </si>
  <si>
    <t>WOS:000518716200001</t>
  </si>
  <si>
    <t>Barthel, A; Agosta, C; Little, CM; Hattermann, T; Jourdain, NC; Goelzer, H; Nowicki, S; Seroussi, H; Straneo, F; Bracegirdle, TJ</t>
  </si>
  <si>
    <t>Barthel, Alice; Agosta, Cecile; Little, Christopher M.; Hattermann, Tore; Jourdain, Nicolas C.; Goelzer, Heiko; Nowicki, Sophie; Seroussi, Helene; Straneo, Fiammetta; Bracegirdle, Thomas J.</t>
  </si>
  <si>
    <t>CMIP5 model selection for ISMIP6 ice sheet model forcing: Greenland and Antarctica</t>
  </si>
  <si>
    <t>SURFACE MASS-BALANCE; AMUNDSEN SEA EMBAYMENT; REGIONAL CLIMATE; TEMPERATURE BIASES; SOUTHERN-OCEAN; SHELF CAVITY; CIRCULATION; PROJECTIONS; MELTWATER; DRAINAGE</t>
  </si>
  <si>
    <t>The ice sheet model intercomparison project for CMIP6 (ISMIP6) effort brings together the ice sheet and climate modeling communities to gain understanding of the ice sheet contribution to sea level rise. ISMIP6 conducts stand-alone ice sheet experiments that use space- and time-varying forcing derived from atmosphere-ocean coupled global climate models (AOGCMs) to reflect plausible trajectories for climate projections. The goal of this study is to recommend a subset of CMIP5 AOGCMs (three core and three targeted) to produce forcing for ISMIP6 stand-alone ice sheet simulations, based on (i) their representation of current climate near Antarctica and Greenland relative to observations and (ii) their ability to sample a diversity of projected atmosphere and ocean changes over the 21st century. The selection is performed separately for Greenland and Antarctica. Model evaluation over the historical period focuses on variables used to generate ice sheet forcing. For stage (i), we combine metrics of atmosphere and surface ocean state (annual- and seasonal-mean variables over large spatial domains) with metrics of time-mean subsurface ocean temperature biases averaged over sectors of the continental shelf. For stage (ii), we maximize the diversity of climate projections among the best-performing models. Model selection is also constrained by technical limitations, such as availability of required data from RCP2.6 and RCP8.5 projections. The selected top three CMIP5 climate models are CCSM4, MIROC-ESM-CHEM, and NorESM1-M for Antarctica and HadGEM2-ES, MIROC5, and NorESM1-M for Greenland. This model selection was designed specifically for ISMIP6 but can be adapted for other applications.</t>
  </si>
  <si>
    <t>[Barthel, Alice] Los Alamos Natl Lab, Los Alamos, NM 87545 USA; [Agosta, Cecile] Univ Paris Saclay, Lab Sci Climat &amp; Environm, LSCE IPSL, CEA CNRS UVSQ, F-91198 Gif Sur Yvette, France; [Little, Christopher M.] Atmospher &amp; Environm Res Inc, Lexington, MA USA; [Hattermann, Tore] Norwegian Polar Res Inst, Tromso, Norway; [Hattermann, Tore] Arctic Univ Univ Tromso, Dept Phys &amp; Technol, Energy &amp; Climate Grp, Tromso, Norway; [Jourdain, Nicolas C.] Univ Grenoble Alpes, IGE, CNRS, IRD,G INP, Grenoble, France; [Goelzer, Heiko] Univ Utrecht, Inst Marine &amp; Atmospher Res Utrecht, Utrecht, Netherlands; [Goelzer, Heiko] Univ Libre Bruxelles, Lab Glaciol, Brussels, Belgium; [Nowicki, Sophie] NASA GSFC, Cryospher Sci Branch, Greenbelt, MD USA; [Seroussi, Helene] CALTECH, Jet Prop Lab, Pasadena, CA USA; [Straneo, Fiammetta] Univ Calif San Diego, Scripps Inst Oceanog, La Jolla, CA 92093 USA; [Bracegirdle, Thomas J.] British Antarctic Survey, Cambridge, England</t>
  </si>
  <si>
    <t>United States Department of Energy (DOE); Los Alamos National Laboratory; Universite Paris Cite; CEA; Centre National de la Recherche Scientifique (CNRS); Universite Paris Saclay; Atmospheric &amp; Environmental Research; Norwegian Polar Institute; UiT The Arctic University of Tromso; Institut de Recherche pour le Developpement (IRD); Centre National de la Recherche Scientifique (CNRS); Communaute Universite Grenoble Alpes; Universite Grenoble Alpes (UGA); Utrecht University; Universite Libre de Bruxelles; National Aeronautics &amp; Space Administration (NASA); NASA Goddard Space Flight Center; National Aeronautics &amp; Space Administration (NASA); NASA Jet Propulsion Laboratory (JPL); California Institute of Technology; University of California System; University of California San Diego; Scripps Institution of Oceanography; UK Research &amp; Innovation (UKRI); Natural Environment Research Council (NERC); NERC British Antarctic Survey</t>
  </si>
  <si>
    <t>Barthel, A (corresponding author), Los Alamos Natl Lab, Los Alamos, NM 87545 USA.</t>
  </si>
  <si>
    <t>abarthel@lanl.gov</t>
  </si>
  <si>
    <t>Agosta, Cécile/HLQ-5577-2023; Barthel, Alice/AHE-2973-2022; Goelzer, Heiko/M-2367-2016; Seroussi, Helene/AAX-5342-2021; Agosta, Cecile/B-9625-2013; Jourdain, Nicolas/B-6899-2015</t>
  </si>
  <si>
    <t>Barthel, Alice/0000-0002-2481-8646; Goelzer, Heiko/0000-0002-5878-9599; Seroussi, Helene/0000-0001-9201-1644; Agosta, Cecile/0000-0003-4091-1653; Straneo, Fiammetta/0000-0002-1735-2366; Jourdain, Nicolas/0000-0002-1372-2235</t>
  </si>
  <si>
    <t>U.S. Department of Energy, Office of Science (RGMA program); U.S. Department of Energy, Office of Science (BER program grant); Agence Nationale de la Recherche [ANR-15-CE01-0005-01, ANR-15-CE01-0015]; Fondation Albert II de Monaco; National Science Foundation, Division of Polar Programs [1513396, 1744792]; Netherlands Earth System Science Centre [024.002.001]; NERC [NE/N018486/1]; National Science Foundation [1756272, 1916566]; NASA; Norwegian Research Council [231549, 280727]; NERC [NE/N018486/1, NE/N01829X/1, bas0100032] Funding Source: UKRI; Directorate For Geosciences; Office of Polar Programs (OPP) [1513396, 1744792] Funding Source: National Science Foundation; Division Of Ocean Sciences; Directorate For Geosciences [1756272] Funding Source: National Science Foundation; Agence Nationale de la Recherche (ANR) [ANR-15-CE01-0015, ANR-15-CE01-0005] Funding Source: Agence Nationale de la Recherche (ANR)</t>
  </si>
  <si>
    <t>U.S. Department of Energy, Office of Science (RGMA program)(United States Department of Energy (DOE)); U.S. Department of Energy, Office of Science (BER program grant)(United States Department of Energy (DOE)); Agence Nationale de la Recherche(Agence Nationale de la Recherche (ANR)); Fondation Albert II de Monaco; National Science Foundation, Division of Polar Programs(National Science Foundation (NSF)); Netherlands Earth System Science Centre; NERC(UK Research &amp; Innovation (UKRI)Natural Environment Research Council (NERC)); National Science Foundation(National Science Foundation (NSF)); NASA(National Aeronautics &amp; Space Administration (NASA)); Norwegian Research Council(Research Council of Norway); NERC(UK Research &amp; Innovation (UKRI)Natural Environment Research Council (NERC)); Directorate For Geosciences; Office of Polar Programs (OPP)(National Science Foundation (NSF)NSF - Directorate for Geosciences (GEO)); Division Of Ocean Sciences; Directorate For Geosciences(National Science Foundation (NSF)NSF - Directorate for Geosciences (GEO)); Agence Nationale de la Recherche (ANR)(Agence Nationale de la Recherche (ANR))</t>
  </si>
  <si>
    <t>This research has been supported by the U.S. Department of Energy, Office of Science (RGMA program and BER program grant), the Agence Nationale de la Recherche (grant no. ANR-15-CE01-0015 (AC-AHC2)), the Fondation Albert II de Monaco (project Antarctic-Snow grant), the National Science Foundation, Division of Polar Programs (grant nos. 1513396 and 1744792), the Agence Nationale de la Recherche (grant no. ANR-15-CE01-0005-01), the Netherlands Earth System Science Centre (grant no. 024.002.001), the NERC (grant no. NE/N018486/1), the National Science Foundation (grant nos. 1756272 and 1916566), NASA (Sea Level Change Team, and Modeling Analysis and Prediction Program grant), and the Norwegian Research Council (grant nos. 231549 and 280727).</t>
  </si>
  <si>
    <t>MAR 6</t>
  </si>
  <si>
    <t>10.5194/tc-14-855-2020</t>
  </si>
  <si>
    <t>KT2IH</t>
  </si>
  <si>
    <t>Green Submitted, gold, Green Published, Green Accepted</t>
  </si>
  <si>
    <t>WOS:000518837500001</t>
  </si>
  <si>
    <t>Ogier, E; Jennings, S; Fowler, A; Frusher, S; Gardner, C; Hamer, P; Hobday, AJ; Linanne, A; Mayfield, S; Mundy, C; Sullivan, A; Tuck, G; Ward, T; Pecl, G</t>
  </si>
  <si>
    <t>Ogier, Emily; Jennings, Sarah; Fowler, Anthony; Frusher, Stewart; Gardner, Caleb; Hamer, Paul; Hobday, Alistair J.; Linanne, Adrian; Mayfield, Stephan; Mundy, Craig; Sullivan, Andrew; Tuck, Geoff; Ward, Tim; Pecl, Gretta</t>
  </si>
  <si>
    <t>Responding to Climate Change: Participatory Evaluation of Adaptation Options for Key Marine Fisheries in Australia's South East</t>
  </si>
  <si>
    <t>adaptation options; climate change; commercial fisheries; evaluation; participation</t>
  </si>
  <si>
    <t>TRANSFORMATIONAL ADAPTATION; FISHING COMMUNITIES; MANAGEMENT; RESILIENCE; IMPACTS; VULNERABILITY; ENVIRONMENTS; BIODIVERSITY; STRATEGIES; FRAMEWORK</t>
  </si>
  <si>
    <t>Planned adaptation to climate impacts and subsequent vulnerabilities will necessarily interact with autonomous responses enabled within existing fisheries management processes and initiated by the harvest and post-harvest components of fishing industries. Optimal adaptation options are those which enable negative effects to be mitigated and opportunities that arise to be maximized, both in relation to specific climate-driven changes and the broader fisheries system. We developed a two-step participatory approach to evaluating adaption options for key fisheries in the fast-warming hotspot of south-eastern Australia. Four fisheries (southern rock lobster, abalone, snapper, and blue grenadier) were selected as case studies on the basis of their high to moderate vulnerability to climatic effects on species distribution and abundance. Involved stakeholders undertook a first pass screening assessment of options, by characterizing and then evaluating options. In the characterization step potential adaptation options for each fishery, contextualized by prior knowledge of each species' climate change exposure and sensitivity, were described using a characterization matrix. This matrix included: the specific climate vulnerability/challenges, the implications of each option on the fishery system as a whole, the temporal and spatial scales of implementation processes, and realized benefits and costs. In the evaluation step, semi-quantitative evaluation of options was undertaken by stakeholders scoring the anticipated performance of an option against a pre-determined set of criteria relating to perceived feasibility, risk (inclusive of potential costs), and benefit. Reduction of the total annual commercial catch as well as reductions in both effort and catch through spatial and temporal closures were the options scored as having the highest level of expected benefit and of feasibility and the lowest level of risk of negative outcomes overall. Our screening assessment represents a pragmatic approach to evaluate and compare support for and the effects of alternative adaptation options prior to committing to more detailed formal and resource intensive evaluation or implementation.</t>
  </si>
  <si>
    <t>[Ogier, Emily; Frusher, Stewart; Gardner, Caleb; Mundy, Craig; Pecl, Gretta] Univ Tasmania, Inst Marine &amp; Antarctic Studies, Hobart, Tas, Australia; [Ogier, Emily; Jennings, Sarah; Frusher, Stewart; Hobday, Alistair J.; Pecl, Gretta] Ctr Marine Socioecol, Hobart, Tas, Australia; [Jennings, Sarah] Univ Tasmania, Tasmanian Sch Business &amp; Econ, Hobart, Tas, Australia; [Fowler, Anthony; Linanne, Adrian; Mayfield, Stephan; Ward, Tim] South Australian Res &amp; Dev Inst, Adelaide, SA, Australia; [Hamer, Paul] Victorian Fisheries Author, Queenscliff, Vic, Australia; [Hobday, Alistair J.; Tuck, Geoff] CSIRO Oceans &amp; Atmosphere, Hobart, Tas, Australia; [Sullivan, Andrew] Fish Focus Consulting, Hobart, Tas, Australia</t>
  </si>
  <si>
    <t>University of Tasmania; University of Tasmania; South Australian Research &amp; Development Institute (SARDI); Commonwealth Scientific &amp; Industrial Research Organisation (CSIRO)</t>
  </si>
  <si>
    <t>Ogier, E (corresponding author), Univ Tasmania, Inst Marine &amp; Antarctic Studies, Hobart, Tas, Australia.;Ogier, E (corresponding author), Ctr Marine Socioecol, Hobart, Tas, Australia.</t>
  </si>
  <si>
    <t>Emily.Ogier@utas.edu.au</t>
  </si>
  <si>
    <t>Jennings, Sarah M/J-7888-2014; Hobday, Alistair/A-1460-2012; WARD, Timothy Mark/KDN-7596-2024; Mundy, Craig/G-3390-2014; Pecl, Gretta/D-7267-2011</t>
  </si>
  <si>
    <t>WARD, Timothy Mark/0000-0002-9003-2772; Mundy, Craig/0000-0002-1945-3750; Pecl, Gretta/0000-0003-0192-4339; Ogier, Emily/0000-0001-6157-5279</t>
  </si>
  <si>
    <t>Fisheries Research and Development Organization (FRDC) on behalf of the Australian Government [2011/039]; ARC Future Fellowship</t>
  </si>
  <si>
    <t>Fisheries Research and Development Organization (FRDC) on behalf of the Australian Government; ARC Future Fellowship(Australian Research Council)</t>
  </si>
  <si>
    <t>This study was undertaken as part of a research project funded by the Fisheries Research and Development Organization (FRDC) on behalf of the Australian Government (grant number 2011/039). The members of the wider project team are thanked for their support. They are as follows: Felipe Briceno, Klaas Hartmann, Jason Hartog, Eriko Hoshino, Bastien Le Bouhellec, Martin Marzloff, Sally Wayte. GP was supported by an ARC Future Fellowship.</t>
  </si>
  <si>
    <t>10.3389/fmars.2020.00097</t>
  </si>
  <si>
    <t>KS9LY</t>
  </si>
  <si>
    <t>WOS:000518631800001</t>
  </si>
  <si>
    <t>Smedley, ARD; Evatt, GW; Mallinson, A; Harvey, E</t>
  </si>
  <si>
    <t>Smedley, Andrew R. D.; Evatt, Geoffrey W.; Mallinson, Amy; Harvey, Eleanor</t>
  </si>
  <si>
    <t>Solar radiative transfer in Antarctic blue ice: spectral considerations, subsurface enhancement, inclusions, and meteorites</t>
  </si>
  <si>
    <t>SURFACE-ENERGY BALANCE; SEA-ICE; TRANSFER MODEL; SNOW; MELT; SCATTERING; SHEET; CYCLE</t>
  </si>
  <si>
    <t>We describe and validate a Monte Carlo model to track photons over the full range of solar wavelengths as they travel into optically thick Antarctic blue ice. The model considers both reflection and transmission of radiation at the surface of blue ice, scattering by air bubbles within it, and spectral absorption due to the ice. The ice surface is treated as planar whilst bubbles are considered to be spherical scattering centres using the Henyey-Greenstein approximation. Using bubble radii and number concentrations that are representative of Antarctic blue ice, we calculate spectral albedos and spectrally integrated downwelling and upwelling radiative fluxes as functions of depth and find that, relative to the incident irradiance, there is a marked subsurface enhancement in the downwelling flux and accordingly also in the mean irradiance. This is due to the interaction between the refractive air-ice interface and the scattering interior and is particularly notable at blue and UV wavelengths which correspond to the minimum of the absorption spectrum of ice. In contrast the absorption path length at IR wavelengths is short and consequently the attenuation is more complex than can be described by a simple Lambert-Beer style exponential decay law - instead we present a triple-exponential fit to the net irradiance against depth. We find that there is a moderate dependence on the solar zenith angle and surface conditions such as altitude and cloud optical depth. Representative broadband albedos for blue ice are calculated in the range from 0.585 to 0.621. For macroscopic absorbing inclusions we observe both geometry- and size-dependent self-shadowing that reduces the fractional irradiance incident on photon sinks and are subject to fluxes that are several times the magnitude of the single-scattering contribution. Such enhancement may have consequences for the energy budget in regions of the cryosphere where particulates are present near the surface. These results also have particular relevance to measurements of the internal radiation field: account must be taken of both self-shadowing and the optical effect of introducing the detector. Turning to the particular example of englacial meteorites, our modelling predicts iron meteorites to reside at much reduced depths than previously suggested in the literature (&lt; 10 cm vs. similar to 40 cm) and further shows a size dependency that may explain the observed bias in their Antarctic size distribution.</t>
  </si>
  <si>
    <t>[Smedley, Andrew R. D.] Univ Manchester, Dept Earth &amp; Environm Sci, Manchester M13 9PL, Lancs, England; [Smedley, Andrew R. D.; Evatt, Geoffrey W.; Mallinson, Amy; Harvey, Eleanor] Univ Manchester, Dept Math, Manchester M13 9PL, Lancs, England; [Harvey, Eleanor] Univ Leeds, EPSRC Ctr Doctoral Training Fluid Dynam, Leeds LS2 9JT, W Yorkshire, England</t>
  </si>
  <si>
    <t>University of Manchester; University of Manchester; University of Leeds; UK Research &amp; Innovation (UKRI); Engineering &amp; Physical Sciences Research Council (EPSRC)</t>
  </si>
  <si>
    <t>Smedley, ARD (corresponding author), Univ Manchester, Dept Earth &amp; Environm Sci, Manchester M13 9PL, Lancs, England.;Smedley, ARD (corresponding author), Univ Manchester, Dept Math, Manchester M13 9PL, Lancs, England.</t>
  </si>
  <si>
    <t>andrew.smedley@manchester.ac.uk</t>
  </si>
  <si>
    <t>Smedley, Andrew/N-7194-2019</t>
  </si>
  <si>
    <t>Smedley, Andrew/0000-0001-7137-6628</t>
  </si>
  <si>
    <t>Leverhulme Trust [RPG-2016-349]; EPSRC MAPLE Platform [EP/I01912X/1]; Paneth Meteorite Trust; EPSRC [EP/I01912X/1] Funding Source: UKRI</t>
  </si>
  <si>
    <t>Leverhulme Trust(Leverhulme Trust); EPSRC MAPLE Platform(UK Research &amp; Innovation (UKRI)Engineering &amp; Physical Sciences Research Council (EPSRC)); Paneth Meteorite Trust; EPSRC(UK Research &amp; Innovation (UKRI)Engineering &amp; Physical Sciences Research Council (EPSRC))</t>
  </si>
  <si>
    <t>This research has been supported by the The Leverhulme Trust (grant no. RPG-2016-349), the EPSRC MAPLE Platform (grant no. EP/I01912X/1), and the Paneth Meteorite Trust (Summer Bursary).</t>
  </si>
  <si>
    <t>MAR 5</t>
  </si>
  <si>
    <t>10.5194/tc-14-789-2020</t>
  </si>
  <si>
    <t>KT2BM</t>
  </si>
  <si>
    <t>WOS:000518817900001</t>
  </si>
  <si>
    <t>Gillet-Chaulet, F</t>
  </si>
  <si>
    <t>Gillet-Chaulet, Fabien</t>
  </si>
  <si>
    <t>Assimilation of surface observations in a transient marine ice sheet model using an ensemble Kalman filter</t>
  </si>
  <si>
    <t>PINE ISLAND GLACIER; SEA-LEVEL RISE; ALGORITHMIC DIFFERENTIATION; ERROR REPRESENTATION; WEST ANTARCTICA; STREAM-B; FLOW; SENSITIVITY; RESOLUTION; DYNAMICS</t>
  </si>
  <si>
    <t>Marine-based sectors of the Antarctic Ice Sheet are increasingly contributing to sea level rise. The basal conditions exert an important control on the ice dynamics and can be propitious to instabilities in the grounding line position. Because the force balance is non-inertial, most ice flow models are now equipped with time-independent inverse methods to constrain the basal conditions from observed surface velocities. However, transient simulations starting from this initial state usually suffer from inconsistencies and are not able to reproduce observed trends. Here, using a synthetic flow line experiment, we assess the performance of an ensemble Kalman filter for the assimilation of transient observations of surface elevation and velocities in a marine ice sheet model. The model solves the shallow shelf equation for the force balance and the continuity equation for ice thickness evolution. The position of the grounding line is determined by the floatation criterion. The filter analysis estimates both the state of the model, represented by the surface elevation, and the basal conditions, with the simultaneous inversion of the basal friction and topography. The idealised experiment reproduces a marine ice sheet that is in the early stage of an unstable retreat. Using observation frequencies and uncertainties consistent with current observing systems, we find that the filter allows the accurate recovery of both the basal friction and topography after few assimilation cycles with relatively small ensemble sizes. In addition it is found that assimilating the surface observations has a positive impact on constraining the evolution of the grounding line during the assimilation window. Using the initialised state to perform century-scale forecast simulations, we show that grounding line retreat rates are in agreement with the reference; however remaining uncertainties in the basal conditions may lead to significant delays in the initiation of the unstable retreat. These results are encouraging for the application to real glacial systems.</t>
  </si>
  <si>
    <t>[Gillet-Chaulet, Fabien] Univ Grenoble Alpes, CNRS, IRD, IGE, F-38000 Grenoble, France</t>
  </si>
  <si>
    <t>Institut de Recherche pour le Developpement (IRD); Centre National de la Recherche Scientifique (CNRS); Communaute Universite Grenoble Alpes; Universite Grenoble Alpes (UGA)</t>
  </si>
  <si>
    <t>Gillet-Chaulet, F (corresponding author), Univ Grenoble Alpes, CNRS, IRD, IGE, F-38000 Grenoble, France.</t>
  </si>
  <si>
    <t>fabien.gillet-chaulet@univ-grenoble-alpes.fr</t>
  </si>
  <si>
    <t>French National Research Agency (ANR) through the TROIS-AS project [ANR-15-CE01-0005-01]</t>
  </si>
  <si>
    <t>French National Research Agency (ANR) through the TROIS-AS project(Agence Nationale de la Recherche (ANR))</t>
  </si>
  <si>
    <t>This research has been supported by the French National Research Agency (ANR) through the TROIS-AS project (grant no. ANR-15-CE01-0005-01).</t>
  </si>
  <si>
    <t>10.5194/tc-14-811-2020</t>
  </si>
  <si>
    <t>WOS:000518817900002</t>
  </si>
  <si>
    <t>Bryndum-Buchholz, A; Prentice, F; Tittensor, DP; Blanchard, JL; Cheung, WWL; Christensen, V; Galbraith, ED; Maury, O; Lotze, HK</t>
  </si>
  <si>
    <t>Bryndum-Buchholz, Andrea; Prentice, Faelan; Tittensor, Derek P.; Blanchard, Julia L.; Cheung, William W. L.; Christensen, Villy; Galbraith, Eric D.; Maury, Olivier; Lotze, Heike K.</t>
  </si>
  <si>
    <t>Differing marine animal biomass shifts under 21st century climate change between Canada's three oceans</t>
  </si>
  <si>
    <t>FACETS</t>
  </si>
  <si>
    <t>climate change; ensemble modeling; marine ecosystem models; Canada Exclusive Economic Zone; Fish-MIP; projection uncertainty</t>
  </si>
  <si>
    <t>NORTHERN CANADA; GLOBAL OCEAN; ECOSYSTEMS; FISHERIES; PROJECTIONS; IMPACTS; STABILIZATION; DEOXYGENATION; PATHWAY; COASTAL</t>
  </si>
  <si>
    <t>Under climate change, species composition and abundances in high-latitude waters are expected to substantially reconfigure with consequences for trophic relationships and ecosystem services. Outcomes are challenging to project at national scales, despite their importance for management decisions. Using an ensemble of six global marine ecosystem models we analyzed marine ecosystem responses to climate change from 1971 to 2099 in Canada's Exclusive Economic Zone (EEZ) under four standardized emissions scenarios. By 2099, under business-as-usual emissions (RCP8.5) projected marine animal biomass declined by an average of -7.7% (+/- 29.5%) within the Canadian EEZ, dominated by declines in the Pacific (-24% +/- 24.5%) and Atlantic (-25.5% +/- 9.5%) areas; these were partially compensated by increases in the Canadian Arctic (+26.2% +/- 38.4%). Lower emissions scenarios projected successively smaller biomass changes, highlighting the benefits of stronger mitigation targets. Individual model projections were most consistent in the Atlantic and Pacific, but highly variable in the Arctic due to model uncertainties in polar regions. Different trajectories of future marine biomass changes will require regional-specific responses in conservation and management strategies, such as adaptive planning of marine protected areas and species-specific management plans, to enhance resilience and rebuilding of Canada's marine ecosystems and commercial fish stocks.</t>
  </si>
  <si>
    <t>[Bryndum-Buchholz, Andrea; Prentice, Faelan; Tittensor, Derek P.; Lotze, Heike K.] Dalhousie Univ, Dept Biol, 1355 Oxford St, Oxford, NS B3H 4R2, Canada; [Blanchard, Julia L.] Univ Tasmania, Inst Marine &amp; Antarctic Studies, 20 Castray Esplanade, Battery Point, Tas 7004, Australia; [Blanchard, Julia L.] Univ Tasmania, Ctr Marine Socioecol, 20 Castray Esplanade, Battery Point, Tas 7004, Australia; [Blanchard, Julia L.] Private Bag 129, Hobart, Tas 7001, Australia; [Cheung, William W. L.] Univ British Columbia, Inst Oceans &amp; Fisheries, Nippon Fdn, UBC Nereus Program, Vancouver, BC V6T 1Z4, Canada; [Cheung, William W. L.] Univ British Columbia, Inst Oceans &amp; Fisheries, Changing Ocean Res Unit, Vancouver, BC V6T 1Z4, Canada; [Christensen, Villy] Univ British Columbia, Inst Oceans &amp; Fisheries, Vancouver, BC V6T 1Z4, Canada; [Galbraith, Eric D.] ICREA, Barcelona 08010, Spain; [Galbraith, Eric D.] Univ Autonoma Barcelona, ICTA, Dept Math, E-08193 Barcelona, Spain; [Maury, Olivier] Univ Montpellier, IRD, MARBEC, IFREMER,CNRS, F-34203 Sete, France; [Maury, Olivier] Univ Cape Town, Marine Res Inst, Dept Oceanog, ZA-7701 Rondebosch, South Africa</t>
  </si>
  <si>
    <t>Dalhousie University; University of Tasmania; University of Tasmania; University of British Columbia; University of British Columbia; University of British Columbia; ICREA; Autonomous University of Barcelona; Institut de Recherche pour le Developpement (IRD); Universite de Montpellier; Centre National de la Recherche Scientifique (CNRS); Ifremer; University of Cape Town</t>
  </si>
  <si>
    <t>Bryndum-Buchholz, A (corresponding author), Dalhousie Univ, Dept Biol, 1355 Oxford St, Oxford, NS B3H 4R2, Canada.</t>
  </si>
  <si>
    <t>andrea.buchholz@dal.ca</t>
  </si>
  <si>
    <t>Tittensor, Derek P./AAV-1117-2021; Blanchard, Julia L/E-4919-2010; Maury, Olivier/I-4513-2013; Cheung, William/F-5104-2013; Christensen, Villy/C-3945-2009</t>
  </si>
  <si>
    <t>Tittensor, Derek P./0000-0002-9550-3123; Maury, Olivier/0000-0002-7999-9982; Christensen, Villy/0000-0003-0688-2633; Bryndum-Buchholz, Andrea/0000-0002-7635-7845</t>
  </si>
  <si>
    <t>German Federal Ministry of Education and Research (BMBF) through the InterSectoral Impact Model Intercomparison Project (ISI-MIP) [01LS1201A1]; Canada First Research Excellence Fund Ocean Frontier Institute (OFI): Safe and Sustainable Development of the Ocean Frontier (Module G); NSERC CREATE Transatlantic Ocean Science and Technology Program; OFI; Kanne Rasmussen Foundation Denmark; Natural Sciences and Engineering Research Council (NSERC) of Canada; European Research Council under the European Union's Horizon 2020 research and innovation program [682602]; French Agence Nationale de la Recherche and Pole de Calcul et de DonneesMarines; Nippon Foundation Nereus program; Social Sciences and Humanities Research Council (SSHRC) of Canada through the Oceans Canada Partnership</t>
  </si>
  <si>
    <t>German Federal Ministry of Education and Research (BMBF) through the InterSectoral Impact Model Intercomparison Project (ISI-MIP)(Federal Ministry of Education &amp; Research (BMBF)); Canada First Research Excellence Fund Ocean Frontier Institute (OFI): Safe and Sustainable Development of the Ocean Frontier (Module G); NSERC CREATE Transatlantic Ocean Science and Technology Program(Natural Sciences and Engineering Research Council of Canada (NSERC)); OFI; Kanne Rasmussen Foundation Denmark; Natural Sciences and Engineering Research Council (NSERC) of Canada(Natural Sciences and Engineering Research Council of Canada (NSERC)); European Research Council under the European Union's Horizon 2020 research and innovation program(European Research Council (ERC)); French Agence Nationale de la Recherche and Pole de Calcul et de DonneesMarines(Agence Nationale de la Recherche (ANR)); Nippon Foundation Nereus program; Social Sciences and Humanities Research Council (SSHRC) of Canada through the Oceans Canada Partnership</t>
  </si>
  <si>
    <t>We would like to thank S. Jennings, T. Silva, D. Carozza, D. Bianchi, M. Jones, T. Eddy, N. Barrier, P. Verley, M. Coll, and J. Steenbeck for running Fish-MIP simulations and providing ecosystem model outputs; L. Bopp, J. Dunne, C. Stock, and T. Roy for providing ESM outputs; M. Buchner, J. Volkholz, and J. Schewe for technical support. Financial support was provided by the German Federal Ministry of Education and Research (BMBF, grant No. 01LS1201A1) through the InterSectoral Impact Model Intercomparison Project (ISI-MIP) and the Canada First Research Excellence Fund Ocean Frontier Institute (OFI): Safe and Sustainable Development of the Ocean Frontier (Module G). AB-B acknowledges financial support from the NSERC CREATE Transatlantic Ocean Science and Technology Program; FP from OFI; DPT from the Kanne Rasmussen Foundation Denmark; VC, WWLC, and HKL from the Natural Sciences and Engineering Research Council (NSERC) of Canada; EDG from the European Research Council under the European Union's Horizon 2020 research and innovation program (No. 682602); OM from the French Agence Nationale de la Recherche and Pole de Calcul et de DonneesMarines; and WWLC from the Nippon Foundation Nereus program and the Social Sciences and Humanities Research Council (SSHRC) of Canada through the Oceans Canada Partnership.</t>
  </si>
  <si>
    <t>CANADIAN SCIENCE PUBLISHING</t>
  </si>
  <si>
    <t>OTTAWA</t>
  </si>
  <si>
    <t>65 AURIGA DR, SUITE 203, OTTAWA, ON K2E 7W6, CANADA</t>
  </si>
  <si>
    <t>2371-1671</t>
  </si>
  <si>
    <t>Facets</t>
  </si>
  <si>
    <t>10.1139/facets-2019-0035</t>
  </si>
  <si>
    <t>KT2DE</t>
  </si>
  <si>
    <t>WOS:000518822800001</t>
  </si>
  <si>
    <t>Berge, J; Geoffroy, M; Daase, M; Cottier, F; Priou, P; Cohen, JH; Johnsen, G; McKee, D; Kostakis, I; Renaud, PE; Vogedes, D; Anderson, P; Last, KS; Gauthier, S</t>
  </si>
  <si>
    <t>Berge, Jorgen; Geoffroy, Maxime; Daase, Malin; Cottier, Finlo; Priou, Pierre; Cohen, Jonathan H.; Johnsen, Geir; McKee, David; Kostakis, Ina; Renaud, Paul E.; Vogedes, Daniel; Anderson, Philip; Last, Kim S.; Gauthier, Stephane</t>
  </si>
  <si>
    <t>Artificial light during the polar night disrupts Arctic fish and zooplankton behaviour down to 200 m depth</t>
  </si>
  <si>
    <t>COMMUNICATIONS BIOLOGY</t>
  </si>
  <si>
    <t>VERTICAL MIGRATION; MESOPELAGIC FISH; ANTARCTIC KRILL; BACKSCATTERING; ATTENUATION; BIOMASS; NOISE; DARK</t>
  </si>
  <si>
    <t>Berge et al. find that the normal working-light from a ship impacts on the vertical distribution of macrozooplankton and pelagic fish communities around the ship at three stations during the Arctic Polar Night. These data suggest bias from such effects should be taken into account when performing surveys and stock assessments in the Arctic. For organisms that remain active in one of the last undisturbed and pristine dark environments on the planet-the Arctic Polar Night-the moon, stars and aurora borealis may provide important cues to guide distribution and behaviours, including predator-prey interactions. With a changing climate and increased human activities in the Arctic, such natural light sources will in many places be masked by the much stronger illumination from artificial light. Here we show that normal working-light from a ship may disrupt fish and zooplankton behaviour down to at least 200 m depth across an area of &gt;0.125 km(2) around the ship. Both the quantitative and qualitative nature of the disturbance differed between the examined regions. We conclude that biological surveys in the dark from illuminated ships may introduce biases on biological sampling, bioacoustic surveys, and possibly stock assessments of commercial and non-commercial species.</t>
  </si>
  <si>
    <t>[Berge, Jorgen; Geoffroy, Maxime; Daase, Malin; Cottier, Finlo; Priou, Pierre; Vogedes, Daniel] UiT Arctic Univ Norway, Fac Biosci Fisheries &amp; Econ, Dept Arctic &amp; Marine Biol, Tromso, Norway; [Berge, Jorgen; Johnsen, Geir; Renaud, Paul E.] Univ Ctr Svalbard, Dept Arctic Biol, Longyearbyen, Norway; [Berge, Jorgen; Johnsen, Geir] Norwegian Univ Technol &amp; Sci, Dept Biol, Ctr Autonomous Marine Operat &amp; Syst, Trondheim, Norway; [Geoffroy, Maxime; Priou, Pierre] Mem Univ Newfoundland, Fisheries &amp; Marine Inst, Ctr Fisheries Ecosyst Res, St John, NF, Canada; [Cottier, Finlo; Anderson, Philip; Last, Kim S.] Scottish Assoc Marine Sci, Oban, Argyll, Scotland; [Cohen, Jonathan H.] Univ Delaware, Sch Marine Sci &amp; Policy, Lewes, DE 19958 USA; [McKee, David; Kostakis, Ina] Univ Strathclyde, Phys Dept, Glasgow, Lanark, Scotland; [Renaud, Paul E.] Fram Ctr Climate &amp; Environm, Akvaplan Niva, N-9296 Tromso, Norway; [Gauthier, Stephane] Fisheries &amp; Oceans Canada, Inst Ocean Sci, Sidney, BC V8L 4B2, Canada</t>
  </si>
  <si>
    <t>UiT The Arctic University of Tromso; University Centre Svalbard (UNIS); Norwegian University of Science &amp; Technology (NTNU); Memorial University Newfoundland; UHI Millennium Institute; University of Delaware; University of Strathclyde; Akvaplan-niva; Fisheries &amp; Oceans Canada</t>
  </si>
  <si>
    <t>Berge, J (corresponding author), UiT Arctic Univ Norway, Fac Biosci Fisheries &amp; Econ, Dept Arctic &amp; Marine Biol, Tromso, Norway.;Berge, J (corresponding author), Univ Ctr Svalbard, Dept Arctic Biol, Longyearbyen, Norway.;Berge, J (corresponding author), Norwegian Univ Technol &amp; Sci, Dept Biol, Ctr Autonomous Marine Operat &amp; Syst, Trondheim, Norway.</t>
  </si>
  <si>
    <t>jorgen.berge@uit.no</t>
  </si>
  <si>
    <t>Cottier, Finlo/K-6277-2012; Cohen, Jonathan/GPX-2435-2022; McKee, David J C/D-6244-2013; Berge, Jorgen/E-7544-2015</t>
  </si>
  <si>
    <t>Kostakis, Ina/0000-0003-1167-2227; Priou, Pierre/0000-0001-7381-4855; Daase, Malin/0000-0001-8413-3924; McKee, David/0000-0001-8023-5923; Geoffroy, Maxime/0000-0003-2633-5565; Gauthier, Stephane/0009-0000-3514-765X; Berge, Jorgen/0000-0003-0900-5679</t>
  </si>
  <si>
    <t>Norwegian Research Council [244319, 245923, 300333]; Centre of Excellence AMOS [223254]; Ocean Frontier Institute</t>
  </si>
  <si>
    <t>Norwegian Research Council(Research Council of Norway); Centre of Excellence AMOS; Ocean Frontier Institute</t>
  </si>
  <si>
    <t>The work was supported by three grants from the Norwegian Research Council: Arctic ABC (project no 244319, Arctic ABC Development (project no 245923), Deep Impact (project no 300333), and the Centre of Excellence AMOS (project no 223254). We would like to thank the crew onboard RV Helmer Hanssen for all their efforts and support during the field campaign. This is a contribution to the Arctos research network (arctos.uit.no), Arctic Science Partnership (www.asp-net.org), the Ocean Frontier Institute funded through the Canada First Research Excellence fund, and to the ArcticNet project ArcticFish.</t>
  </si>
  <si>
    <t>2399-3642</t>
  </si>
  <si>
    <t>COMMUN BIOL</t>
  </si>
  <si>
    <t>Commun. Biol.</t>
  </si>
  <si>
    <t>10.1038/s42003-020-0807-6</t>
  </si>
  <si>
    <t>Biology; Multidisciplinary Sciences</t>
  </si>
  <si>
    <t>Life Sciences &amp; Biomedicine - Other Topics; Science &amp; Technology - Other Topics</t>
  </si>
  <si>
    <t>KU4UH</t>
  </si>
  <si>
    <t>WOS:000519705500008</t>
  </si>
  <si>
    <t>Nardi, CF; Sanchez, J; Fernandez, DA; Casalinuovo, MA; Rojo, JH; Chalde, T</t>
  </si>
  <si>
    <t>Nardi, Cristina Fernanda; Sanchez, Julieta; Fernandez, Daniel Alfredo; Casalinuovo, Miguel angel; Rojo, Javier Hernan; Chalde, Tomas</t>
  </si>
  <si>
    <t>Detection of lamprey in Southernmost South America by environmental DNA (eDNA) and molecular evidence for a new species</t>
  </si>
  <si>
    <t>Sub-antarctic fishes; Patagonia; Tierra del fuego; Freshwater fishes; Native species; Petromyzontiformes; Environmental DNA</t>
  </si>
  <si>
    <t>FRESH-WATER FISHES; PETROMYZONTIFORMES PETROMYZONTIDAE; EXTREME SOUTH; PATAGONIA; RIVER; CONSERVATION; METAMORPHOSIS; PHYLOGENY; PATTERNS; SYSTEMS</t>
  </si>
  <si>
    <t>Lampreys are jawless fishes belonging to the order Petromyzontiformes. Geotria australis is the sole representative lamprey species of the Geotriidae family and is widely distributed around South America, Australia, New Zealand, and sub-Antarctic Islands. In South America, the presence and distribution of G. australis are well characterized in Western Patagonia, in rivers flowing into the Pacific Ocean. In contrast, there is scarce information about the presence of this species in Eastern Patagonia, in rivers flowing into the Atlantic Ocean. Here, we provide the first report on the distribution of lamprey at the extreme south of Patagonia and suggest the occurrence of a new lamprey species. We developed an environmental DNA (eDNA) method to detect G. australis from water samples and obtained positive results in five basins flowing into the Atlantic Ocean and one river basin flowing into the Beagle Channel. Lampreys were captured from two eDNA-positive basins and used for genetic analysis. An 875 bp-sequence of the cytochrome b mitochondrial gene was obtained, and a phylogenetic analysis was carried out with this sequence and those available in GenBank, revealing Argentinean lamprey reported here, as a sister species of G. australis from Chile, Australia, and New Zealand. Also, the genetic distance values between lamprey reported here and G. australis were consistent with the genetic distances between species of different genera. Our results suggest that the Argentinean lamprey corresponds to a new specific taxon that could represent a new monotypic genus in Geotriidae.</t>
  </si>
  <si>
    <t>[Nardi, Cristina Fernanda; Sanchez, Julieta; Fernandez, Daniel Alfredo] Univ Nacl Tierra Fuego, CONICET, Inst Ciencias Polares Recursos Nat &amp; Ambientes, ICPA,UNTDF, Fuegia Basket 251,V9410, Ushuaia, Argentina; [Sanchez, Julieta] Consejo Nacl Invest Cient &amp; Tecn, Ctr Austral Invest Cient, CADIC, Lab Ecol Mol, Bernardo A Houssay 200,V9410, Ushuaia, Argentina; [Fernandez, Daniel Alfredo; Rojo, Javier Hernan; Chalde, Tomas] Consejo Nacl Invest Cient &amp; Tecn, Ctr Austral Invest Cient, CADIC, Lab Ecol Fisiol &amp; Evoluc Organismos Acuat, Bernardo A Houssay 200,V9410, Ushuaia, Argentina; [Casalinuovo, Miguel angel] Sarmiento 499,X5111, Rio Ceballos, Argentina; [Chalde, Tomas] Univ Tecnol Nacl, Fac Reg Tierra Fuego, Perito Moreno 1425,V9410, Ushuaia, Argentina</t>
  </si>
  <si>
    <t>Consejo Nacional de Investigaciones Cientificas y Tecnicas (CONICET); Consejo Nacional de Investigaciones Cientificas y Tecnicas (CONICET); Consejo Nacional de Investigaciones Cientificas y Tecnicas (CONICET)</t>
  </si>
  <si>
    <t>Chalde, T (corresponding author), Consejo Nacl Invest Cient &amp; Tecn, Ctr Austral Invest Cient, CADIC, Lab Ecol Fisiol &amp; Evoluc Organismos Acuat, Bernardo A Houssay 200,V9410, Ushuaia, Argentina.;Chalde, T (corresponding author), Univ Tecnol Nacl, Fac Reg Tierra Fuego, Perito Moreno 1425,V9410, Ushuaia, Argentina.</t>
  </si>
  <si>
    <t>cnardi@untdf.edu.ar; julieta.sanchez@cadic-conicet.gob.ar; dfernandez@untdf.edu.ar; miguelush@gmail.com; javierhrojo@gmail.com; tomaschalde33@gmail.com</t>
  </si>
  <si>
    <t>Sanchez, Julieta/JZT-8847-2024; Rojo, Javier Hernán/AAM-3740-2020</t>
  </si>
  <si>
    <t>Rojo, Javier Hernán/0000-0003-3955-9402; Fernandez, Daniel Alfredo/0000-0002-3367-4138; Chalde, Tomas/0000-0001-7955-5276; Nardi, Cristina/0000-0001-7536-6320</t>
  </si>
  <si>
    <t>Universidad Nacional de Tierra del Fuego [PID-UNTDF B 06/2018]; Agencia Nacional de Promocion Cientifica y Tecnologica [PICT 0759-2015]; Consejo Nacional de Investigaciones Cientificas y Tecnicas [PIP 440]</t>
  </si>
  <si>
    <t>Universidad Nacional de Tierra del Fuego; Agencia Nacional de Promocion Cientifica y Tecnologica(ANPCyTSpanish Government); Consejo Nacional de Investigaciones Cientificas y Tecnicas(Consejo Nacional de Investigaciones Cientificas y Tecnicas (CONICET))</t>
  </si>
  <si>
    <t>This work was funded by Universidad Nacional de Tierra del Fuego (PID-UNTDF B 06/2018), Agencia Nacional de Promocion Cientifica y Tecnologica (PICT 0759-2015), Consejo Nacional de Investigaciones Cientificas y Tecnicas (PIP 440). The authors thank Carolina Camilion and Noelia Paredes for their technical assistance.</t>
  </si>
  <si>
    <t>10.1007/s00300-020-02640-3</t>
  </si>
  <si>
    <t>KY5VV</t>
  </si>
  <si>
    <t>WOS:000518242700001</t>
  </si>
  <si>
    <t>Jones, CW; Phillips, RA; Grecian, WJ; Ryan, PG</t>
  </si>
  <si>
    <t>Jones, Christopher W.; Phillips, Richard A.; Grecian, W. James; Ryan, Peter G.</t>
  </si>
  <si>
    <t>Ecological segregation of two superabundant, morphologically similar, sister seabird taxa breeding in sympatry</t>
  </si>
  <si>
    <t>MARINE BIOLOGY</t>
  </si>
  <si>
    <t>FEEDING ECOLOGY; PACHYPTILA-VITTATA; ROUND DISTRIBUTION; FORAGING BEHAVIOR; STABLE-ISOTOPES; SOUTH GEORGIA; FOOD; STRATEGIES; PRIONS; BLOOD</t>
  </si>
  <si>
    <t>Prions Pachyptila are the most abundant seabirds in the Southern Ocean and comprise two main groups: those with and without bill lamellae to filter zooplankton. With few exceptions, each breeding location supports at most one species from each of these groups. However, Gough Island supports two morphologically very similar, filter-feeding species: broad-billed P. vittata and MacGillivray's prions P. macgillivrayi. To understand how these two species co-occur in sympatry, we compared the foraging ranges, habitat selectivity, trophic segregation and moult schedules of these species using combined geolocation-immersion loggers. After breeding, both species showed a well-defined westward migration prior to moulting. Moult lasted 11-19 weeks and was significantly longer in MacGillivray's than broad-billed prions. Moulting birds occurred in specific areas within the Argentine Basin, with little overlap between the two species. Habitat analysis revealed species-specific preferences, in particular sea surface temperature. Activity patterns also differed; MacGillivray's prions spent more time in flight, which indicates a more active foraging strategy, relying less on filter feeding. Stable isotope ratios (delta N-15) in flight feathers were greater in MacGillivray's prion, which is consistent with its less specialized bill morphology resulting in feeding at a higher trophic level. Inter-specific spatial segregation was observed for most of the tracking period, in large part because broad-billed prions breed roughly 3 months earlier than MacGillivray's prions. At Tristan da Cunha, 250 km farther north, where only broad-billed prions breed, they departed, moulted and returned significantly later (15-17 days) than conspecifics from Gough Island, providing evidence for character displacement in sympatry with MacGillivray's prion.</t>
  </si>
  <si>
    <t>[Jones, Christopher W.; Ryan, Peter G.] Univ Cape Town, DST NRF Ctr Excellence, FitzPatrick Inst African Ornithol, ZA-7701 Rondebosch, South Africa; [Phillips, Richard A.] British Antarctic Survey, Nat Environm Res Council, Madingley Rd, Cambridge CB3 0ET, England; [Grecian, W. James] Univ St Andrews, Scottish Oceans Inst, Sea Mammal Res Unit, St Andrews KY16 8LB, Fife, Scotland</t>
  </si>
  <si>
    <t>National Research Foundation - South Africa; University of Cape Town; UK Research &amp; Innovation (UKRI); Natural Environment Research Council (NERC); NERC British Antarctic Survey; University of St Andrews</t>
  </si>
  <si>
    <t>Ryan, PG (corresponding author), Univ Cape Town, DST NRF Ctr Excellence, FitzPatrick Inst African Ornithol, ZA-7701 Rondebosch, South Africa.</t>
  </si>
  <si>
    <t>pryan31@gmail.com</t>
  </si>
  <si>
    <t>Grecian, James/A-7689-2012</t>
  </si>
  <si>
    <t>Grecian, James/0000-0002-6428-719X; Ryan, Peter/0000-0002-3356-2056; Jones, Christopher/0000-0002-4112-1912</t>
  </si>
  <si>
    <t>South African Department of Environmental Affairs, through the South African National Antarctic Programme (SANAP); National Research Foundation (South Africa) through the FitzPatrick Institute of African Ornithology (University of Cape Town); Royal Society for the Protection of Birds (RSPB); Natural Environment Research Council [NE/R0001017/1]; NERC [bas0100035] Funding Source: UKRI</t>
  </si>
  <si>
    <t>South African Department of Environmental Affairs, through the South African National Antarctic Programme (SANAP); National Research Foundation (South Africa) through the FitzPatrick Institute of African Ornithology (University of Cape Town); Royal Society for the Protection of Birds (RSPB); Natural Environment Research Council(UK Research &amp; Innovation (UKRI)Natural Environment Research Council (NERC)); NERC(UK Research &amp; Innovation (UKRI)Natural Environment Research Council (NERC))</t>
  </si>
  <si>
    <t>For assistance in the field, we thank Alex Bond, Jan Bradley, Delia Davies, Ben Dilley, Bruce Dyer, Derren Fox, David Kinchin-Smith, Werner Kuntz, Alexis Osborne, Michelle Risi, Chris Taylor and Emma Witcutt. For laboratory work, we thank Laurie Johnson for preparing feathers for isotopic analysis and Ian Newton from UCT's Stable Isotope Unit for analysis of feather samples. Thank you to Steffen Oppel for assistance with analysing the representativeness of the tracking data. Logistical and financial support was provided by the South African Department of Environmental Affairs, through the South African National Antarctic Programme (SANAP), the National Research Foundation (South Africa) through the FitzPatrick Institute of African Ornithology (University of Cape Town), the Royal Society for the Protection of Birds (RSPB) and the Natural Environment Research Council (Ref. NE/R0001017/1). The Tristan da Cunha Government provided permission to work at Gough Island.</t>
  </si>
  <si>
    <t>SPRINGER HEIDELBERG</t>
  </si>
  <si>
    <t>HEIDELBERG</t>
  </si>
  <si>
    <t>TIERGARTENSTRASSE 17, D-69121 HEIDELBERG, GERMANY</t>
  </si>
  <si>
    <t>0025-3162</t>
  </si>
  <si>
    <t>1432-1793</t>
  </si>
  <si>
    <t>MAR BIOL</t>
  </si>
  <si>
    <t>Mar. Biol.</t>
  </si>
  <si>
    <t>MAR 3</t>
  </si>
  <si>
    <t>10.1007/s00227-020-3645-7</t>
  </si>
  <si>
    <t>KT7SY</t>
  </si>
  <si>
    <t>WOS:000519214400007</t>
  </si>
  <si>
    <t>Stein, K; Timmermann, A; Kwon, EY; Friedrich, T</t>
  </si>
  <si>
    <t>Stein, Karl; Timmermann, Axel; Kwon, Eun Young; Friedrich, Tobias</t>
  </si>
  <si>
    <t>Timing and magnitude of Southern Ocean sea ice/carbon cycle feedbacks</t>
  </si>
  <si>
    <t>PROCEEDINGS OF THE NATIONAL ACADEMY OF SCIENCES OF THE UNITED STATES OF AMERICA</t>
  </si>
  <si>
    <t>Southern Ocean; sea ice; glacial cycles; carbon cycle</t>
  </si>
  <si>
    <t>EARTH SYSTEM MODEL; GLACIAL CYCLES; OVERTURNING CIRCULATION; CARBON-CYCLE; ICE SHEETS; CLIMATE; STRATIFICATION; PRODUCTIVITY; TEMPERATURE; TRANSPORT</t>
  </si>
  <si>
    <t>The Southern Ocean (SO) played a prominent role in the exchange of carbon between ocean and atmosphere on glacial timescales through its regulation of deep ocean ventilation. Previous studies indicated that SO sea ice could dynamically link several processes of carbon sequestration, but these studies relied on models with simplified ocean and sea ice dynamics or snapshot simulations with general circulation models. Here, we use a transient run of an intermediate complexity climate model, covering the past eight glacial cycles, to investigate the orbital-scale dynamics of deep ocean ventilation changes due to SO sea ice. Cold climates increase sea ice cover, sea ice export, and Antarctic Bottom Water formation, which are accompanied by increased SO upwelling, stronger poleward export of Circumpolar Deep Water, and a reduction of the atmospheric exposure time of surface waters by a factor of 10. Moreover, increased brine formation around Antarctica enhances deep ocean stratification, which could act to decrease vertical mixing by a factor of four compared with the current climate. Sensitivity tests with a steady-state carbon cycle model indicate that the two mechanisms combined can reduce atmospheric carbon by 40 ppm, with ocean stratification acting early within a glacial cycle to amplify the carbon cycle response.</t>
  </si>
  <si>
    <t>[Stein, Karl; Timmermann, Axel; Kwon, Eun Young] Inst Basic Sci, Ctr Climate Phys, Busan 46241, South Korea; [Stein, Karl; Timmermann, Axel; Kwon, Eun Young] Pusan Natl Univ, Busan 46241, South Korea; [Friedrich, Tobias] Univ Hawaii Manoa, Dept Oceanog, Honolulu, HI 96822 USA</t>
  </si>
  <si>
    <t>Institute for Basic Science - Korea (IBS); Pusan National University; University of Hawaii System; University of Hawaii Manoa</t>
  </si>
  <si>
    <t>Stein, K (corresponding author), Inst Basic Sci, Ctr Climate Phys, Busan 46241, South Korea.;Stein, K (corresponding author), Pusan Natl Univ, Busan 46241, South Korea.</t>
  </si>
  <si>
    <t>steinkarl@pusan.ac.kr</t>
  </si>
  <si>
    <t>Timmermann, Axel/Y-2799-2019; Friedrich, Tobias/D-1053-2013</t>
  </si>
  <si>
    <t>Timmermann, Axel/0000-0003-0657-2969; Stein, Karl/0000-0002-2432-1867; Friedrich, Tobias/0000-0001-7324-4100; Kwon, Eun Young/0000-0001-9165-4111</t>
  </si>
  <si>
    <t>Institute for Basic Science (IBS), Republic of Korea [IBS-R028-D1]; IBS Grant [IBS-R028-D1]; National Research Foundation of Korea [NRF-2016R1D1A1B04931356]</t>
  </si>
  <si>
    <t>Institute for Basic Science (IBS), Republic of Korea; IBS Grant; National Research Foundation of Korea(National Research Foundation of Korea)</t>
  </si>
  <si>
    <t>We thank Samual Jaccard for providing the ODP 1090 alkenone flux data. This work was supported by Institute for Basic Science (IBS), Republic of Korea, Grant IBS-R028-D1. E.Y.K. is funded by IBS Grant IBS-R028-D1 and by the National Research Foundation of Korea Grant NRF-2016R1D1A1B04931356.</t>
  </si>
  <si>
    <t>NATL ACAD SCIENCES</t>
  </si>
  <si>
    <t>2101 CONSTITUTION AVE NW, WASHINGTON, DC 20418 USA</t>
  </si>
  <si>
    <t>0027-8424</t>
  </si>
  <si>
    <t>P NATL ACAD SCI USA</t>
  </si>
  <si>
    <t>Proc. Natl. Acad. Sci. U. S. A.</t>
  </si>
  <si>
    <t>10.1073/pnas.1908670117</t>
  </si>
  <si>
    <t>KS7FX</t>
  </si>
  <si>
    <t>Bronze, Green Published</t>
  </si>
  <si>
    <t>WOS:000518473500017</t>
  </si>
  <si>
    <t>Krasnobaev, A; ten Dam, G; Boerrigter-Eenling, R; Peng, F; van Leeuwen, SPJ; Morley, SA; Peck, LS; van den Brink, NW</t>
  </si>
  <si>
    <t>Krasnobaev, Artem; ten Dam, Guillaume; Boerrigter-Eenling, Rita; Peng, Fang; van Leeuwen, Stefan P. J.; Morley, Simon A.; Peck, Lloyd S.; van den Brink, Nico W.</t>
  </si>
  <si>
    <t>Legacy and Emerging Persistent Organic Pollutants in Antarctic Benthic Invertebrates near Rothera Point, Western Antarctic Peninsula</t>
  </si>
  <si>
    <t>ENVIRONMENTAL SCIENCE &amp; TECHNOLOGY</t>
  </si>
  <si>
    <t>ASCIDIAN CNEMIDOCARPA-VERRUCOSA; POLYBROMINATED DIPHENYL ETHERS; FOOD-WEB; MELTING GLACIERS; PROBABLE SOURCE; SOUTHERN-OCEAN; TIME TRENDS; ADELIE LAND; ROSS SEA; PCBS</t>
  </si>
  <si>
    <t>Pollutant levels in polar regions are gaining progressively more attention from the scientific community. This is especially so for pollutants that persist in the environment and can reach polar latitudes via a wide range of routes, such as some persistent organic pollutants (POPs). In this study, samples of Antarctic marine benthic organisms were analyzed for legacy and emerging POPs (polychlorinated biphenyls (PCBs), polybrominated diphenyl ethers (PBDEs), and organochlorine pesticides) to comprehensively assess their current POP concentrations and infer the potential sources of the pollutants. Specimens of five benthic invertebrate species were collected at two distinct locations near Rothera research station on the Antarctic Peninsula (67 degrees 35'8 '' S and 68 degrees 7'59 '' W). Any impact of the nearby Rothera station as a local source of pollution appeared to be negligible. The most abundant chemicals detected were hexachlorobenzene (HCB) and BDE-209. The highest concentrations detected were in limpets and sea urchins, followed by sea stars, ascidians, and sea cucumbers. The relative congener patterns of PCBs and PBDEs were similar in all of the species. Some chemicals (e.g., heptachlor, oxychlordane, and mirex) were detected in the Antarctic invertebrates for the first time. Statistical analyses revealed that the distribution of the POPs was not only driven by the feeding traits of the species but also by the physicochemical properties of the specific compounds.</t>
  </si>
  <si>
    <t>[Krasnobaev, Artem; van den Brink, Nico W.] Wageningen Univ, Subdept Toxicol, NL-6700 EA Wageningen, Netherlands; [ten Dam, Guillaume; Boerrigter-Eenling, Rita; van Leeuwen, Stefan P. J.] WFSR, Wageningen Res, NL-6700 AE Wageningen, Netherlands; [ten Dam, Guillaume] DSP Syst, NL-6718 XR Ede, Netherlands; [Peng, Fang] Luxembourg Inst Hlth, L-1445 Strassen, Luxembourg; [Morley, Simon A.; Peck, Lloyd S.] British Antarctic Survey, NERC, Cambridge CB3 0ET, England</t>
  </si>
  <si>
    <t>Wageningen University &amp; Research; Wageningen University &amp; Research; Luxembourg Institute of Health; UK Research &amp; Innovation (UKRI); Natural Environment Research Council (NERC); NERC British Antarctic Survey</t>
  </si>
  <si>
    <t>van den Brink, NW (corresponding author), Wageningen Univ, Subdept Toxicol, NL-6700 EA Wageningen, Netherlands.</t>
  </si>
  <si>
    <t>nico.vandenbrink@wur.nl</t>
  </si>
  <si>
    <t>van Leeuwen, Stefan/C-4375-2013</t>
  </si>
  <si>
    <t>van Leeuwen, Stefan/0000-0003-4847-0768; Peng, Fengjiao/0000-0002-9913-7087</t>
  </si>
  <si>
    <t>Netherlands Organisation for Scientific Research (NWO) [866.14.104]; NERC [bas0100036, dml011000] Funding Source: UKRI</t>
  </si>
  <si>
    <t>Netherlands Organisation for Scientific Research (NWO)(Netherlands Organization for Scientific Research (NWO)); NERC(UK Research &amp; Innovation (UKRI)Natural Environment Research Council (NERC))</t>
  </si>
  <si>
    <t>The authors acknowledge the help of the British Antarctic Survey (BAS) with infrastructure and coordination. The BAS divers are acknowledged for their support in sampling. We thank Willie Hijman and Guido van der Weg for their help with measurements with PCBs and PBDEs. We express our gratitude toward the Netherlands Organisation for Scientific Research (NWO) (grant 866.14.104) for financing this project.</t>
  </si>
  <si>
    <t>0013-936X</t>
  </si>
  <si>
    <t>1520-5851</t>
  </si>
  <si>
    <t>ENVIRON SCI TECHNOL</t>
  </si>
  <si>
    <t>Environ. Sci. Technol.</t>
  </si>
  <si>
    <t>10.1021/acs.est.9b06622</t>
  </si>
  <si>
    <t>Engineering, Environmental; Environmental Sciences</t>
  </si>
  <si>
    <t>Engineering; Environmental Sciences &amp; Ecology</t>
  </si>
  <si>
    <t>KS3TN</t>
  </si>
  <si>
    <t>Green Accepted, hybrid, Green Published</t>
  </si>
  <si>
    <t>WOS:000518235100022</t>
  </si>
  <si>
    <t>Mobaraki, MRG; Kenari, AA; Gorji, SB; Esmaeili, M</t>
  </si>
  <si>
    <t>Ghosi Mobaraki, Mohammad Reza; Abedian Kenari, Abdolmohammad; Bahrami Gorji, Sara; Esmaeili, Mohammad</t>
  </si>
  <si>
    <t>Effect of dietary fish and vegetable oil on the growth performance, body composition, fatty acids profile, reproductive performance and larval resistance in pearl gourami (Trichogaster leeri)</t>
  </si>
  <si>
    <t>AQUACULTURE NUTRITION</t>
  </si>
  <si>
    <t>fish oil sparing; hormonal regulation; long-chain PUFA; pearl gourami; reproduction; spawning performance</t>
  </si>
  <si>
    <t>BASS DICENTRARCHUS-LABRAX; ONCORHYNCHUS-MYKISS WALBAUM; ALTERNATIVE LIPID SOURCES; ELONGASE MESSENGER-RNAS; ALLIUM-SATIVUM POWDER; BREAM SPARUS-AURATA; SOYBEAN OIL; RAINBOW-TROUT; SEA BREAM; ARACHIDONIC-ACID</t>
  </si>
  <si>
    <t>This study investigated the effect of two lipid sources on reproduction performance and growth in pearl gourami. For this purpose, 180 fish (3.32 +/- 0.25 g) were fed with three isoenergetic (19.80) and isonitrogenous diets (480 g/kg protein) including FO (80 g/kg fish oil), FS (40 g/kg fish oil and 40 g/kg soybean oil) and SO (80 g/kg soybean oil) for 10 weeks before maturation. At the end of the trial, there was no significant difference in weight gain, feed conversation ratio and body composition between fish fed FO and FS diets. Individuals fed dietary FO had significantly higher levels of n-3 long-chain polyunsaturated fatty acids in the muscle (130.5 g/kg lipid) and ovary (140.4 g/kg lipid) as compared with those fed SO diet (64.5, 103.6 g/kg, respectively) (p &lt; .05). Feeding pearl gourami with FO and FS diets enhanced regarding absolute fecundity, relative fecundity, the fertilization rate, larvae total length and survival at 3 day posthatch (p &lt; .05). Also, 17 beta-estradiol in plasma of fish fed dietary FO (6.2 ng/L) was higher than those fed SO diet (1.7 ng/L) (p &lt; .05). In conclusion, we suggest FS diet for broodstock nutrition of pearl gourami as a model for asynchronous multi-batch spawning fish.</t>
  </si>
  <si>
    <t>[Ghosi Mobaraki, Mohammad Reza; Abedian Kenari, Abdolmohammad] Tarbiat Modares Univ, Fac Nat Resources &amp; Marine Sci, Dept Aquaculture, POB 64414-356, Noor, Mazandaran, Iran; [Bahrami Gorji, Sara] Gonbad Kavous Univ, Fac Agr &amp; Nat Resources, Dept Fisheries, Gonbad, Iran; [Esmaeili, Mohammad] Univ Tasmania, Inst Marine &amp; Antarctic Studies, Hobart, Tas, Australia</t>
  </si>
  <si>
    <t>Tarbiat Modares University; University of Tasmania</t>
  </si>
  <si>
    <t>Kenari, AA (corresponding author), Tarbiat Modares Univ, Fac Nat Resources &amp; Marine Sci, Dept Aquaculture, POB 64414-356, Noor, Mazandaran, Iran.</t>
  </si>
  <si>
    <t>aabedian@modares.ac.ir</t>
  </si>
  <si>
    <t>Abedian Kenari, Abdolmohammad/JWP-0761-2024; Esmaeili, Noah/Q-4536-2019</t>
  </si>
  <si>
    <t>Esmaeili, Noah/0000-0001-8704-939X; Abedian Kenari, Abdolmohammad/0000-0003-3410-3908</t>
  </si>
  <si>
    <t>Tarbiat Modares University</t>
  </si>
  <si>
    <t>WILEY-HINDAWI</t>
  </si>
  <si>
    <t>ADAM HOUSE, 3RD FL, 1 FITZROY SQ, LONDON, WIT 5HE, ENGLAND</t>
  </si>
  <si>
    <t>1353-5773</t>
  </si>
  <si>
    <t>1365-2095</t>
  </si>
  <si>
    <t>AQUACULT NUTR</t>
  </si>
  <si>
    <t>Aquac. Nutr.</t>
  </si>
  <si>
    <t>10.1111/anu.13048</t>
  </si>
  <si>
    <t>LJ8AQ</t>
  </si>
  <si>
    <t>WOS:000517638200001</t>
  </si>
  <si>
    <t>March-Salas, M; Pertierra, LR</t>
  </si>
  <si>
    <t>March-Salas, Marti; Pertierra, Luis R.</t>
  </si>
  <si>
    <t>Warmer and less variable temperatures favour an accelerated plant phenology of two invasive weeds across sub-Antarctic Macquarie Island</t>
  </si>
  <si>
    <t>AUSTRAL ECOLOGY</t>
  </si>
  <si>
    <t>biological invasions; environmental variability; flowering; polar regions; reproductive traits</t>
  </si>
  <si>
    <t>SOUTHERN-OCEAN ISLANDS; POA-ANNUA; PHENOTYPIC PLASTICITY; BIOLOGICAL INVASIONS; FLOWERING PHENOLOGY; CLIMATE-CHANGE; CONCEPTUAL-FRAMEWORK; ECOLOGY; VARIABILITY; EVOLUTION</t>
  </si>
  <si>
    <t>The great plasticity and diverse reproductive strategies of invasive alien plants are widely assumed to contribute to invasion success, even in extreme areas, often displacing native species. In this context, climate change creates new opportunities for biological invasions. Environmental variability and global warming are two of the climatic processes that may promote invasiveness, since alien species modulate their phenology to succeed under these circumstances. We monitored the phenological development (phenological stage advancement) of the two main invasive alien species: Poa annua L. and Cerastium fontanum Baumg. in the sub-Antarctic Macquarie Island during the austral summer period along an altitudinal gradient. We found that higher temperatures lead to increased plant height and accelerated phenological development than lower temperatures in P. annua but found no direct evidence of the latter in C. fontanum. However, increased temperature variability negatively affected the phenological development of both species. Interestingly, despite their different reproductive strategy (rapid and impromptu in P. annua, and more synchronic and gradual in C. fontanum), both species prolifically succeeded in producing seeds at all sites showing the great acclimation of these two alien species even in limiting conditions. Since both alien species in Macquarie Island showed larger size and faster phenology at lower altitudes (i.e. milder conditions), this would indicate a great influence of ameliorating abiotic extremes on alien plant invasive capabilities at environmental extremes. Thus, our results warn of the increasing capabilities under climatic warming scenarios for alien plants to reproduce even at such remote ranges. This highlights the need to reinforce calls for special attention to prevent the spread of these kinds of species to other similar sub-polar areas, where intensive post-introduction management may be difficult or expensive.</t>
  </si>
  <si>
    <t>[March-Salas, Marti; Pertierra, Luis R.] CSIC, Museo Nacl Ciencias Nat, Dept Biodivers &amp; Evolutionary Biol, Madrid, Spain; [March-Salas, Marti; Pertierra, Luis R.] Univ King Juan Carlos, ESCET, Area Biodivers &amp; Conservat, Dept Biol Geol Phys &amp; Chem, Madrid 28933, Spain</t>
  </si>
  <si>
    <t>Consejo Superior de Investigaciones Cientificas (CSIC); CSIC - Museo Nacional de Ciencias Naturales (MNCN); Universidad Rey Juan Carlos</t>
  </si>
  <si>
    <t>Pertierra, LR (corresponding author), CSIC, Museo Nacl Ciencias Nat, Dept Biodivers &amp; Evolutionary Biol, Madrid, Spain.;Pertierra, LR (corresponding author), Univ King Juan Carlos, ESCET, Area Biodivers &amp; Conservat, Dept Biol Geol Phys &amp; Chem, Madrid 28933, Spain.</t>
  </si>
  <si>
    <t>luis.pertierra@gmail.com</t>
  </si>
  <si>
    <t>Pertierra, Luis R./K-3727-2017; March-Salas, Martí/AAB-3273-2020</t>
  </si>
  <si>
    <t>Pertierra, Luis R./0000-0002-2232-428X; MARCH-SALAS, MARTI/0000-0001-5347-4056</t>
  </si>
  <si>
    <t>Australian Antarctic Science Program [AAS 4158]; SCAR; FPI PhD Grant - Spanish Ministry of Economy and Competitiveness [BES-2013-062910]</t>
  </si>
  <si>
    <t>Australian Antarctic Science Program; SCAR; FPI PhD Grant - Spanish Ministry of Economy and Competitiveness</t>
  </si>
  <si>
    <t>Field research of LRP was supported by AAS 4158 project of the Australian Antarctic Science Program. LRP was also recipient of a SCAR fellowship. MMS was supported by a FPI PhD Grant (BES-2013-062910) that was funded by the Spanish Ministry of Economy and Competitiveness. Thanks to the Australian Antarctic Division for the logistics and training. Thanks also to the Tasmanian Parks &amp; Wildlife Service for the permitted access. Special thanks to the 67th ANARE Expedition to Macquarie. Lastly, we specially thank Gustav Olav Morales for a text revision.</t>
  </si>
  <si>
    <t>1442-9985</t>
  </si>
  <si>
    <t>1442-9993</t>
  </si>
  <si>
    <t>AUSTRAL ECOL</t>
  </si>
  <si>
    <t>Austral Ecol.</t>
  </si>
  <si>
    <t>10.1111/aec.12872</t>
  </si>
  <si>
    <t>MM3IP</t>
  </si>
  <si>
    <t>WOS:000517744300001</t>
  </si>
  <si>
    <t>Vollmer, C; Rombeck, S; Roszjar, J; Sarafian, AR; Klemme, S</t>
  </si>
  <si>
    <t>Vollmer, Christian; Rombeck, Stella; Roszjar, Julia; Sarafian, Adam R.; Klemme, Stephan</t>
  </si>
  <si>
    <t>The brecciated texture of polymict eucrites: Petrographic investigations of unequilibrated meteorites from the Antarctic Yamato collection</t>
  </si>
  <si>
    <t>METEORITICS &amp; PLANETARY SCIENCE</t>
  </si>
  <si>
    <t>ASTEROID 4 VESTA; PARENT BODY; THERMAL HISTORY; IMPACT; METAMORPHISM; HOWARDITES; CLASTS; BASALT; MINERALOGY; PYROXENES</t>
  </si>
  <si>
    <t>We report on the petrography and mineralogy of five Yamato polymict eucrites to better constrain the formation and alteration of crustal material on differentiated asteroids. Each sample consists of different lithic clasts that altogether form four dominant textures and therefore appear to originate from closely related petrological areas within Vesta ' s crust. The textures range from subophitic to brecciated, porphyritic, and quench-textured, that differ from section to section. Comparison with literature data for these samples is therefore difficult, which stresses that polymict eucrites are extremely complex in their petrography and investigation of only one thick section may not be representative for the host rock. We also show that sample Y-793548 consists of more than one lithic unit and must therefore be classified as polymict instead of monomict. The variety and nature of lithic textures in the investigated Yamato meteorites indicate shock events, intense post-magmatic thermal annealing, and secondary alteration. These postmagmatic features occur in different intensities, varying from clast to clast or among coexisting mineral fragments on a small, local scale. Several clasts within the eucrites studied have been modified by late-stage alteration processes that caused deposition of Fe-rich olivine and Fe enrichment along cracks crosscutting pyroxene crystals. However, formation of these secondary phases seems to be independent of the degree of thermal metamorphism observed within every type of clast, which would support a late-stage metasomatism model for their formation.</t>
  </si>
  <si>
    <t>[Vollmer, Christian; Rombeck, Stella; Klemme, Stephan] Westfalische Wilhelms Univ Munster, Inst Mineral, Corrensstr 24, D-48149 Munster, Germany; [Roszjar, Julia] Nat Hist Museum Vienna, Dept Mineral &amp; Petrog, Burgring 7, A-1010 Vienna, Austria; [Sarafian, Adam R.] Corning Inc, Div Sci &amp; Technol, 21 Lynn Morse Rd, New York, NY 14870 USA</t>
  </si>
  <si>
    <t>University of Munster; Corning Inc; State University of New York (SUNY) System; SUNY Community College</t>
  </si>
  <si>
    <t>Vollmer, C (corresponding author), Westfalische Wilhelms Univ Munster, Inst Mineral, Corrensstr 24, D-48149 Munster, Germany.</t>
  </si>
  <si>
    <t>christian.vollmer@wwu.de</t>
  </si>
  <si>
    <t>Klemme, Stephan/0000-0001-7859-9779; Vollmer, Christian/0000-0002-7768-7651; Roszjar, Julia/0000-0001-9921-5500</t>
  </si>
  <si>
    <t>NASA Jenkins graduate fellowship [NNX13AR90H]; NASA [NNX13AR90H, 463883] Funding Source: Federal RePORTER</t>
  </si>
  <si>
    <t>NASA Jenkins graduate fellowship; NASA(National Aeronautics &amp; Space Administration (NASA))</t>
  </si>
  <si>
    <t>We thank A. Yamaguchi for the allocation of eucrites samples from the Antarctic meteorite collection at NIPR, the editorial handling and review of the manuscript, an anonymous reviewer for helpful comments, as well as J. Berndt for support with the microprobe analyses. ARS acknowledges support from a NASA Jenkins graduate fellowship (NNX13AR90H). All authors have no conflict of interest to declare.</t>
  </si>
  <si>
    <t>1086-9379</t>
  </si>
  <si>
    <t>1945-5100</t>
  </si>
  <si>
    <t>METEORIT PLANET SCI</t>
  </si>
  <si>
    <t>Meteorit. Planet. Sci.</t>
  </si>
  <si>
    <t>MAR</t>
  </si>
  <si>
    <t>10.1111/maps.13453</t>
  </si>
  <si>
    <t>LE8YP</t>
  </si>
  <si>
    <t>WOS:000517776200001</t>
  </si>
  <si>
    <t>Salgado, F; Caballero, J; Vargas, R; Cornejo, A; Areche, C</t>
  </si>
  <si>
    <t>Salgado, Francisco; Caballero, Julio; Vargas, Reinaldo; Cornejo, Alberto; Areche, Carlos</t>
  </si>
  <si>
    <t>Continental and Antarctic Lichens: isolation, identification and molecular modeling of the depside tenuiorin from the Antarctic lichen Umbilicaria antarctica as tau protein inhibitor</t>
  </si>
  <si>
    <t>NATURAL PRODUCT RESEARCH</t>
  </si>
  <si>
    <t>Alzheimer's disease; Tau protein; Lichens</t>
  </si>
  <si>
    <t>AGGREGATION INHIBITORS; FIBRILLIZATION</t>
  </si>
  <si>
    <t>Alzheimer's disease (AD) is the most common form of dementia involving A beta and tau protein. So far, AD cure remains elusive, but considering that AD progresses throughout tau pathology, which turns tau protein an appropriate target, besides tau is also included in other neurodegenerative disorders named as tauopathies. Here, we have isolated seventeen compounds belonging to six lichens species. Due to scarce of spectroscopic data of the compound 5,7-dihydroxy-6-methylphthalide, we explained their structural elucidation based on NMR data. In this study, we show that only tenuiorin from Umbilicaria antarctica inhibited 50% of tau 4R at 100 mu M. Then, we shown that molecular interactions of tenuiorin with the steric zipper model of the hexapeptide (306)VQIVYK(311) were studied by docking calculations and the results suggested that tenuiorin forms both hydrogen bonds with lysine and glutamine side chains and forms several hydrophobic interactions with valine and lysine from (306)VQIVYK(311) motif. [GRAPHICS] .</t>
  </si>
  <si>
    <t>[Salgado, Francisco; Areche, Carlos] Univ Chile, Fac Ciencias, Dept Quim, Santiago, Chile; [Caballero, Julio] Univ Talca, Fac Ingn, Ctr Bioinformat &amp; Simulac Mol, Talca, Chile; [Vargas, Reinaldo] Univ Metropolitana Ciencias Educ, Dept Biol, Santiago, Chile; [Cornejo, Alberto] Univ Andres Bello, Escuela Tecnol Med, Fac Med, Santiago, Chile</t>
  </si>
  <si>
    <t>Universidad de Chile; Universidad de Talca; Universidad Metropolitana de Ciencias de la Educacion (UMCE); Universidad Andres Bello</t>
  </si>
  <si>
    <t>Areche, C (corresponding author), Univ Chile, Fac Ciencias, Dept Quim, Santiago, Chile.</t>
  </si>
  <si>
    <t>areche@uchile.cl</t>
  </si>
  <si>
    <t>Salgado, Francisco/AAG-3836-2019; Areche, Carlos/I-2461-2013; Cornejo, Alberto/AAE-7978-2022; Caballero, Julio/G-3654-2014</t>
  </si>
  <si>
    <t>Areche, Carlos/0000-0001-5246-1368; Caballero, Julio/0000-0003-0182-1444; Cornejo, Alberto/0000-0003-0837-4130; Vargas Castillo, Reinaldo/0000-0003-0064-831X</t>
  </si>
  <si>
    <t>Fondecyt Regular [1150745]; INACH [RT 13-13, MT 03-14]; Fondo Nacional de Desarrollo Cientifico and Tecnologico</t>
  </si>
  <si>
    <t>Fondecyt Regular(Comision Nacional de Investigacion Cientifica y Tecnologica (CONICYT)CONICYT FONDECYT); INACH; Fondo Nacional de Desarrollo Cientifico and Tecnologico</t>
  </si>
  <si>
    <t>Fondecyt Regular (No 1150745) and INACH (RT 13-13 and MT 03-14). Fondo Nacional de Desarrollo Cientifico and Tecnologico.</t>
  </si>
  <si>
    <t>1478-6419</t>
  </si>
  <si>
    <t>1478-6427</t>
  </si>
  <si>
    <t>NAT PROD RES</t>
  </si>
  <si>
    <t>Nat. Prod. Res.</t>
  </si>
  <si>
    <t>10.1080/14786419.2018.1492576</t>
  </si>
  <si>
    <t>Chemistry, Applied; Chemistry, Medicinal</t>
  </si>
  <si>
    <t>Chemistry; Pharmacology &amp; Pharmacy</t>
  </si>
  <si>
    <t>KQ7RH</t>
  </si>
  <si>
    <t>WOS:000517117400006</t>
  </si>
  <si>
    <t>Middag, R; de Baart, HJW; Bruland, KW; van Heuven, SMAC</t>
  </si>
  <si>
    <t>Middag, Rob; de Baart, Hein J. W.; Bruland, Kenneth W.; van Heuven, Steven M. A. C.</t>
  </si>
  <si>
    <t>The Distribution of Nickel in the West-Atlantic Ocean, Its Relationship With Phosphate and a Comparison to Cadmium and Zinc</t>
  </si>
  <si>
    <t>GEOTRACES GA02; dissolved nickel; dissolved cadmium; dissolved zinc; west Atlantic</t>
  </si>
  <si>
    <t>TRACE-METALS MN; SOUTHERN-OCEAN; PHYTOPLANKTON GROWTH; DISSOLVED ALUMINUM; GLOBAL OCEAN; NI; SEAWATER; CD; CU; FE</t>
  </si>
  <si>
    <t>Nickel (Ni) is a bio-essential element required for the growth of phytoplankton. It is the least studied bio-essential element, mainly because surface ocean Ni concentrations are never fully depleted and Ni is not generally considered to be a limiting factor. However, stimulation of growth after Ni addition has been observed in past experiments when seemingly ample ambient dissolved Ni was present, suggesting not all dissolved Ni is bio-available. This study details the distribution of Ni along the GEOTRACES GA02 Atlantic Meridional section. Concentrations of Ni were lowest in the surface ocean and the lowest observed concentration of 1.7 nmol kg(-1) was found in the northern hemisphere (NH). The generally lower surface concentrations in the NH subtropical gyre compared to the southern hemisphere (SH), might be related to a greater Ni uptake by nitrogen fixers that are stimulated by iron (Fe) deposition. The distribution of Ni resembles the distribution of cadmium (Cd) and also features a so called kink (change in the steepness of slope) in the Ni-PO4 relationship. Like for Cd, this is caused by the mixing of Nordic and Antarctic origin water masses. The overall distribution of Ni is driven by mixing with an influence of regional remineralization. This influence of remineralization is, with a maximum remineralization contribution of 13% of the highest observed concentration, smaller than for Cd (30%), but larger than for zinc (Zn; 6%). The uptake pattern in the formation regions of Antarctic origin water masses is suggested to be more similar to Zn than to Cd, however, the surface concentrations of Ni are never fully depleted. This results in a North Atlantic concentration distribution of Ni where the trends of increasing and decreasing concentrations between water masses are similar to those observed for Cd, but the actual concentrations as well as the uptake and remineralization patterns are different between these elements.</t>
  </si>
  <si>
    <t>[Middag, Rob; de Baart, Hein J. W.] NIOZ Royal Netherlands Inst Sea Res, Dept Ocean Syst OCS, Texel, Netherlands; [Middag, Rob; de Baart, Hein J. W.] Univ Utrecht, Texel, Netherlands; [de Baart, Hein J. W.] Univ Groningen, Dept Ocean Ecosyst, Groningen, Netherlands; [Bruland, Kenneth W.] Univ Calif Santa Cruz, Inst Marine Sci, Dept Ocean Sci, Santa Cruz, CA 95064 USA; [van Heuven, Steven M. A. C.] Univ Groningen, Energy &amp; Sustainabil Res Inst Groningen, Groningen, Netherlands</t>
  </si>
  <si>
    <t>Utrecht University; Royal Netherlands Institute for Sea Research (NIOZ); Utrecht University; University of Groningen; University of California System; University of California Santa Cruz; University of Groningen</t>
  </si>
  <si>
    <t>Middag, R (corresponding author), NIOZ Royal Netherlands Inst Sea Res, Dept Ocean Syst OCS, Texel, Netherlands.;Middag, R (corresponding author), Univ Utrecht, Texel, Netherlands.</t>
  </si>
  <si>
    <t>rob.middag@nioz.nl</t>
  </si>
  <si>
    <t>Middag, Rob/D-6423-2013</t>
  </si>
  <si>
    <t>Middag, Rob/0000-0002-3326-530X</t>
  </si>
  <si>
    <t>Netherlands Organization for Scientific Research (NWO) [820.01.014, 839.08.410]; USA National Science Foundation (NSF) [OCE-0961579]</t>
  </si>
  <si>
    <t>Netherlands Organization for Scientific Research (NWO)(Netherlands Organization for Scientific Research (NWO)); USA National Science Foundation (NSF)(National Science Foundation (NSF))</t>
  </si>
  <si>
    <t>This work was supported by the Netherlands Organization for Scientific Research (NWO) project grants 820.01.014 (GEOTRACES Netherlands-USA Joint Effort on Trace Metals in the Atlantic Ocean; post-doc of RM at UCSC) and 839.08.410 (GEOTRACES, Global Change and Microbial Oceanography in the West Atlantic Ocean) and the USA National Science Foundation (NSF) grant: OCE-0961579.</t>
  </si>
  <si>
    <t>10.3389/fmars.2020.00105</t>
  </si>
  <si>
    <t>KR4JI</t>
  </si>
  <si>
    <t>WOS:000517585200001</t>
  </si>
  <si>
    <t>Cuba-Díaz, M; Rivera-Mora, C; Navarrete, E; Klagges, M</t>
  </si>
  <si>
    <t>Cuba-Diaz, Marely; Rivera-Mora, Claudia; Navarrete, Eduardo; Klagges, Macarena</t>
  </si>
  <si>
    <t>Advances of native and non-native Antarctic species to in vitro conservation: improvement of disinfection protocols</t>
  </si>
  <si>
    <t>DESCHAMPSIA-ANTARCTICA; SILVER NANOPARTICLES; NANO-SILVER; PLANTS; ESTABLISHMENT; EMBRYOGENESIS; PROPAGATION</t>
  </si>
  <si>
    <t>Plants that inhabit Antarctica have raised scientific interest due to their resilience to climate change, abiotic tolerance mechanisms and potential biological applications. In vitro propagation is useful for conservation, genetic material availability of these species and avoiding mass collection in their habitat. In vitro culture protocols for the native plants Colobanthus quitensis and Deschampsia antarctica and the non-native Juncus bufonius have been affected by endophytic microorganisms that proliferate when introduced to tissue cultures. This study evaluated the microbicidal and phytotoxic effect of calcium hypochlorite (Ca(ClO)(2)), silver nitrate (AgNO3) and silver nanoparticles (AgNPs), and their use at different concentrations for different time periods. The Ca(ClO)(2) at 100 mg mL(-1) showed the best microbial contamination control in D. antarctica (applied for 20 min) and for the three C. quitensis populations (applied for 15 min). In J. bufonius, AgNO3 at 10 mg mL(-1) for 10 min reduced the microbial growth, but oxidative damage was generated. AgNPs did not prevent contamination or have adverse effects on tissues. Survival plantlets from each treatment, population or species were effectively introduced to the tissue culture and their propagation was successful. These results constitute a fundamental advance for the introduction, propagation and conservation of Antarctic species and their use in scientific research.</t>
  </si>
  <si>
    <t>[Cuba-Diaz, Marely; Rivera-Mora, Claudia; Klagges, Macarena] Univ Concepcion, Lab Biotecnol &amp; Estudios Ambientales, Campus Los Angeles, Los Angeles, Chile; [Cuba-Diaz, Marely; Rivera-Mora, Claudia; Navarrete, Eduardo] Univ Concepcion, Dept Ciencias &amp; Tecnol Vegetal, Escuela Ciencias &amp; Tecnol, Campus Los Angeles,Juan Antonio Coloma 0201, Los Angeles 4440000, Chile</t>
  </si>
  <si>
    <t>Universidad de Concepcion; Universidad de Concepcion</t>
  </si>
  <si>
    <t>Cuba-Díaz, M (corresponding author), Univ Concepcion, Lab Biotecnol &amp; Estudios Ambientales, Campus Los Angeles, Los Angeles, Chile.;Cuba-Díaz, M (corresponding author), Univ Concepcion, Dept Ciencias &amp; Tecnol Vegetal, Escuela Ciencias &amp; Tecnol, Campus Los Angeles,Juan Antonio Coloma 0201, Los Angeles 4440000, Chile.</t>
  </si>
  <si>
    <t>mcuba@udec.cl</t>
  </si>
  <si>
    <t>Cuba-Diaz, Marely/V-3109-2019</t>
  </si>
  <si>
    <t>, Claudia Rivera-Mora/0000-0001-6258-2366</t>
  </si>
  <si>
    <t>VRID Project, University of Concepcion, Chile [217.418.009-1.0]</t>
  </si>
  <si>
    <t>VRID Project, University of Concepcion, Chile</t>
  </si>
  <si>
    <t>This research was financed by VRID Project 217.418.009-1.0, Vice-Rectory for Research and Development, University of Concepcion, Chile. This article contributes to the following SCAR biological research programs: Antarctic Thresholds-Ecosystem Resilience and Adaptation (AnT-ERA) and State of the Antarctic Ecosystem (AnT-Eco). We would like to thank Nicolette Miller and her work with Journal Revisions in improving the content and flow of the manuscript.</t>
  </si>
  <si>
    <t>MAR 2</t>
  </si>
  <si>
    <t>10.1038/s41598-020-60533-1</t>
  </si>
  <si>
    <t>LC3LE</t>
  </si>
  <si>
    <t>WOS:000525225500001</t>
  </si>
  <si>
    <t>Frey, MM; Norris, SJ; Brooks, IM; Anderson, PS; Nishimura, K; Yang, X; Jones, AE; Mastromonaco, MGN; Jones, DH; Wolff, EW</t>
  </si>
  <si>
    <t>Frey, Markus M.; Norris, Sarah J.; Brooks, Ian M.; Anderson, Philip S.; Nishimura, Kouichi; Yang, Xin; Jones, Anna E.; Mastromonaco, Michelle G. Nerentorp; Jones, David H.; Wolff, Eric W.</t>
  </si>
  <si>
    <t>First direct observation of sea salt aerosol production from blowing snow above sea ice</t>
  </si>
  <si>
    <t>COASTAL ANTARCTICA; FROST FLOWERS; WIND-SPEED; BROMINE; ACTIVATION; CHEMISTRY; HALLEY; TROPOSPHERE; HUMIDITY; SEAWATER</t>
  </si>
  <si>
    <t>Two consecutive cruises in the Weddell Sea, Antarctica, in winter 2013 provided the first direct observations of sea salt aerosol (SSA) production from blowing snow above sea ice, thereby validating a model hypothesis to account for winter time SSA maxima in the Antarctic. Blowing or drifting snow often leads to increases in SSA during and after storms. For the first time it is shown that snow on sea ice is depleted in sulfate relative to sodium with respect to seawater. Similar depletion in bulk aerosol sized similar to 0.3-6 mu m above sea ice provided the evidence that most sea salt originated from snow on sea ice and not the open ocean or leads, e.g. &gt; 90% during the 8 June to 12 August 2013 period. A temporally very close association of snow and aerosol particle dynamics together with the long distance to the nearest open ocean further supports SSA originating from a local source. A mass budget estimate shows that snow on sea ice contains even at low salinity (&lt; 0.1 psu) more than enough sea salt to account for observed increases in atmospheric SSA during storms if released by sublimation. Furthermore, snow on sea ice and blowing snow showed no or small depletion of bromide relative to sodium with respect to seawater, whereas aerosol was enriched at 2 m and depleted at 29 m, suggesting that significant bromine loss takes place in the aerosol phase further aloft and that SSA from blowing snow is a source of atmospheric reactive bromine, an important ozone sink, even during winter darkness. The relative increase in aerosol concentrations with wind speed was much larger above sea ice than above the open ocean, highlighting the importance of a sea ice source in winter and early spring for the aerosol burden above sea ice. Comparison of absolute increases in aerosol concentrations during storms suggests that to a first order corresponding aerosol fluxes above sea ice can rival those above the open ocean depending on particle size. Evaluation of the current model for SSA production from blowing snow showed that the parameterizations used can generally be applied to snow on sea ice. Snow salinity, a sensitive model parameter, depends to a first order on snow-pack depth and therefore was higher above first-year sea ice (FYI) than above multi-year sea ice (MYI). Shifts in the ratio of FYI and MYI over time are therefore expected to change the seasonal SSA source flux and contribute to the variability of SSA in ice cores, which represents both an opportunity and a challenge for the quantitative interpretation of sea salt in ice cores as a proxy for sea ice.</t>
  </si>
  <si>
    <t>[Frey, Markus M.; Yang, Xin; Jones, Anna E.; Jones, David H.] British Antarctic Survey, Nat Environm Res Council, Cambridge, England; [Norris, Sarah J.; Brooks, Ian M.] Univ Leeds, Sch Earth &amp; Environm, Leeds, W Yorkshire, England; [Anderson, Philip S.] Scottish Assoc Marine Sci, Oban, Argyll, Scotland; [Nishimura, Kouichi] Nagoya Univ, Grad Sch Environm Studies, Nagoya, Aichi, Japan; [Mastromonaco, Michelle G. Nerentorp] IVL Swedish Environm Inst, Stockholm, Sweden; [Wolff, Eric W.] Univ Cambridge, Dept Earth Sci, Cambridge, England; [Jones, David H.] Neptec UK Ltd, Oxford, England</t>
  </si>
  <si>
    <t>UK Research &amp; Innovation (UKRI); Natural Environment Research Council (NERC); NERC British Antarctic Survey; University of Leeds; UHI Millennium Institute; Nagoya University; IVL Swedish Environmental Research Institute; University of Cambridge</t>
  </si>
  <si>
    <t>Frey, MM (corresponding author), British Antarctic Survey, Nat Environm Res Council, Cambridge, England.</t>
  </si>
  <si>
    <t>maey@bas.ac.uk</t>
  </si>
  <si>
    <t>Yang, Xin/AGB-3514-2022; Frey, Markus/G-1756-2012; Wolff, Eric W/D-7925-2014</t>
  </si>
  <si>
    <t>Yang, Xin/0000-0002-3838-9758; Frey, Markus/0000-0003-0535-0416; Wolff, Eric W/0000-0002-5914-8531; NISHIMURA, Kouichi/0000-0003-2521-2491; Jones, Anna/0000-0002-2040-4841; Dennis, Sarah/0000-0002-9815-6892</t>
  </si>
  <si>
    <t>Natural Environment Research Council (UK) through the BLOWSEA project [NE/J023051/1, NE/J020303/1]; NERC [NE/J020303/1, NE/M005852/1, NE/S00257X/1, NE/J023051/1, bas0100032] Funding Source: UKRI</t>
  </si>
  <si>
    <t>Natural Environment Research Council (UK) through the BLOWSEA project; NERC(UK Research &amp; Innovation (UKRI)Natural Environment Research Council (NERC))</t>
  </si>
  <si>
    <t>This research has been supported by the Natural Environment Research Council (UK) through the BLOWSEA project (grant nos. NE/J023051/1 and NE/J020303/1).</t>
  </si>
  <si>
    <t>10.5194/acp-20-2549-2020</t>
  </si>
  <si>
    <t>KT1JV</t>
  </si>
  <si>
    <t>Green Submitted, gold, Green Accepted</t>
  </si>
  <si>
    <t>WOS:000518768800005</t>
  </si>
  <si>
    <t>Kurahashi-Nakamura, T; Paul, A; Munhoven, G; Merkel, U; Schulz, M</t>
  </si>
  <si>
    <t>Kurahashi-Nakamura, Takasumi; Paul, Andre; Munhoven, Guy; Merkel, Ute; Schulz, Michael</t>
  </si>
  <si>
    <t>Coupling of a sediment diagenesis model (MEDUSA) and an Earth system model (CESM1.2): a contribution toward enhanced marine biogeochemical modelling and long-term climate simulations</t>
  </si>
  <si>
    <t>ATMOSPHERIC CO2; CARBON-CYCLE; GLACIAL CYCLES; ANTARCTIC ICE; OCEAN MODEL; WORLD OCEAN; VARIABILITY; EVOLUTION; ISOTOPES; EXPORT</t>
  </si>
  <si>
    <t>We developed a coupling scheme for the Community Earth System Model version 1.2 (CESM1.2) and the Model of Early Diagenesis in the Upper Sediment of Adjustable complexity (MEDUSA), and explored the effects of the coupling on solid components in the upper sediment and on bottom seawater chemistry by comparing the coupled model's behaviour with that of the uncoupled CESM having a simplified treatment of sediment processes. CESM is a fully coupled atmosphere-ocean-sea-ice-land model and its ocean component (the Parallel Ocean Program version 2; POP2) includes a biogeochemical component (the Biogeochemical Elemental Cycling model; BEC). MEDUSA was coupled to POP2 in an offline manner so that each of the models ran separately and sequentially with regular exchanges of necessary boundary condition fields. This development was done with the ambitious aim of a future application for long-term (spanning a full glacial cycle; i.e. similar to 10(5) years) climate simulations with a state-of-the-art comprehensive climate model including the carbon cycle, and was motivated by the fact that until now such simulations have been done only with less-complex climate models. We found that the sediment-model coupling already had non-negligible immediate advantages for ocean biogeochemistry in millennial-timescale simulations. First, the MEDUSA-coupled CESM outperformed the uncoupled CESM in reproducing an observation-based global distribution of sediment properties, especially for organic carbon and opal. Thus, the coupled model is expected to act as a better bridge between climate dynamics and sedimentary data, which will provide another measure of model performance. Second, in our experiments, the MEDUSA-coupled model and the uncoupled model had a difference of 0.2 parts per thousand or larger in terms of delta C-13 of bottom water over large areas, which implied a potentially significant model uncertainty for bottom seawater chemical composition due to a different way of sediment treatment. For example, an ocean model that does not treat sedimentary processes depending on the chemical composition of the ambient water can overestimate the amount of remineralization of organic matter in the upper sediment in an anoxic environment, which would lead to lighter delta C-13 values in the bottom water. Such a model uncertainty would be a fundamental issue for paleo model-data comparison often relying on data derived from benthic foraminifera.</t>
  </si>
  <si>
    <t>[Kurahashi-Nakamura, Takasumi; Paul, Andre; Merkel, Ute; Schulz, Michael] Univ Bremen, MARUM Ctr Marine Environm Sci, Bremen, Germany; [Kurahashi-Nakamura, Takasumi; Paul, Andre; Merkel, Ute; Schulz, Michael] Univ Bremen, Fac Geosci, Bremen, Germany; [Munhoven, Guy] Univ Liege, Lab Phys Atmospher &amp; Planetaire, Liege, Belgium</t>
  </si>
  <si>
    <t>University of Bremen; University of Bremen; University of Liege</t>
  </si>
  <si>
    <t>Kurahashi-Nakamura, T (corresponding author), Univ Bremen, MARUM Ctr Marine Environm Sci, Bremen, Germany.;Kurahashi-Nakamura, T (corresponding author), Univ Bremen, Fac Geosci, Bremen, Germany.</t>
  </si>
  <si>
    <t>tkurahashi@marum.de</t>
  </si>
  <si>
    <t>; Schulz, Michael/P-7276-2016</t>
  </si>
  <si>
    <t>Merkel, Ute/0000-0001-9851-0575; Schulz, Michael/0000-0001-6500-2697</t>
  </si>
  <si>
    <t>German Federal Ministry for Education and Research (BMBF) [FKZ: 01LP1505D]</t>
  </si>
  <si>
    <t>German Federal Ministry for Education and Research (BMBF)(Federal Ministry of Education &amp; Research (BMBF))</t>
  </si>
  <si>
    <t>This research has been supported by the German Federal Ministry for Education and Research (BMBF) (grant no. FKZ: 01LP1505D).</t>
  </si>
  <si>
    <t>10.5194/gmd-13-825-2020</t>
  </si>
  <si>
    <t>KT1KA</t>
  </si>
  <si>
    <t>WOS:000518769300002</t>
  </si>
  <si>
    <t>Konishi, K; Isoda, T; Bando, T; Minamikawa, S; Kleivane, L</t>
  </si>
  <si>
    <t>Konishi, Kenji; Isoda, Tatsuya; Bando, Takeharu; Minamikawa, Shingo; Kleivane, Lars</t>
  </si>
  <si>
    <t>Antarctic minke whales find ice gaps along the ice edge in foraging grounds of the Indo-Pacific sector (60° E and 140° E) of the Southern Ocean</t>
  </si>
  <si>
    <t>Tagging; Minke whale; Antarctic waters; Feeding; State-space modeling</t>
  </si>
  <si>
    <t>KRILL EUPHAUSIA-SUPERBA; BALAENOPTERA-BONAERENSIS; HUMPBACK WHALES; ROSS SEA; MEGAPTERA-NOVAEANGLIAE; MICROSATELLITE LOCI; ENERGY-STORAGE; BALEEN WHALES; INDIAN-OCEAN; ABUNDANCE</t>
  </si>
  <si>
    <t>Antarctic minke whales Balaenoptera bonaerensis are rorquals that migrate to Antarctic waters to forage during the austral summer. Because the species frequents the edges of ice packs in summer, the potential impact of long-term physical environmental changes poses serious conservation concerns. Condition along the ice edge vary regionally, sometimes forming small ice free areas (ice gaps), and little is known about whale movement patterns associated with these small-scale variations in the physical environment. In this study, six minke whales were tracked for an average of 31 days (range 4-77 days) from January to March of 2016 and 2017 between 60 degrees E and 140 degrees E above and off the continental shelf. The tracking data of five animals were fitted to a Bayesian hierarchical switching state-space model assembled from ARGOS data filters to estimate behavioral states. Results show that Antarctic minke whales are likely to search for ice gaps areas and remain there for extended periods until the surrounding ice melts, rather than stay at krill rich shelf breaks or areas with high chlorophyll-a concentration. When no ice gaps were nearby, the whales were likely to move eastward along highly concentrated ice packs to find a gap. Our study found a strong association between minke whale movements and ice dynamics during the summer foraging season in this region.</t>
  </si>
  <si>
    <t>[Konishi, Kenji; Isoda, Tatsuya; Bando, Takeharu] Inst Cetacean Res, Chuo Ku, 4-5 Toyomi Cho, Tokyo 1040055, Japan; [Minamikawa, Shingo] Japan Fisheries Res &amp; Educ Agcy, Nishi Ku, 15F Queens Tower B,2-3-3 Minato Mirai, Yokohamai, Kanagawa 2206115, Japan; [Kleivane, Lars] LKARTS Norway, Skutvik Landhandel, N-8290 Skutvik, Norway</t>
  </si>
  <si>
    <t>Japan Fisheries Research &amp; Education Agency (FRA)</t>
  </si>
  <si>
    <t>Konishi, K (corresponding author), Inst Cetacean Res, Chuo Ku, 4-5 Toyomi Cho, Tokyo 1040055, Japan.</t>
  </si>
  <si>
    <t>konishi@cetacean.jp</t>
  </si>
  <si>
    <t>Kleivane, Lars/0000-0002-2550-1405; Konishi, Kenji/0000-0002-6120-9903</t>
  </si>
  <si>
    <t>Fisheries Agency of Japan</t>
  </si>
  <si>
    <t>Authors thank all crew and researchers of Yushinmaru, Yushin-maru No.2, Yushin-maru No.3 and Kaiyo-maru No.7 who were engaged in the tagging experiments as part of the NEWREPA cruises. This study was supported by the Fisheries Agency of Japan. We also thank M. Taguchi for providing information on the sex of the minke whales by genetic analyses, and S. Ohsumi, Y. Fujise, T. Tamura, L. Pastene and D. Goodman for their helpful comments. Comments from five anonymous reviewers helped to refine the manuscript further. We are thankful for the helpful advice.</t>
  </si>
  <si>
    <t>10.1007/s00300-020-02638-x</t>
  </si>
  <si>
    <t>WOS:000517734900002</t>
  </si>
  <si>
    <t>Bose, S</t>
  </si>
  <si>
    <t>Bose, Sankar</t>
  </si>
  <si>
    <t>Geology of the Proterozoic Eastern Ghats Belt: Recent Developments and Outstanding Issues</t>
  </si>
  <si>
    <t>PROCEEDINGS OF THE INDIAN NATIONAL SCIENCE ACADEMY</t>
  </si>
  <si>
    <t>Article; Proceedings Paper</t>
  </si>
  <si>
    <t>36th International Geological Congress (IGC)</t>
  </si>
  <si>
    <t>NOV 09-14, 2020</t>
  </si>
  <si>
    <t>Delhi, INDIA</t>
  </si>
  <si>
    <t>ZIRCON U-PB; SM-ND; RENGALI PROVINCE; CRATON EVIDENCE; GRANULITE BELT; SOUTHERN INDIA; ARC MAGMATISM; 1ST EVIDENCE; RB-SR; MARGIN</t>
  </si>
  <si>
    <t>The Eastern Ghats Belt of India has remained a focus for intensive research over three decades. Its unusual rock assemblages, anomalous thermal conditions of metamorphism and consanguinity with the East Antarctica for a considerable geological time has made it a unique case study. This apparently monotonous terrane bears the fingerprint of a complex and fascinating journey of the Indo-Antarctic continental block during Earth's middle age. The paper collates the recent findings from this terrane and presents a status report with yet-to-be resolved issues in the light of current literature.</t>
  </si>
  <si>
    <t>[Bose, Sankar] Presidency Univ, Ctr Adv Study, Dept Geol, Kolkata 700073, India</t>
  </si>
  <si>
    <t>Presidency University, Kolkata</t>
  </si>
  <si>
    <t>Bose, S (corresponding author), Presidency Univ, Ctr Adv Study, Dept Geol, Kolkata 700073, India.</t>
  </si>
  <si>
    <t>sankar.geol@presiuniv.ac.in</t>
  </si>
  <si>
    <t>INDIAN NAT SCI ACAD</t>
  </si>
  <si>
    <t>NEW DELHI</t>
  </si>
  <si>
    <t>BAHADUR SHAH ZAFAR MARG, NEW DELHI 110002, INDIA</t>
  </si>
  <si>
    <t>0370-0046</t>
  </si>
  <si>
    <t>P INDIAN NATL SCI AC</t>
  </si>
  <si>
    <t>Proc. Indian Natl. Sci. Acad.</t>
  </si>
  <si>
    <t>10.16943/ptinsa/2020/49814</t>
  </si>
  <si>
    <t>PY7JY</t>
  </si>
  <si>
    <t>WOS:000612219500007</t>
  </si>
  <si>
    <t>Mohan, R; Roy, SK; Meloth, T; Anilkumar, N; Krishnan, KP; Sabu, P; Kumar, A; Mahesh, BS; Patil, SM; Venkatachalam, S; Pant, NC</t>
  </si>
  <si>
    <t>Mohan, Rahul; Roy, Sandip Kumar; Meloth, Thamban; Anilkumar, N.; Krishnan, K. P.; Sabu, P.; Kumar, Avinash; Mahesh, B. S.; Patil, Shramik M.; Venkatachalam, S.; Pant, Naresh Chandra</t>
  </si>
  <si>
    <t>Recent Indian Contributions from the Polar Realm</t>
  </si>
  <si>
    <t>EAST-AFRICAN OROGEN; SUBTROPICAL FRONTAL REGION; DRONNING MAUD LAND; SOUTHERN-OCEAN; SCHIRMACHER OASIS; LATE QUATERNARY; SEA-ICE; COMMUNITY STRUCTURE; ANTARCTIC CLIMATE; AUSTRAL SUMMER</t>
  </si>
  <si>
    <t>Polar science in India has gained enough impetus post the 1980's with the launching of the Indian Scientific Expedition to Antarctica on 6th December 1981 and the establishment of the Department of Ocean Development (now the Ministry of Earth Sciences). Indian scientific endeavors in the polar realm are tripolar with emphasis on the Arctic, Antarctica (including the Southern Ocean) and the recent addition of Himalayas to the mandate (not covered in this article). The scientific endeavors of the Indian Scientific Expedition to Antarctica (ISEA) have increasingly covered a wide spectrum of fields since 1981. These include, geological investigations of exposed outcrops in the vicinity of the Indian Antarctic research bases, paleolimnological studies, satellite remote sensing related work, polar biological science, and the snow, ice and ice core studies Indian researchers have put footprints in the Arctic (since 2007) at the Ny-Alesund scientific village, Svalbard. India therefore has now its presence in both Arctic and Antarctica with active research bases (Arctic: Himadri; Antarctica: Maitri and Bharati; managed by the National Centre for Polar and Ocean Research based in Goa). In addition, India launches dedicated expeditions to the Southern Ocean to decipher its hydrodynamics and biogeochemistry. A brief overview of scientific achievements of Indian researchers in the various fields of research is provided in this compilation.</t>
  </si>
  <si>
    <t>[Mohan, Rahul; Meloth, Thamban; Anilkumar, N.; Krishnan, K. P.; Sabu, P.; Kumar, Avinash; Mahesh, B. S.; Patil, Shramik M.; Venkatachalam, S.] Natl Ctr Polar &amp; Ocean Res, Vasco Da Gama, Goa, India; [Roy, Sandip Kumar] Geol Survey India, Nagpur, Maharashtra, India; [Pant, Naresh Chandra] Univ Delhi, Delhi, India</t>
  </si>
  <si>
    <t>Ministry of Earth Sciences (MoES) - India; National Centre for Polar and Ocean Research (NCPOR); Geological Survey India; University of Delhi</t>
  </si>
  <si>
    <t>Mohan, R (corresponding author), Natl Ctr Polar &amp; Ocean Res, Vasco Da Gama, Goa, India.</t>
  </si>
  <si>
    <t>rahulmohan@ncpor.res.in</t>
  </si>
  <si>
    <t>Roy, Sandip Kumar/AAE-4323-2019</t>
  </si>
  <si>
    <t>Avinash, Kumar/0000-0002-6511-8435; Patil, Shramik/0000-0001-8937-1403</t>
  </si>
  <si>
    <t>National Centre for Polar and Ocean Research, Goa</t>
  </si>
  <si>
    <t>The authors have compiled the work being carried out by the Indian community in the polar regions. However, there are many areas and work which has not been presented here owing to the scope of this review paper. We would like to place on record our grateful thanks to the Secretary, Ministry of Earth Sciences for continued support to the Polar programme and Dr. M Ravichandran, Director, National Centre for Polar and Ocean Research, Goa for the support and encouragement. The authors would like to place on record thanks to the Editors for inviting us to submit this review. This is NCPOR Contribution No P-2/2019-20.</t>
  </si>
  <si>
    <t>10.16943/ptinsa/2020/49806</t>
  </si>
  <si>
    <t>WOS:000612219500045</t>
  </si>
  <si>
    <t>Philpott, C; Leane, E; Quin, D</t>
  </si>
  <si>
    <t>Philpott, Carolyn; Leane, Elizabeth; Quin, Douglas</t>
  </si>
  <si>
    <t>Vaughan Williams and the Soundscapes of Scott of the Antarctic</t>
  </si>
  <si>
    <t>MUSICAL QUARTERLY</t>
  </si>
  <si>
    <t>[Philpott, Carolyn] Univ Tasmania, Musicol, Conservatorium Mus, Hobart, Tas, Australia; [Philpott, Carolyn] Inst Marine &amp; Antarctic Studies, Hobart, Tas, Australia; [Leane, Elizabeth] Univ Tasmania, English, Hobart, Tas, Australia; [Leane, Elizabeth] Univ Tasmania, Coll Arts Law &amp; Educ, Res, Hobart, Tas, Australia; [Quin, Douglas] Merkin Hall, New York, NY USA; [Quin, Douglas] The Kitchen, Washington, DC USA; [Quin, Douglas] Kennedy Ctr Performing Arts, Washington, DC USA; [Quin, Douglas] Spoleto Festival USA, Charleston, SC USA; [Quin, Douglas] Venice Int Performance Art Week, Venice, Italy; [Quin, Douglas] Syracuse Univ, SI Newhouse Sch Publ Commun, Syracuse, NY 13244 USA; [Quin, Douglas] Univ Tasmania, Hobart, Tas, Australia</t>
  </si>
  <si>
    <t>University of Tasmania; University of Tasmania; University of Tasmania; University of Tasmania; Syracuse University; University of Tasmania</t>
  </si>
  <si>
    <t>Philpott, C (corresponding author), Univ Tasmania, Musicol, Conservatorium Mus, Hobart, Tas, Australia.;Philpott, C (corresponding author), Inst Marine &amp; Antarctic Studies, Hobart, Tas, Australia.</t>
  </si>
  <si>
    <t>carolyn.philpott@utas.edu.au; elizabeth.leane@utas.edu.au; dhquin@syr.edu</t>
  </si>
  <si>
    <t>Philpott, Carolyn/0000-0002-5778-5748</t>
  </si>
  <si>
    <t>University of Tasmania; Syracuse University; Australian Government through the Australian Research Council [FT120100402]; Australian Research Council [FT120100402] Funding Source: Australian Research Council</t>
  </si>
  <si>
    <t>University of Tasmania; Syracuse University; Australian Government through the Australian Research Council(Australian Research Council); Australian Research Council(Australian Research Council)</t>
  </si>
  <si>
    <t>We wish to acknowledge the staff in the Music Manuscripts department at the British Library and Mr. Hugh Cobbe, Director of The Vaughan Williams Charitable Trust, for assistance with arranging access to manuscript sources. We are also grateful to the University of Tasmania and Syracuse University for grants and in-kind support that enabled travel to archives and in-person collaboration to take place. Elizabeth Leane's contribution to this research was supported by the Australian Government through the Australian Research Council under FT120100402. Thanks are also due to the editors and anonymous reviewers whose thoughtful comments helped to shape the final version of this article.</t>
  </si>
  <si>
    <t>OXFORD UNIV PRESS INC</t>
  </si>
  <si>
    <t>CARY</t>
  </si>
  <si>
    <t>JOURNALS DEPT, 2001 EVANS RD, CARY, NC 27513 USA</t>
  </si>
  <si>
    <t>0027-4631</t>
  </si>
  <si>
    <t>1741-8399</t>
  </si>
  <si>
    <t>MUSIC QUART</t>
  </si>
  <si>
    <t>Music. Q.</t>
  </si>
  <si>
    <t>SPR-SUM</t>
  </si>
  <si>
    <t>1-2</t>
  </si>
  <si>
    <t>10.1093/musqtl/gdaa006</t>
  </si>
  <si>
    <t>Music</t>
  </si>
  <si>
    <t>Arts &amp; Humanities Citation Index (A&amp;HCI)</t>
  </si>
  <si>
    <t>PT1ZC</t>
  </si>
  <si>
    <t>WOS:000608418000005</t>
  </si>
  <si>
    <t>Karpechko, AY</t>
  </si>
  <si>
    <t>Karpechko, Alexey Yu.</t>
  </si>
  <si>
    <t>Jet stream stops shifting as ozone layer recovers</t>
  </si>
  <si>
    <t>Mathematics and computing; Public health; Infection</t>
  </si>
  <si>
    <t>The Antarctic ozone hole shifted the jet stream in the Southern Hemisphere poleward, leading to hemisphere-wide climatic changes. But the Montreal Protocol, which banned ozone-depleting substances, has halted the shift. See p.544</t>
  </si>
  <si>
    <t>[Karpechko, Alexey Yu.] Finnish Meteorol Inst, Meteorol Res Unit, POB 503, FI-00101 Helsinki, Finland</t>
  </si>
  <si>
    <t>Finnish Meteorological Institute</t>
  </si>
  <si>
    <t>Karpechko, AY (corresponding author), Finnish Meteorol Inst, Meteorol Res Unit, POB 503, FI-00101 Helsinki, Finland.</t>
  </si>
  <si>
    <t>alexey.karpechko@fmi.fi</t>
  </si>
  <si>
    <t>Karpechko, Alexey/JVN-9414-2024</t>
  </si>
  <si>
    <t>Karpechko, Alexey/0000-0003-0902-0414</t>
  </si>
  <si>
    <t>10.1038/d41586-020-00787-x</t>
  </si>
  <si>
    <t>KX4BT</t>
  </si>
  <si>
    <t>WOS:000521825500015</t>
  </si>
  <si>
    <t>Urban, ER; Bowie, AR; Boyd, PW; Buck, KN; Lohan, MC; Sander, SG; Schlitzer, R; Tagliabue, A; Turner, D</t>
  </si>
  <si>
    <t>Urban, Edward R., Jr.; Bowie, Andrew R.; Boyd, Philip W.; Buck, Kristen N.; Lohan, Maeve C.; Sander, Sylvia G.; Schlitzer, Reiner; Tagliabue, Alessandro; Turner, David</t>
  </si>
  <si>
    <t>The Importance of Bottom-Up Approaches to International Cooperation in Ocean Science THE IRON STORY</t>
  </si>
  <si>
    <t>OCEANOGRAPHY</t>
  </si>
  <si>
    <t>DISSOLVED IRON; TRACE-METALS; BIOGEOCHEMISTRY; GEOTRACES</t>
  </si>
  <si>
    <t>In the past decade, several international efforts developed to address urgent societal issues have been identified through, for example, the United Nations 2030 Agenda for Sustainable Development and its associated 17 Sustainable Development Goals and the United Nations Decade of Ocean Science for Sustainable Development (2021-2030). These worthy efforts will bring ocean science research to bear on problems that need attention in the short term. Yet, there is also a continuing need at the international level to support fundamental ocean science and solve methodological issues over the long term. While knowledge needs to be created before it can be applied, national and international science strategy documents often do not mention the need to maintain the health of the basic science enterprise. We argue that international organizations designed to create knowledge must be maintained and strengthened to inform decisions on how to allocate funding for generating knowledge about the ocean versus solving ocean problems. We use the ocean iron cycle as an example of the benefits of using such a bottom-up approach to knowledge generation.</t>
  </si>
  <si>
    <t>[Urban, Edward R., Jr.] Sci Comm Ocean Res, Newark, DE 19716 USA; [Urban, Edward R., Jr.] Univ Delaware, Newark, DE 19716 USA; [Bowie, Andrew R.; Boyd, Philip W.] Univ Tasmania, Inst Marine &amp; Antarctic Studies, Hobart, Tas, Australia; [Buck, Kristen N.] Univ S Florida, Coll Marine Sci, Tampa, FL USA; [Lohan, Maeve C.] Natl Oceanog Ctr, Southampton, Hants, England; [Sander, Sylvia G.] IAEA Nucl Applicat Marine Environm Studies Lab, Southampton, Hants, England; [Schlitzer, Reiner] Helmholtz Ctr Polar &amp; Marine Res, Alfred Wegener Inst, Bremerhaven, Germany; [Tagliabue, Alessandro] Univ Liverpool, Liverpool, Merseyside, England; [Turner, David] Univ Gothenburg, Dept Marine Sci, Gothenburg, Sweden</t>
  </si>
  <si>
    <t>University of Delaware; University of Tasmania; State University System of Florida; University of South Florida; NERC National Oceanography Centre; Helmholtz Association; Alfred Wegener Institute, Helmholtz Centre for Polar &amp; Marine Research; University of Liverpool; University of Gothenburg</t>
  </si>
  <si>
    <t>Urban, ER (corresponding author), Sci Comm Ocean Res, Newark, DE 19716 USA.;Urban, ER (corresponding author), Univ Delaware, Newark, DE 19716 USA.</t>
  </si>
  <si>
    <t>ed.urban@scor-int.org</t>
  </si>
  <si>
    <t>Buck, Kristen/O-3988-2014; Sander, Sylvia/AAC-3559-2022; Bowie, Andrew/C-8677-2013; Boyd, Philip/J-7624-2014</t>
  </si>
  <si>
    <t>Buck, Kristen/0000-0002-3871-870X; Sander, Sylvia/0000-0001-9581-9737; Tagliabue, Alessandro/0000-0002-3572-3634; Bowie, Andrew/0000-0002-5144-7799; Schlitzer, Reiner/0000-0002-3740-6499; Lohan, Maeve/0000-0002-5340-3108; Urban, Edward/0000-0002-6177-5585; Boyd, Philip/0000-0001-7850-1911</t>
  </si>
  <si>
    <t>US National Science Foundation; government of the Principality of Monaco; NERC [NE/N010396/1] Funding Source: UKRI</t>
  </si>
  <si>
    <t>US National Science Foundation(National Science Foundation (NSF)); government of the Principality of Monaco; NERC(UK Research &amp; Innovation (UKRI)Natural Environment Research Council (NERC))</t>
  </si>
  <si>
    <t>SCOR is supported by 31 national SCOR committees, several hundred scientists who volunteer their time to support SCOR work, national funding agencies such as the US National Science Foundation that support SCOR working groups, many national institutions and agencies that support international project offices for SCOR activities, and several charitable foundations. The International Atomic Energy Agency is grateful to the government of the Principality of Monaco for the support provided to its Environment Laboratories.</t>
  </si>
  <si>
    <t>OCEANOGRAPHY SOC</t>
  </si>
  <si>
    <t>ROCKVILLE</t>
  </si>
  <si>
    <t>P.O. BOX 1931, ROCKVILLE, MD USA</t>
  </si>
  <si>
    <t>1042-8275</t>
  </si>
  <si>
    <t>10.5670/oceanog.2020.109</t>
  </si>
  <si>
    <t>KX2SS</t>
  </si>
  <si>
    <t>WOS:000521731800004</t>
  </si>
  <si>
    <t>Mobjerg, N; Michalczyk, L; Mcinnes, SJ; Christenhusz, MJM</t>
  </si>
  <si>
    <t>Mobjerg, Nadja; Michalczyk, Lukasz; Mcinnes, Sandra J.; Christenhusz, Maarten J. M.</t>
  </si>
  <si>
    <t>Research presented at the 14th International Symposium on Tardigrada: progress in studies on water bears</t>
  </si>
  <si>
    <t>ZOOLOGICAL JOURNAL OF THE LINNEAN SOCIETY</t>
  </si>
  <si>
    <t>anatomy; behaviour; development; ecology; evolution; genetics; geography; phylogenetics; reproduction; taxonomy</t>
  </si>
  <si>
    <t>RADIATION TOLERANCE; STRESS TOLERANCE; LIFE-HISTORY; EUTARDIGRADA; SPACE; ESTABLISHMENT; ENVIRONMENTS; DIVERSITY; POSITION; REVEAL</t>
  </si>
  <si>
    <t>The 14th International Symposium on Tardigrada took place in Copenhagen, Denmark from 30 July to 3 August 2018. Approximately 140 participants, representing 28 countries from five continents attended the meeting, and there were 58 talks and 74 posters of which 20 were selected for the Symposium Proceedings published in this special issue. The studies span phylogenomics, systematics, anatomy, morphology, reproductive biology, cryobiology, ecology, diet, microbial interactions and biogeography, taking the next step forward in broadening and deepening our understanding of tardigrade biology.</t>
  </si>
  <si>
    <t>[Mobjerg, Nadja] Univ Copenhagen, Dept Biol, August Krogh Bldg,Univ Pk 13, DK-2100 Copenhagen O, Denmark; [Michalczyk, Lukasz] Jagiellonian Univ, Inst Zool &amp; Biomed Res, Gronostajowa 9, PL-30387 Krakow, Poland; [Mcinnes, Sandra J.] British Antarctic Survey, Programme Off, Madingley Rd, Cambridge CB3 0ET, England; [Christenhusz, Maarten J. M.] Curtin Univ, Dept Environm &amp; Agr, Perth, WA, Australia</t>
  </si>
  <si>
    <t>University of Copenhagen; Jagiellonian University; UK Research &amp; Innovation (UKRI); Natural Environment Research Council (NERC); NERC British Antarctic Survey; Curtin University</t>
  </si>
  <si>
    <t>Mobjerg, N (corresponding author), Univ Copenhagen, Dept Biol, August Krogh Bldg,Univ Pk 13, DK-2100 Copenhagen O, Denmark.</t>
  </si>
  <si>
    <t>nmobjerg@bio.ku.dk</t>
  </si>
  <si>
    <t>Møbjerg, Nadja/AAT-4788-2021; McInnes, Sandra/AAN-4773-2020; Christenhusz, Maarten JM/D-5900-2011; Michalczyk, Lukasz/D-1362-2009</t>
  </si>
  <si>
    <t>Møbjerg, Nadja/0000-0002-5845-9047; McInnes, Sandra/0000-0003-3403-9379; Michalczyk, Lukasz/0000-0002-2912-4870</t>
  </si>
  <si>
    <t>Carlsberg Foundation [CF17-0688]; Independent Research Fund Denmark [DFF-4090-00145]</t>
  </si>
  <si>
    <t>Carlsberg Foundation(Carlsberg Foundation); Independent Research Fund Denmark(Det Frie Forskningsrad (DFF))</t>
  </si>
  <si>
    <t>Financial support to the 14th International Symposium on Tardigrada came from the Carlsberg Foundation (CF17-0688) and The Independent Research Fund Denmark (grant-ID: DFF-4090-00145). We thank all participants who honoured `Tardigrada 2018' by sharing and discussing their research through talks and posters. Special thanks also go to the student volunteers for their help with preparing registration bags, registration of conference participants, technical assistance to speakers, and sharing on social media. We also extend our special thanks to the reviewers, who dedicated time and effort to the revision of the manuscripts of this special issue. The 15th International Symposium on Tardigrada, is planned to take place between 23 and 27 August 2021 in Krakow, Poland. We look forward to seeing all of you there.</t>
  </si>
  <si>
    <t>0024-4082</t>
  </si>
  <si>
    <t>1096-3642</t>
  </si>
  <si>
    <t>ZOOL J LINN SOC-LOND</t>
  </si>
  <si>
    <t>Zool. J. Linn. Soc.</t>
  </si>
  <si>
    <t>LL9GN</t>
  </si>
  <si>
    <t>WOS:000531861500001</t>
  </si>
  <si>
    <t>Howard, T; Palmer, MD</t>
  </si>
  <si>
    <t>Howard, Tom; Palmer, Matthew D.</t>
  </si>
  <si>
    <t>Sea-level rise allowances for the UK</t>
  </si>
  <si>
    <t>ENVIRONMENTAL RESEARCH COMMUNICATIONS</t>
  </si>
  <si>
    <t>sea-level rise; Hunter's allowance; projection uncertainty; return-level curve; UKtide gauges</t>
  </si>
  <si>
    <t>NORTH-SEA; CLIMATE; IMPACT; CMIP5</t>
  </si>
  <si>
    <t>We evaluate sea-level-rise allowances for UK tide-gauge locations based on the best available current description of present-day extreme still water return level curves and the United Kingdom Climate Projections 2018 (UKCP18) regionalised projections of future time-mean sea-level (MSL) change. We focus primarily on projections for 2100 under Representative Concentration Pathway 8.5. The practical benefit of an allowance is that it condenses a distribution of MSL projections into a single recommendation. Our basic allowances are founded on the probability distributions of all components of time-mean sea-level rise considered by UKCP18 except the Antarctic dynamic uncertainty. For the Antarctic dynamic contribution we include the mean projection. These basic allowances are suitable for use in situations where there is some tolerance of uncertainty. The allowance is always greater than the central estimate (50th percentile) of mean sea-level rise. Our basic allowance is found to lie below the 80th percentile in most cases, and below the 90th percentile in all cases, throughout the 21st century. We find significant sensitivity of the allowance to the uncertainty (but not the curvature) of the present-day return level plot. We find that the normal approximation is legitimate for the sum of all components of time mean sea-level rise considered by UKCP18 except the Antarctic dynamic uncertainty. UKCP18 used a lognormal distribution to parameterise the Antarctic dynamic contribution. For a lognormal distribution of MSL rise, Hunter's allowance is not finite. Modifying the lognormal distribution, we give an additional allowance for the Antarctic dynamic contribution uncertainty, which could be added to the basic allowance in situations where there is less tolerance of uncertainty. This additional allowance is small (less than 1 cm at any UK location before 2060) compared to the basic allowance, and, at least over the 21st century, it is virtually independent of greenhouse gas concentration pathway.</t>
  </si>
  <si>
    <t>[Howard, Tom; Palmer, Matthew D.] Met Off, FitzRoy Rd, Exeter EX1 3PB, Devon, England</t>
  </si>
  <si>
    <t>Met Office - UK</t>
  </si>
  <si>
    <t>Howard, T (corresponding author), Met Off, FitzRoy Rd, Exeter EX1 3PB, Devon, England.</t>
  </si>
  <si>
    <t>tom.howard@metoffice.gov.uk</t>
  </si>
  <si>
    <t>Howard, Tom/0000-0001-5951-9307; Palmer, Matthew/0000-0001-7422-198X</t>
  </si>
  <si>
    <t>Met Office Hadley Centre Climate Programme - BEIS; Defra</t>
  </si>
  <si>
    <t>Met Office Hadley Centre Climate Programme - BEIS; Defra(Department for Environment, Food &amp; Rural Affairs (DEFRA))</t>
  </si>
  <si>
    <t>This work was supported by the Met Office Hadley Centre Climate Programme funded by BEIS and Defra. We thank John Hunter for extensive help and guidance with details of the allowance calculation. Thank you to Jenny Sansom for help and guidance with interpretation of the present-day extremes data. Thank you to Aimee Slangen for comments and information that helped with our understanding. Thank you to Jonathan Gregory for extensive help with understanding the background to the UKCP18 MSL projections. Thank you to Jonathan Tawn for a very helpful discussion (Summer 2015). Our apologies to those (Aimee, Jenny) who helpfully provided further data which we didn't manage to incorporate into this publication. Wewish to acknowledge the efforts of the anonymous referees, whose contributions improved an earlier draft of this paper. This publication contains public sector information licensed under the Open Government Licence v3.0.</t>
  </si>
  <si>
    <t>2515-7620</t>
  </si>
  <si>
    <t>ENVIRON RES COMMUN</t>
  </si>
  <si>
    <t>Environ. Res. Commun.</t>
  </si>
  <si>
    <t>10.1088/2515-7620/ab7cb4</t>
  </si>
  <si>
    <t>OC9XA</t>
  </si>
  <si>
    <t>WOS:000579508300003</t>
  </si>
  <si>
    <t>Rocha, R; Borges, PAV; Cardoso, P; Kusrini, MD; Martín-Esquivel, JL; Menezes, D; Mota-Ferreira, M; Nunes, SF; Orfao, I; Serra-Gonçalves, C; Sim-Sim, M; Sepúlveda, P; Teixeira, D; Traveset, A</t>
  </si>
  <si>
    <t>Rocha, Ricardo; Borges, Paulo A. V.; Cardoso, Pedro; Kusrini, Mirza Dikari; Luis Martin-Esquivel, Jose; Menezes, Dilia; Mota-Ferreira, Mario; Nunes, Sara F.; Orfao, Ines; Serra-Goncalves, Catarina; Sim-Sim, Manuela; Sepulveda, Pedro; Teixeira, Dinarte; Traveset, Anna</t>
  </si>
  <si>
    <t>Stone-stacking as a looming threat to rock-dwelling biodiversity</t>
  </si>
  <si>
    <t>HUMAN-WILDLIFE INTERACTIONS</t>
  </si>
  <si>
    <t>habitat disturbance; invertebrate conservation; narrow-range endemics; nature-based tourism; retreat sites</t>
  </si>
  <si>
    <t>SELECTION; OUTCROPS; SITES</t>
  </si>
  <si>
    <t>[Rocha, Ricardo; Mota-Ferreira, Mario] Univ Porto, Res Ctr Biodivers &amp; Genet Resources, CIBIO InBIO UP, Rua Padre Armando Quintas, P-4485661 Vairao, Portugal; [Rocha, Ricardo; Mota-Ferreira, Mario] Univ Lisbon, Inst Agron, Ctr Appl Ecol Prof Baeta Neves, CEABN InBIO, P-1349017 Lisbon, Portugal; [Rocha, Ricardo; Borges, Paulo A. V.; Nunes, Sara F.; Orfao, Ines; Sim-Sim, Manuela] Univ Lisbon, Ctr Ecol Evolut &amp; Environm Changes, Fac Sci, P-1749016 Lisbon, Portugal; [Borges, Paulo A. V.] Azorean Biodivers Grp cE3c, Rua Capitao Joao dAvila, P-9700042 Terceira, Acores, Portugal; [Borges, Paulo A. V.] Univ Acores, Fac Agr &amp; Environm, Rua Capitao Joao dAvila, P-9700042 Terceira, Acores, Portugal; [Cardoso, Pedro; Teixeira, Dinarte] Univ Helsinki, Lab Integrat Biodivers Res LIBRe, Finnish Museum Nat Hist, Helsinki, Finland; [Kusrini, Mirza Dikari] IPB Univ, Inst Pertanian Bogor, Fac Forestry, Jalan Ulin,Kampus Darmaga, Bogor 16680, Indonesia; [Luis Martin-Esquivel, Jose] Natl Pk Teide, C Dr Sixto Perera Gonzalez 25, La Orotava 38300, Canary Islands, Spain; [Menezes, Dilia; Teixeira, Dinarte] Inst Florestas &amp; Conservacao Nat, IP RAM, P-9064512 Funchal, Portugal; [Nunes, Sara F.] Univ Helsinki, Fac Biol &amp; Environm Sci, Global Change &amp; Conservat, POB 65,Viikinkaari 1, Helsinki 00014, Finland; [Orfao, Ines] Univ Lisbon, CFCUL Ctr Filosofia Ciencias, P-1749016 Lisbon, Portugal; [Serra-Goncalves, Catarina] Univ Tasmania, Inst Marine &amp; Antarctic Studies, Sch Rd, Newnham, Tas 7250, Australia; [Sim-Sim, Manuela] Univ Lisbon, MUHNAC Museu Nacl Hist Nat &amp; Ciencia, Rua Escola Politecn 58, P-1250102 Lisbon, Portugal; [Sepulveda, Pedro] DROTA Direcao Reg Ordenamento Terr &amp; Ambiente, Rua Dr Pestana Jr, P-9064506 Funchal, Portugal; [Teixeira, Dinarte] Univ Madeira, Fac Life Sci, P-9020105 Funchal, Portugal; [Traveset, Anna] IMEDEA CSIC UIB, Mediterranean Inst Adv Studies, C Miquel Marques 21, Mallorca 07190, Balearic Island, Spain</t>
  </si>
  <si>
    <t>Universidade do Porto; Universidade de Lisboa; Universidade de Lisboa; Universidade dos Acores; University of Helsinki; Bogor Agricultural University; University of Helsinki; Universidade de Lisboa; University of Tasmania; Universidade de Lisboa; Universidade da Madeira; Consejo Superior de Investigaciones Cientificas (CSIC); ATTITUS Educacao; Universitat de les Illes Balears</t>
  </si>
  <si>
    <t>Rocha, R (corresponding author), Univ Porto, Res Ctr Biodivers &amp; Genet Resources, CIBIO InBIO UP, Rua Padre Armando Quintas, P-4485661 Vairao, Portugal.;Rocha, R (corresponding author), Univ Lisbon, Inst Agron, Ctr Appl Ecol Prof Baeta Neves, CEABN InBIO, P-1349017 Lisbon, Portugal.;Rocha, R (corresponding author), Univ Lisbon, Ctr Ecol Evolut &amp; Environm Changes, Fac Sci, P-1749016 Lisbon, Portugal.</t>
  </si>
  <si>
    <t>ricardo.nature@gmail.com</t>
  </si>
  <si>
    <t>Cardoso, Pedro/A-8820-2008; Rocha, Ricardo/AAM-3749-2021; Mota-Ferreira, Mário/K-1890-2013; Sim-Sim, Manuela/H-1666-2011; Cardoso, Pedro/AAY-9650-2020; Kusrini, Mirza Dikari/GQB-2150-2022; Borges, Paulo AV/AEW-0237-2022</t>
  </si>
  <si>
    <t>Cardoso, Pedro/0000-0001-8119-9960; Rocha, Ricardo/0000-0003-2757-7347; Mota-Ferreira, Mário/0000-0002-0595-620X; Sim-Sim, Manuela/0000-0003-3467-6538; Borges, Paulo AV/0000-0002-8448-7623; Sepulveda, Pedro/0000-0003-1879-9933</t>
  </si>
  <si>
    <t>ARDITI-Madeira's Regional Agency for the Development of Research, Technology and Innovation [M1420-09-5369-FSE-000002]</t>
  </si>
  <si>
    <t>ARDITI-Madeira's Regional Agency for the Development of Research, Technology and Innovation</t>
  </si>
  <si>
    <t>We acknowledge the support from ARDITI-Madeira's Regional Agency for the Development of Research, Technology and Innovation (grant M1420-09-5369-FSE-000002) to R. Rocha. Comments from F. Angelici, HWI associate editor, provided insight for an earlier version of the letter.</t>
  </si>
  <si>
    <t>JACK H BERRYMAN INST</t>
  </si>
  <si>
    <t>LOGAN</t>
  </si>
  <si>
    <t>UTAH STATE UNIV, DEPT WILDLAND RESOURCES, LOGAN, UTAH 84322-5230 USA</t>
  </si>
  <si>
    <t>1934-4392</t>
  </si>
  <si>
    <t>1936-8046</t>
  </si>
  <si>
    <t>HUM-WILDL INTERACT</t>
  </si>
  <si>
    <t>Hum.-Wildl. Interact.</t>
  </si>
  <si>
    <t>SPR</t>
  </si>
  <si>
    <t>NS8XF</t>
  </si>
  <si>
    <t>WOS:000572538100013</t>
  </si>
  <si>
    <t>Zheng, YF; Li, JX; Cao, W; Jiang, FH; Zhao, C; Ding, HB; Wang, MH; Gao, FL; Sun, CJ</t>
  </si>
  <si>
    <t>Zheng, Yifan; Li, Jingxi; Cao, Wei; Jiang, Fenghua; Zhao, Chang; Ding, Haibing; Wang, Menghui; Gao, Fenglei; Sun, Chengjun</t>
  </si>
  <si>
    <t>Vertical distribution of microplastics in bay sediment reflecting effects of sedimentation dynamics and anthropogenic activities</t>
  </si>
  <si>
    <t>MARINE POLLUTION BULLETIN</t>
  </si>
  <si>
    <t>Microplastic; Vertical distribution; Sedimentation dynamic; Jiaozhou Bay</t>
  </si>
  <si>
    <t>JIAOZHOU BAY; MARINE-ENVIRONMENT; POLLUTION; PLASTICS; DEBRIS; SEA</t>
  </si>
  <si>
    <t>Microplastics are ubiquitous in our environment, yet we have little knowledge on their accumulation profile and changing trend. In this study, we selected the semi-enclosed Jiaozhou Bay as the research area to study the vertical distribution characteristics of microplastic in the sediment and analyzed factors that might affect this distribution pattern. We found six different polymer types and the microplastic abundance ranged between 2.5 items/kg d.w.-27.5 items/kg d.w.. Microplastic abundance was very low in deep sediment and generally showed a decreasing trend from the surface down with some shifts at different depth at certain sites. Based on our data, the total microplastics in the sediment were estimated to reach 3.71 tons in Jiaozhou Bay. This study shows that the vertical microplastic abundance profile in the sediment can not only show the microplastics pollution level but also reflect environmental factors and anthropogenic impacts.</t>
  </si>
  <si>
    <t>[Zheng, Yifan; Li, Jingxi; Cao, Wei; Jiang, Fenghua; Gao, Fenglei; Sun, Chengjun] Minist Nat Resources, Inst Oceanog 1, Marine Bioresource &amp; Environm Res Ctr, Key Lab Marine Ecoenvironm Sci &amp; Technol, Qingdao 266061, Peoples R China; [Li, Jingxi; Sun, Chengjun] Pilot Natl Lab Marine Sci &amp; Technol, Lab Marine Drugs &amp; Bioprod, Qingdao 266071, Peoples R China; [Ding, Haibing; Wang, Menghui] Ocean Univ China, Minist Educ, Key Lab Marine Chem Theory &amp; Technol, Qingdao 266100, Peoples R China; [Zhao, Chang] Minist Nat Resources, Inst Oceanog 1, Key Lab Marine Sci &amp; Numer Modeling, Qingdao 266061, Peoples R China</t>
  </si>
  <si>
    <t>Ministry of Natural Resources of the People's Republic of China; First Institute of Oceanography, Ministry of Natural Resources; Laoshan Laboratory; Ocean University of China; First Institute of Oceanography, Ministry of Natural Resources; Ministry of Natural Resources of the People's Republic of China</t>
  </si>
  <si>
    <t>Sun, CJ (corresponding author), Minist Nat Resources, Inst Oceanog 1, Marine Bioresource &amp; Environm Res Ctr, Key Lab Marine Ecoenvironm Sci &amp; Technol, Qingdao 266061, Peoples R China.</t>
  </si>
  <si>
    <t>csun@fio.org.cn</t>
  </si>
  <si>
    <t>zheng, yi/JOZ-7204-2023; JIANG, Feng/HTP-2862-2023; zhao, yuanxin/KDO-9377-2024; DOU, LIPING/KAL-7005-2024; Wang, Meng/ITR-8699-2023</t>
  </si>
  <si>
    <t>China Ocean Mineral Resources RD Association [DY135-E2-1-07, DY135-E2-4]; Research Cooperation and Exchange of Marine Litter and Microplastics, China [QY0919011]</t>
  </si>
  <si>
    <t>China Ocean Mineral Resources RD Association; Research Cooperation and Exchange of Marine Litter and Microplastics, China</t>
  </si>
  <si>
    <t>This work was supported by the China Ocean Mineral Resources R&amp;D Association (No. DY135-E2-1-07, DY135-E2-4), and the Research Cooperation and Exchange of Marine Litter and Microplastics, China (No. QY0919011). We thank Neal X. Ding from Menaul School Qingdao for helping with some sample processing. We would also like to thank Construction and Operation of Test and Technical Support System for Natural Resources Investigation and Evaluation, and Chinese Arctic and Antarctic Administration.</t>
  </si>
  <si>
    <t>0025-326X</t>
  </si>
  <si>
    <t>1879-3363</t>
  </si>
  <si>
    <t>MAR POLLUT BULL</t>
  </si>
  <si>
    <t>Mar. Pollut. Bull.</t>
  </si>
  <si>
    <t>10.1016/j.marpolbul.2020.110885</t>
  </si>
  <si>
    <t>ME3HK</t>
  </si>
  <si>
    <t>WOS:000544550000067</t>
  </si>
  <si>
    <t>Laguë, SL; Ivy, CM; York, JM; Chua, BA; Alza, L; Cheek, R; Dawson, NJ; Frappell, PB; Farrell, AP; McCracken, KG; Scott, GR; Milsom, WK</t>
  </si>
  <si>
    <t>Lague, Sabine L.; Ivy, Catherine M.; York, Julia M.; Chua, Beverly A.; Alza, Luis; Cheek, Rebecca; Dawson, Neal J.; Frappell, Peter B.; Farrell, Anthony P.; McCracken, Kevin G.; Scott, Graham R.; Milsom, William K.</t>
  </si>
  <si>
    <t>Cardiovascular responses to progressive hypoxia in ducks native to high altitude in the Andes</t>
  </si>
  <si>
    <t>JOURNAL OF EXPERIMENTAL BIOLOGY</t>
  </si>
  <si>
    <t>Heart rate variability; Oxygen transport; Oxygen consumption; Heart rate; Haemoglobin; Hypoxia</t>
  </si>
  <si>
    <t>HEART-RATE-VARIABILITY; BAR-HEADED GEESE; HEMOGLOBIN; BIRDS; ADAPTATION; ACCLIMATIZATION; AFFINITY; SYSTEM; GENES; ANAS</t>
  </si>
  <si>
    <t>The cardiovascular system is critical for delivering O-2 to tissues. Here, we examined the cardiovascular responses to progressive hypoxia in four high-altitude Andean duck species compared with four related low-altitude populations in North America, tested at their native altitude. Ducks were exposed to stepwise decreases in inspired partial pressure of O-2 while we monitored heart rate, O-2 consumption rate, blood O-2 saturation, haematocrit (Hct) and blood haemoglobin (Hb) concentration. We calculated O-2 pulse (the product of stroke volume and the arterial-venous O-2 content difference), blood O-2 concentration and heart rate variability. Regardless of altitude, all eight populations maintained O-2 consumption rate with minimal change in heart rate or O-2 pulse, indicating that O-2 consumption was maintained by either a constant arterial-venous O-2 content difference (an increase in the relative O-2 extracted from arterial blood) or by a combination of changes in stroke volume and the arterial-venous O-2 content difference. Three high-altitude taxa (yellow-billed pintails, cinnamon teal and speckled teal) had higher Hct and Hb concentration, increasing the O-2 content of arterial blood, and potentially providing a greater reserve for enhancing O-2 delivery during hypoxia. Hct and Hb concentration between low- and high-altitude populations of ruddy duck were similar, representing a potential adaptation to diving life. Heart rate variability was generally lower in high-altitude ducks, concurrent with similar or lower heart rates than low-altitude ducks, suggesting a reduction in vagal and sympathetic tone. These unique features of the Andean ducks differ from previous observations in both Andean geese and bar-headed geese, neither of which exhibit significant elevations in Hct or Hb concentration compared with their low-altitude relatives, revealing yet another avian strategy for coping with high altitude.</t>
  </si>
  <si>
    <t>[Lague, Sabine L.; York, Julia M.; Chua, Beverly A.; Farrell, Anthony P.; Milsom, William K.] Univ British Columbia, Dept Zool, Vancouver, BC V6T 1Z4, Canada; [Ivy, Catherine M.; Dawson, Neal J.; Scott, Graham R.] McMaster Univ, Dept Biol, Hamilton, ON L8S 4K1, Canada; [York, Julia M.] Univ Texas Austin, Dept Integrat Biol, Austin, TX 78712 USA; [Alza, Luis; Dawson, Neal J.; McCracken, Kevin G.] Univ Miami, Rosenstiel Sch Marine &amp; Atmospher Sci, Dept Biol, Coral Gables, FL 33146 USA; [Alza, Luis; Dawson, Neal J.; McCracken, Kevin G.] Univ Miami, Rosenstiel Sch Marine &amp; Atmospher Sci, Dept Marine Biol &amp; Ecol, Coral Gables, FL 33146 USA; [Alza, Luis; McCracken, Kevin G.] Ctr Ornitol &amp; Biodiversidad, Div Ornithol, Lima 33, Peru; [Alza, Luis; Cheek, Rebecca; McCracken, Kevin G.] Univ Alaska Fairbanks, Inst Arctic Biol, Dept Biol &amp; Wildlife, Fairbanks, AK 99755 USA; [Alza, Luis; Cheek, Rebecca; McCracken, Kevin G.] Univ Alaska Fairbanks, Univ Alaska Museum, Fairbanks, AK 99755 USA; [Frappell, Peter B.] Univ Tasmania, Inst Marine &amp; Antarctic Studies, Zool Dept, Hobart, Tas 7001, Australia</t>
  </si>
  <si>
    <t>University of British Columbia; McMaster University; University of Texas System; University of Texas Austin; University of Miami; University of Miami; University of Alaska System; University of Alaska Fairbanks; University of Alaska System; University of Alaska Fairbanks; University of Tasmania</t>
  </si>
  <si>
    <t>Laguë, SL (corresponding author), Univ British Columbia, Dept Zool, Vancouver, BC V6T 1Z4, Canada.</t>
  </si>
  <si>
    <t>lague@zoology.ubc.ca</t>
  </si>
  <si>
    <t>Cheek, Rebecca/GRO-4008-2022; Alza, Luis A/JJC-8284-2023; York, Julia M/AAJ-9145-2021; Milsom, William K/D-2977-2012; Frappell, Peter/D-1159-2013</t>
  </si>
  <si>
    <t>Alza, Luis A/0000-0002-5926-4460; McCracken, Kevin/0000-0002-1477-8839; Lague, Sabine/0000-0002-8724-7297; York, Julia/0000-0003-4947-0591; Frappell, Peter/0000-0001-6528-5447; Cheek, Rebecca/0000-0002-7935-3153</t>
  </si>
  <si>
    <t>National Sciences and Engineering Research Council of Canada (NSERC); Killam Trusts; Ontario Graduate Scholarship; National Sciences and Engineering Research Council of Canada PGS-D; Kushlan Endowment for Waterbird Biology and Conservation at the University of Miami; National Sciences and Engineering Research Council of Canada</t>
  </si>
  <si>
    <t>National Sciences and Engineering Research Council of Canada (NSERC)(Natural Sciences and Engineering Research Council of Canada (NSERC)); Killam Trusts; Ontario Graduate Scholarship(Ontario Graduate Scholarship); National Sciences and Engineering Research Council of Canada PGS-D; Kushlan Endowment for Waterbird Biology and Conservation at the University of Miami; National Sciences and Engineering Research Council of Canada(Natural Sciences and Engineering Research Council of Canada (NSERC))</t>
  </si>
  <si>
    <t>S.L.L. was supported by National Sciences and Engineering Research Council of Canada (NSERC) and Killam Trusts. C.M.I. was supported by Ontario Graduate Scholarship and National Sciences and Engineering Research Council of Canada PGS-D. J.M.Y., L.A., R.C., N.J.D. and K.G.M. were supported by Kushlan Endowment for Waterbird Biology and Conservation at the University of Miami. A.P.F., G.R.S. and W.K.M. were supported by the National Sciences and Engineering Research Council of Canada.</t>
  </si>
  <si>
    <t>COMPANY BIOLOGISTS LTD</t>
  </si>
  <si>
    <t>CAMBRIDGE</t>
  </si>
  <si>
    <t>BIDDER BUILDING, STATION RD, HISTON, CAMBRIDGE CB24 9LF, ENGLAND</t>
  </si>
  <si>
    <t>0022-0949</t>
  </si>
  <si>
    <t>1477-9145</t>
  </si>
  <si>
    <t>J EXP BIOL</t>
  </si>
  <si>
    <t>J. Exp. Biol.</t>
  </si>
  <si>
    <t>jeb211250</t>
  </si>
  <si>
    <t>10.1242/jeb.211250</t>
  </si>
  <si>
    <t>MA3OH</t>
  </si>
  <si>
    <t>Green Published, Green Accepted, hybrid</t>
  </si>
  <si>
    <t>WOS:000541826200004</t>
  </si>
  <si>
    <t>Bierlich, KC; Dale, JD; Friedlaender, AS; Goldbogen, JA; Johnston, DJ</t>
  </si>
  <si>
    <t>Bierlich, K. C.; Dale, J. D.; Friedlaender, A. S.; Goldbogen, J. A.; Johnston, D. J.</t>
  </si>
  <si>
    <t>Dwarf minke whales along the Antarctic Peninsula: Evidence of climate migration or historic misidentification?</t>
  </si>
  <si>
    <t>INTEGRATIVE AND COMPARATIVE BIOLOGY</t>
  </si>
  <si>
    <t>Annual Meeting of the Society-for-Integrative-and-Comparative-Biology (SICB)</t>
  </si>
  <si>
    <t>JAN 03-07, 2020</t>
  </si>
  <si>
    <t>Austin, TX</t>
  </si>
  <si>
    <t>Duke Univ, Durham, NC 27706 USA; Univ Calif Santa Cruz, Santa Cruz, CA 95064 USA; Stanford Univ, Stanford, CA 94305 USA</t>
  </si>
  <si>
    <t>Duke University; University of California System; University of California Santa Cruz; Stanford University</t>
  </si>
  <si>
    <t>kcb43@duke.edu</t>
  </si>
  <si>
    <t>1540-7063</t>
  </si>
  <si>
    <t>1557-7023</t>
  </si>
  <si>
    <t>INTEGR COMP BIOL</t>
  </si>
  <si>
    <t>Integr. Comp. Biol.</t>
  </si>
  <si>
    <t>59-4</t>
  </si>
  <si>
    <t>E17</t>
  </si>
  <si>
    <t>Science Citation Index Expanded (SCI-EXPANDED); Conference Proceedings Citation Index - Science (CPCI-S)</t>
  </si>
  <si>
    <t>LS5OD</t>
  </si>
  <si>
    <t>WOS:000536432400068</t>
  </si>
  <si>
    <t>Cline, NW; Brothers, CJ; Morrow, CD; Curtis, MD; Anderson, SM; Amsler, CD; Shilling, AJ; Mcclintock, JB</t>
  </si>
  <si>
    <t>Cline, N. W.; Brothers, C. J.; Morrow, C. D.; Curtis, M. D.; Anderson, S. M.; Amsler, C. D.; Shilling, A. J.; Mcclintock, J. B.</t>
  </si>
  <si>
    <t>Characterizing the Digestive Microbiome of Antarctic Sea Stars</t>
  </si>
  <si>
    <t>Walla Walla Univ, College Pl, WA USA; Univ Alabama Birmingham, Birmingham, AL USA; Univ S Florida, Tampa, FL 33620 USA</t>
  </si>
  <si>
    <t>University of Alabama System; University of Alabama Birmingham; State University System of Florida; University of South Florida</t>
  </si>
  <si>
    <t>noah.cline@wallawalla.edu</t>
  </si>
  <si>
    <t>P2-18</t>
  </si>
  <si>
    <t>E298</t>
  </si>
  <si>
    <t>WOS:000536432401387</t>
  </si>
  <si>
    <t>Countway, PD; Matrai, PA</t>
  </si>
  <si>
    <t>Countway, P. D.; Matrai, P. A.</t>
  </si>
  <si>
    <t>Antarctic Microbial Interactions Revealed by Continuous Flow Incubation and Variable Rates of DMSP Supply</t>
  </si>
  <si>
    <t>[Countway, P. D.; Matrai, P. A.] Bigelow Lab Ocean Sci, East Boothbay, ME USA</t>
  </si>
  <si>
    <t>Bigelow Laboratory for Ocean Sciences</t>
  </si>
  <si>
    <t>pcountway@bigelow.org</t>
  </si>
  <si>
    <t>S1-7</t>
  </si>
  <si>
    <t>E47</t>
  </si>
  <si>
    <t>WOS:000536432400188</t>
  </si>
  <si>
    <t>Fuiman, LA; Williams, TM; Davis, RW</t>
  </si>
  <si>
    <t>Fuiman, L. A.; Williams, T. M.; Davis, R. W.</t>
  </si>
  <si>
    <t>Underwater Navigation by Weddell Seals (Leptonychotes weddellii) in the Antarctic Fast-Ice Environment</t>
  </si>
  <si>
    <t>Univ Texas Austin, Austin, TX 78712 USA; Univ Calif Santa Cruz, Santa Cruz, CA 95064 USA; Texas A&amp;M Univ, Galveston, TX USA</t>
  </si>
  <si>
    <t>University of Texas System; University of Texas Austin; University of California System; University of California Santa Cruz; Texas A&amp;M University System</t>
  </si>
  <si>
    <t>leefuiman@utexas.edu</t>
  </si>
  <si>
    <t>Fuiman, Lee A/L-9514-2017</t>
  </si>
  <si>
    <t>115-5</t>
  </si>
  <si>
    <t>E77</t>
  </si>
  <si>
    <t>WOS:000536432400307</t>
  </si>
  <si>
    <t>Gast, RJ; Sanders, RW</t>
  </si>
  <si>
    <t>Gast, R. J.; Sanders, R. W.</t>
  </si>
  <si>
    <t>You are what you eat: mixotrophic protists in Antarctic marine plankton communities</t>
  </si>
  <si>
    <t>Woods Hole Oceanog Inst, Woods Hole, MA 02543 USA; Temple Univ, Philadelphia, PA 19122 USA</t>
  </si>
  <si>
    <t>Woods Hole Oceanographic Institution; Pennsylvania Commonwealth System of Higher Education (PCSHE); Temple University</t>
  </si>
  <si>
    <t>rgast@whoi.edu</t>
  </si>
  <si>
    <t>S1-8</t>
  </si>
  <si>
    <t>E80</t>
  </si>
  <si>
    <t>WOS:000536432400320</t>
  </si>
  <si>
    <t>Heiser, S; Shilling, AJ; Amsler, CD; McClintock, JB; Baker, BJ</t>
  </si>
  <si>
    <t>Heiser, S.; Shilling, A. J.; Amsler, C. D.; McClintock, J. B.; Baker, B. J.</t>
  </si>
  <si>
    <t>Allies, Cheaters and Thieves: Macroalgal-Mesograzer Interactions on the Western Antarctic Peninsula</t>
  </si>
  <si>
    <t>Univ Alabama Birmingham, Birmingham, AL USA; Univ S Florida, Tampa, FL 33620 USA</t>
  </si>
  <si>
    <t>heiser@uab.edu</t>
  </si>
  <si>
    <t>Baker, Bill/N-4312-2019</t>
  </si>
  <si>
    <t>S1-2</t>
  </si>
  <si>
    <t>E100</t>
  </si>
  <si>
    <t>WOS:000536432400399</t>
  </si>
  <si>
    <t>Hindle, AG</t>
  </si>
  <si>
    <t>Hindle, A. G.</t>
  </si>
  <si>
    <t>Diving deep: Mechanistic insights into the extreme physiology of Antarctic seals</t>
  </si>
  <si>
    <t>[Hindle, A. G.] Univ Nevada, Las Vegas, NV 89154 USA</t>
  </si>
  <si>
    <t>Nevada System of Higher Education (NSHE); University of Nevada Las Vegas</t>
  </si>
  <si>
    <t>allyson.hindle@unlv.edu</t>
  </si>
  <si>
    <t>S1-10</t>
  </si>
  <si>
    <t>E103</t>
  </si>
  <si>
    <t>WOS:000536432400413</t>
  </si>
  <si>
    <t>Mcclintock, JB; Amsler, CD; Baker, B; Moran, A; Woods, HA</t>
  </si>
  <si>
    <t>Mcclintock, J. B.; Amsler, C. D.; Baker, B.; Moran, A.; Woods, H. A.</t>
  </si>
  <si>
    <t>Introduction to the Symposium: New Frontiers in Antarctic Marine Biology</t>
  </si>
  <si>
    <t>Univ Alabama Birmingham, Birmingham, AL USA; Univ S Florida, Tampa, FL 33620 USA; Univ Hawaii Manoa, Honolulu, HI 96822 USA; Univ Montana, Missoula, MT 59812 USA</t>
  </si>
  <si>
    <t>University of Alabama System; University of Alabama Birmingham; State University System of Florida; University of South Florida; University of Hawaii System; University of Hawaii Manoa; University of Montana System; University of Montana</t>
  </si>
  <si>
    <t>mcclinto@uab.edu</t>
  </si>
  <si>
    <t>Moran, Amy L/F-7072-2011</t>
  </si>
  <si>
    <t>Moran, Amy/0000-0002-0604-5096</t>
  </si>
  <si>
    <t>NSF from the Antarctic Organisms and Ecosystems Program [OPP-1925160]</t>
  </si>
  <si>
    <t>NSF from the Antarctic Organisms and Ecosystems Program(National Science Foundation (NSF)NSF - Directorate for Geosciences (GEO))</t>
  </si>
  <si>
    <t>This symposium is supported in large part by NSF award OPP-1925160 from the Antarctic Organisms and Ecosystems Program.</t>
  </si>
  <si>
    <t>S1-1</t>
  </si>
  <si>
    <t>E156</t>
  </si>
  <si>
    <t>WOS:000536432400623</t>
  </si>
  <si>
    <t>Polito, MJ; Michelson, CI; McMahon, KW</t>
  </si>
  <si>
    <t>Polito, M. J.; Michelson, C., I; McMahon, K. W.</t>
  </si>
  <si>
    <t>Advances in the use of biogeochemical markers to track the diets and movement of Antarctic marine predators</t>
  </si>
  <si>
    <t>Louisiana State Univ, Baton Rouge, LA 70803 USA; Univ Rhode Isl, Kingston, RI 02881 USA</t>
  </si>
  <si>
    <t>Louisiana State University System; Louisiana State University; University of Rhode Island</t>
  </si>
  <si>
    <t>mpolito@lsu.edu</t>
  </si>
  <si>
    <t>Polito, Michael/G-9118-2012</t>
  </si>
  <si>
    <t>Polito, Michael/0000-0001-8639-4431</t>
  </si>
  <si>
    <t>S1-3</t>
  </si>
  <si>
    <t>E187</t>
  </si>
  <si>
    <t>WOS:000536432400749</t>
  </si>
  <si>
    <t>Rix, AS; O'Brien, KM</t>
  </si>
  <si>
    <t>Rix, A. S.; O'Brien, K. M.</t>
  </si>
  <si>
    <t>Characterizing the Hypoxia-Inducible Factor-1 Pathway in Response to Acute Thermal Stress and Hypoxia in Antarctic Notothenioid Fishes</t>
  </si>
  <si>
    <t>Univ Alaska Fairbanks, Fairbanks, AK USA; Inst Arctic Biol, Fairbanks, AK USA</t>
  </si>
  <si>
    <t>University of Alaska System; University of Alaska Fairbanks</t>
  </si>
  <si>
    <t>asrix@alaska.edu</t>
  </si>
  <si>
    <t>59-7</t>
  </si>
  <si>
    <t>E197</t>
  </si>
  <si>
    <t>WOS:000536432400788</t>
  </si>
  <si>
    <t>Steinberg, DK; Conroy, JA; Thibodeau, PS</t>
  </si>
  <si>
    <t>Steinberg, D. K.; Conroy, J. A.; Thibodeau, P. S.</t>
  </si>
  <si>
    <t>New Insights Into Patterns of Zooplankton Abundance Along the Rapidly Changing Western Antarctic Peninsula</t>
  </si>
  <si>
    <t>[Steinberg, D. K.; Conroy, J. A.; Thibodeau, P. S.] Virginia Inst Marine Sci, Coll William &amp; Mary, Gloucester Point, VA 23062 USA</t>
  </si>
  <si>
    <t>William &amp; Mary; Virginia Institute of Marine Science</t>
  </si>
  <si>
    <t>debbies@vims.edu</t>
  </si>
  <si>
    <t>S1-5</t>
  </si>
  <si>
    <t>E223</t>
  </si>
  <si>
    <t>WOS:000536432401092</t>
  </si>
  <si>
    <t>Tarrant, AM; Berger, C; Steinberg, DK</t>
  </si>
  <si>
    <t>Tarrant, A. M.; Berger, C.; Steinberg, D. K.</t>
  </si>
  <si>
    <t>Feast and Famine: Copepod metabolic condition during summer along the West Antarctic Peninsula</t>
  </si>
  <si>
    <t>Woods Hole Oceanogr Inst, Woods Hole, MA USA; Virginia Inst Marine Sci, Gloucester Point, VA 23062 USA</t>
  </si>
  <si>
    <t>Woods Hole Oceanographic Institution; William &amp; Mary; Virginia Institute of Marine Science</t>
  </si>
  <si>
    <t>atarrant@whoi.edu</t>
  </si>
  <si>
    <t>Tarrant, Ann/AAU-8263-2021</t>
  </si>
  <si>
    <t>Tarrant, Ann/0000-0002-1909-7899</t>
  </si>
  <si>
    <t>59-5</t>
  </si>
  <si>
    <t>E230</t>
  </si>
  <si>
    <t>WOS:000536432401118</t>
  </si>
  <si>
    <t>Teets, NM; Dalrymple, EG; Hillis, MH; Lee, RE; Denlinger, DL</t>
  </si>
  <si>
    <t>Teets, N. M.; Dalrymple, E. G.; Hillis, M. H.; Lee, R. E.; Denlinger, D. L.</t>
  </si>
  <si>
    <t>To Freeze or Not to Freeze: Cold Tolerance Strategies in an Antarctic Midge</t>
  </si>
  <si>
    <t>Univ Kentucky, Lexington, KY USA; Miami Univ, Oxford, OH 45056 USA; Ohio State Univ, Columbus, OH 43210 USA</t>
  </si>
  <si>
    <t>University of Kentucky; University System of Ohio; Miami University; University System of Ohio; Ohio State University</t>
  </si>
  <si>
    <t>n.teets@uky.edu</t>
  </si>
  <si>
    <t>Teets, Nicholas/IQT-5328-2023</t>
  </si>
  <si>
    <t>107-7</t>
  </si>
  <si>
    <t>E231</t>
  </si>
  <si>
    <t>WOS:000536432401124</t>
  </si>
  <si>
    <t>Todgham, AE</t>
  </si>
  <si>
    <t>Todgham, A. E.</t>
  </si>
  <si>
    <t>Two Plus Two Doesn't Equal Four: The Importance of Incorporating Realistic Environmental Variability in Understanding the Resilience of Antarctic Fishes to Climate Change</t>
  </si>
  <si>
    <t>[Todgham, A. E.] Univ Calif Davis, Davis, CA 95616 USA</t>
  </si>
  <si>
    <t>University of California System; University of California Davis</t>
  </si>
  <si>
    <t>todgham@ucdavis.edu</t>
  </si>
  <si>
    <t>S1-11</t>
  </si>
  <si>
    <t>E235</t>
  </si>
  <si>
    <t>WOS:000536432401139</t>
  </si>
  <si>
    <t>Toh, MWA; Lobert, GT; Moran, AL</t>
  </si>
  <si>
    <t>Toh, M. W. A.; Lobert, G. T.; Moran, A. L.</t>
  </si>
  <si>
    <t>Thermal Sensitivity of Early Life History Stages of Antarctic Invertebrates</t>
  </si>
  <si>
    <t>[Toh, M. W. A.; Lobert, G. T.; Moran, A. L.] Univ Hawaii Manoa, Honolulu, HI 96822 USA</t>
  </si>
  <si>
    <t>University of Hawaii System; University of Hawaii Manoa</t>
  </si>
  <si>
    <t>tohmw@hawaii.edu</t>
  </si>
  <si>
    <t>NSF [OPP-1745130]</t>
  </si>
  <si>
    <t>Funded by NSF-OPP-1745130 to ALM.</t>
  </si>
  <si>
    <t>59-2</t>
  </si>
  <si>
    <t>WOS:000536432401138</t>
  </si>
  <si>
    <t>York, JM; Zakon, HH</t>
  </si>
  <si>
    <t>York, J. M.; Zakon, H. H.</t>
  </si>
  <si>
    <t>Identifying potential molecular thermosensors in Antarctic notothenioid fishes</t>
  </si>
  <si>
    <t>[York, J. M.; Zakon, H. H.] Univ Texas Austin, Austin, TX 78712 USA</t>
  </si>
  <si>
    <t>University of Texas System; University of Texas Austin</t>
  </si>
  <si>
    <t>juliayork@utexas.edu</t>
  </si>
  <si>
    <t>York, Julia M/AAJ-9145-2021; Zakon, Harold/JUF-2415-2023</t>
  </si>
  <si>
    <t>P1-116</t>
  </si>
  <si>
    <t>E451</t>
  </si>
  <si>
    <t>WOS:000536432402201</t>
  </si>
  <si>
    <t>Haasnoot, M; Kwadijk, J; van Alphen, J; Le Bars, D; van den Hurk, B; Diermanse, F; van der Spek, A; Essink, GO; Delsman, J; Mens, M</t>
  </si>
  <si>
    <t>Haasnoot, M.; Kwadijk, J.; van Alphen, J.; Le Bars, D.; van den Hurk, B.; Diermanse, F.; van der Spek, A.; Essink, G. Oude; Delsman, J.; Mens, M.</t>
  </si>
  <si>
    <t>Adaptation to uncertain sea-level rise; how uncertainty in Antarctic mass-loss impacts the coastal adaptation strategy of the Netherlands</t>
  </si>
  <si>
    <t>ENVIRONMENTAL RESEARCH LETTERS</t>
  </si>
  <si>
    <t>sea-level rise; Antarctica; adaptation pathways; deep uncertainty; decision making; coastal adaptation</t>
  </si>
  <si>
    <t>CLIMATE-CHANGE; POLICY-ANALYSIS; THAMES ESTUARY; PROJECTIONS; MANAGEMENT; SCENARIOS; PATHWAYS; SYSTEM; BASIN; TIDE</t>
  </si>
  <si>
    <t>Uncertainties in the rate and magnitude of sea-level rise (SLR) complicate decision making on coastal adaptation. Large uncertainty arises from potential ice mass-loss from Antarctica that could rapidly increase SLR in the second half of this century. The implications of SLR may be existential for a low-lying country like the Netherlands and warrant exploration of high-impact low-likelihood scenarios. To deal with uncertain SLR, the Netherlands has adopted an adaptive pathways plan. This paper analyzes the implications of storylines leading to extreme SLR for the current adaptive plan in the Netherlands, focusing on flood risk, fresh water resources, and coastline management. It further discusses implications for coastal adaptation in low-lying coastal zones considering timescales of adaptation including the decisions lifetime and lead-in time for preparation and implementation. We find that as sea levels rise faster and higher, sand nourishment volumes to maintain the Dutch coast may need to be up to 20 times larger than to date in 2100, storm surge barriers will need to close at increasing frequency until closed permanently, and intensified saltwater intrusion will reduce freshwater availability while the demand is rising. The expected lifetime of investments will reduce drastically. Consequently, step-wise adaptation needs to occur at an increasing frequency or with larger increments while there is still large SLR uncertainty with the risk of under- or overinvesting. Anticipating deeply uncertain, high SLR scenarios helps to enable timely adaptation and to appreciate the value of emission reduction and monitoring of the Antarctica contribution to SLR.</t>
  </si>
  <si>
    <t>[Haasnoot, M.; Kwadijk, J.; van den Hurk, B.; Diermanse, F.; van der Spek, A.; Essink, G. Oude; Delsman, J.; Mens, M.] Deltares, Delft, Netherlands; [Haasnoot, M.; van der Spek, A.; Essink, G. Oude] Univ Utrecht, Utrecht, Netherlands; [Kwadijk, J.] Univ Twente, Enschede, Netherlands; [Le Bars, D.] KNMI, De Bilt, Netherlands; [van den Hurk, B.] Inst Environm Studies Amsterdam, Amsterdam, Netherlands</t>
  </si>
  <si>
    <t>Deltares; Utrecht University; University of Twente; Royal Netherlands Meteorological Institute</t>
  </si>
  <si>
    <t>Haasnoot, M (corresponding author), Deltares, Delft, Netherlands.;Haasnoot, M (corresponding author), Univ Utrecht, Utrecht, Netherlands.</t>
  </si>
  <si>
    <t>Marjolijn.Haasnoot@deltares.nl</t>
  </si>
  <si>
    <t>Le Bars, Dewi/AAK-8631-2020; van den Hurk, Bart/ABI-1654-2020; kwadijk, jaap/M-5539-2013; Haasnoot, Marjolijn/H-4827-2012</t>
  </si>
  <si>
    <t>Le Bars, Dewi/0000-0002-1175-4225; van den Hurk, Bart/0000-0003-3726-7086; Diermanse, Ferdinand/0000-0002-2599-2902; kwadijk, jaap/0000-0003-2980-2464; Oude Essink, Gualbert/0000-0003-0931-6944; Delsman, Joost/0000-0002-6802-0142; Haasnoot, Marjolijn/0000-0002-9062-4698; van der Spek, Ad/0000-0001-7131-4363</t>
  </si>
  <si>
    <t>1748-9326</t>
  </si>
  <si>
    <t>ENVIRON RES LETT</t>
  </si>
  <si>
    <t>Environ. Res. Lett.</t>
  </si>
  <si>
    <t>10.1088/1748-9326/ab666c</t>
  </si>
  <si>
    <t>LT9SX</t>
  </si>
  <si>
    <t>WOS:000537406500001</t>
  </si>
  <si>
    <t>Costa, DP; Kienle, SS; Trumble, SS; Kanatous, S; Goebel, ME; Borras, R; Crocker, DE</t>
  </si>
  <si>
    <t>Costa, D. P.; Kienle, S. S.; Trumble, S. S.; Kanatous, S.; Goebel, M. E.; Borras, R.; Crocker, D. E.</t>
  </si>
  <si>
    <t>Foraging Behavior and Movement Patterns of the Leopard Seal in the Antarctic Peninsula</t>
  </si>
  <si>
    <t>Univ Calif Santa Cruz, Santa Cruz, CA 95064 USA; Baylor Univ, Waco, TX 76798 USA; Colorado State Univ, Ft Collins, CO 80523 USA; NOAA, Natl Marine Fisheries Serv, Silver Spring, MD USA; Sonoma State Univ, Chilean Antarctic Program, Rohnert Pk, CA 94928 USA</t>
  </si>
  <si>
    <t>University of California System; University of California Santa Cruz; Baylor University; Colorado State University; National Oceanic Atmospheric Admin (NOAA) - USA; California State University System; Sonoma State University</t>
  </si>
  <si>
    <t>costa@ucsc.edu</t>
  </si>
  <si>
    <t>59-6</t>
  </si>
  <si>
    <t>E46</t>
  </si>
  <si>
    <t>WOS:000536432400184</t>
  </si>
  <si>
    <t>Young, JN; Dawson, HM; Rundell, SM</t>
  </si>
  <si>
    <t>Young, J. N.; Dawson, H. M.; Rundell, S. M.</t>
  </si>
  <si>
    <t>Responses of Antarctic Microalgae to Seasonal Shifts in Temperature and Salinity</t>
  </si>
  <si>
    <t>[Young, J. N.; Dawson, H. M.; Rundell, S. M.] Univ Washington, Seattle, WA 98195 USA</t>
  </si>
  <si>
    <t>University of Washington; University of Washington Seattle</t>
  </si>
  <si>
    <t>youngjn@uw.edu</t>
  </si>
  <si>
    <t>S1-9</t>
  </si>
  <si>
    <t>E263</t>
  </si>
  <si>
    <t>WOS:000536432401252</t>
  </si>
  <si>
    <t>Dambacher, BMR; Stilwell, MT; McGee, JS</t>
  </si>
  <si>
    <t>Dambacher, Brook M. R.; Stilwell, Matthew T.; McGee, Jeffrey S.</t>
  </si>
  <si>
    <t>Clearing the Air: Avoiding Conflicts of Interest Within the United Nations Framework Convention on Climate Change</t>
  </si>
  <si>
    <t>JOURNAL OF ENVIRONMENTAL LAW</t>
  </si>
  <si>
    <t>Climate change; conflicts of interest; vested interests; non-Party stakeholders; UNFCCC; Paris Agreement</t>
  </si>
  <si>
    <t>BUSINESS</t>
  </si>
  <si>
    <t>Conflicts of interest (COIs) have the capacity to undermine the integrity and legitimacy of decision-making in international legal fora. The issue of COIs has recently become a contentious issue within the international negotiations under the United Nations Framework Convention on Climate Change (UNFCCC). Despite an emerging debate on COIs, key issues regarding engagement with certain non-state actors, and the reforms that could be implemented in response, remain to be systematically addressed. This article therefore examines best practice for addressing COIs in international fora to see how this might inform management of the issue within the UNFCCC. We find that protecting the integrity and legitimacy of the UNFCCC will likely require its Conference of the Parties to clearly define COIs and to adopt a process for their management. This reform will bring the UNFCCC into line with best practices in global governance and improve prospects for more effective international law on climate change.</t>
  </si>
  <si>
    <t>[Dambacher, Brook M. R.; Stilwell, Matthew T.] Univ Tasmania, Fac Law, Hobart, Tas, Australia; [Stilwell, Matthew T.] Inst Governance &amp; Sustainable Dev, Washington, DC USA; [McGee, Jeffrey S.] Univ Tasmania, Climate Change Marine &amp; Antarctic Law, Hobart, Tas, Australia; [McGee, Jeffrey S.] Univ Tasmania, Inst Marine &amp; Antarctic Studies, Hobart, Tas, Australia</t>
  </si>
  <si>
    <t>University of Tasmania; University of Tasmania; University of Tasmania</t>
  </si>
  <si>
    <t>Dambacher, BMR (corresponding author), Univ Tasmania, Fac Law, Hobart, Tas, Australia.</t>
  </si>
  <si>
    <t>brookdambacher@gmail.com</t>
  </si>
  <si>
    <t>McGee, Jeffrey s/K-7322-2015</t>
  </si>
  <si>
    <t>0952-8873</t>
  </si>
  <si>
    <t>1464-374X</t>
  </si>
  <si>
    <t>J ENVIRON LAW</t>
  </si>
  <si>
    <t>J. Environ. Law</t>
  </si>
  <si>
    <t>10.1093/jel/eqz015</t>
  </si>
  <si>
    <t>Environmental Sciences; Environmental Studies; Law; Multidisciplinary Sciences</t>
  </si>
  <si>
    <t>Social Science Citation Index (SSCI)</t>
  </si>
  <si>
    <t>Environmental Sciences &amp; Ecology; Government &amp; Law; Science &amp; Technology - Other Topics</t>
  </si>
  <si>
    <t>LS6OZ</t>
  </si>
  <si>
    <t>WOS:000536502200003</t>
  </si>
  <si>
    <t>Blackwell, RE; Harvey, R; Queste, BY; Fielding, S</t>
  </si>
  <si>
    <t>Blackwell, Robert E.; Harvey, Richard; Queste, Bastien Y.; Fielding, Sophie</t>
  </si>
  <si>
    <t>Colour maps for fisheries acoustic echograms</t>
  </si>
  <si>
    <t>ICES JOURNAL OF MARINE SCIENCE</t>
  </si>
  <si>
    <t>acoustic; colour; echogram; visualization</t>
  </si>
  <si>
    <t>Echograms are used to visualize fisheries acoustic data, but choice of colour map has a significant effect on appearance. Quantitative echograms should use colour maps, which are colourful (have a perceived variety and intensity of colours), sequential (have monotonic lightness), and perceptually uniform (have consistency of perceived colour contrast over their range). We measure whether colour maps are colourful ((M) over cap ((3)) &gt; 0), sequential (r(s) = +/- 1), and perceptually uniform (p = 1) using an approximately perceptually uniform colour space (CIELAB). Whilst all the fisheries acoustic colour maps tested are colourful, none is sequential or perceptually uniform. The widely used EK500 colour map is extremely colourful ((M) over cap ((3)) = 186), not sequential (r(s) = 0.06), and has highly uneven perceptual contrast over its range (p = 0.26). Of the fisheries acoustic colour maps tested, the Large Scale Survey System default colour map is least colourful ((M) over cap ((3)) = 79), but comes closest to being sequential (r(s )= -0.94), and perceptually uniform (p = 0.95). Modern colour maps have been specifically designed for colour contrast consistency, accessibility for viewers with red-green colour-blindness, and legibility when printed in monochrome, and may be better suited to the presentation and interpretation of quantitative fisheries acoustic echograms.</t>
  </si>
  <si>
    <t>[Blackwell, Robert E.; Fielding, Sophie] British Antarctic Survey, Madingley Rd, Cambridge CB3 0ET, England; [Harvey, Richard] Univ East Anglia, Sch Comp Sci, Norwich Res Pk, Norwich NR4 7TJ, Norfolk, England; [Queste, Bastien Y.] Univ Gothenburg, Dept Marine Sci, Skottsbergs Gata 22B, S-41319 Gothenburg, Sweden</t>
  </si>
  <si>
    <t>UK Research &amp; Innovation (UKRI); Natural Environment Research Council (NERC); NERC British Antarctic Survey; University of East Anglia; University of Gothenburg</t>
  </si>
  <si>
    <t>Blackwell, RE (corresponding author), British Antarctic Survey, Madingley Rd, Cambridge CB3 0ET, England.</t>
  </si>
  <si>
    <t>roback28@bas.ac.uk</t>
  </si>
  <si>
    <t>Fielding, Sophie/E-5137-2012; Harvey, Richard/AAA-7738-2020</t>
  </si>
  <si>
    <t>Harvey, Richard/0000-0001-9925-8316; Blackwell, Robert/0000-0002-0554-8062</t>
  </si>
  <si>
    <t>Natural Environment Research Council, UK Research and Innovation (Ecosystems programme, British Antarctic Survey ); Natural Environment Research Council, UK Research and Innovation [NE/N012070/1]; NERC [bas0100035, 1802918] Funding Source: UKRI</t>
  </si>
  <si>
    <t>Natural Environment Research Council, UK Research and Innovation (Ecosystems programme, British Antarctic Survey ); Natural Environment Research Council, UK Research and Innovation; NERC(UK Research &amp; Innovation (UKRI)Natural Environment Research Council (NERC))</t>
  </si>
  <si>
    <t>This work was funded by the Natural Environment Research Council, which is a part of UK Research and Innovation (Ecosystems programme, British Antarctic Survey and NE/N012070/1).</t>
  </si>
  <si>
    <t>1054-3139</t>
  </si>
  <si>
    <t>1095-9289</t>
  </si>
  <si>
    <t>ICES J MAR SCI</t>
  </si>
  <si>
    <t>ICES J. Mar. Sci.</t>
  </si>
  <si>
    <t>10.1093/icesjms/fsz242</t>
  </si>
  <si>
    <t>Fisheries; Marine &amp; Freshwater Biology; Oceanography</t>
  </si>
  <si>
    <t>LS5NG</t>
  </si>
  <si>
    <t>WOS:000536430100032</t>
  </si>
  <si>
    <t>Brett, GM; Irvin, A; Rack, W; Haas, C; Langhorne, PJ; Leonard, GH</t>
  </si>
  <si>
    <t>Brett, G. M.; Irvin, A.; Rack, W.; Haas, C.; Langhorne, P. J.; Leonard, G. H.</t>
  </si>
  <si>
    <t>Variability in the Distribution of Fast Ice and the Sub-ice Platelet Layer Near McMurdo Ice Shelf</t>
  </si>
  <si>
    <t>JOURNAL OF GEOPHYSICAL RESEARCH-OCEANS</t>
  </si>
  <si>
    <t>land-fast sea ice thickness; subice platelet layer; ice shelf water; supercooling; electromagnetic (EM) induction; coastal polynya</t>
  </si>
  <si>
    <t>ANTARCTIC SEA-ICE; ROSS SEA; WATER PLUME; SOUND; THICKNESS; BENEATH; WINTER; CIRCULATION; POLYNYA; GROWTH</t>
  </si>
  <si>
    <t>Variability in the volume of supercooled Ice Shelf Water outflow in McMurdo Sound is reflected in the thickness and distribution of fast ice and the sub-ice platelet layer beneath. Ground-based electromagnetic induction and drill hole surveys of the distribution and thickness of ice shelf-influenced fast ice and the sub-ice platelet layer in McMurdo Sound were carried out in late spring of 2011, 2013, 2016, and 2017. In 2011 and 2017, thicker sub-ice platelet layers of up to 7.5 and 6 m were observed, respectively. Fast ice formation throughout the winters of 2011 and 2017 was influenced by a higher occurrence of strong southerly wind events and resultant activity of the Ross Sea Polynya. In contrast, lower wind conditions in 2016 led to largely undisturbed sea ice growth and anomalously extensive fast ice coverage. A thinner sub-ice platelet layer of up to 4 m was observed in 2016. In 2011 and 2017, substantial and variable sub-ice platelet layers were detected in a region of exchange of water masses between the Ross Sea and the McMurdo-Ross ice shelf cavity, which were not observed in 2013 and 2016. We hypothesize that a higher frequency of strong southerly wind events, resultant polynya activity, and High Salinity Shelf Water production over winter accelerates circulation and increases melting in the proximal shallow McMurdo Ice Shelf and the deeper Ross Ice Shelf regions of the conjoined cavity. The outflow of supercooled Ice Shelf Water and sub-ice platelet layer formation in McMurdo Sound are consequently promoted. Plain Language Summary Ocean-driven basal melting of ice shelves forms cold and fresh Ice Shelf Water (ISW) which can crystallize into platelet ice. Sea ice growth near an ice shelf is enhanced as the upper ocean is cooled and stabilized by ISW or by freezing of platelet ice into the sea ice. An unconsolidated mass of platelet ice called a sub-ice platelet layer (SPL) can form beneath. To investigate variability in the influence of ISW, we measured sea ice and SPL thicknesses near McMurdo Ice Shelf in the Ross Sea, Antarctica with drill hole and geophysical surveys. Thicker SPLs were observed in years subject to a higher occurrence of strong offshore winds over winter as the sea ice was forming. Strong winds blow sea ice offshore and form regions of open water called polynyas. New ice is produced intensively within polynyas and the rejected salts form a very dense and saline water mass called High Salinity Shelf Water which can circulate into ice shelf cavities and drive basal melting and ISW formation at depth. We hypothesize that a higher occurrence of strong offshore winds results in more polynya activity, High Salinity Shelf Water production, and ISW formation which outflows into McMurdo Sound producing thicker SPLs. Key Points Ice shelf-influenced sea ice and the sub-ice platelet layer were assessed with electromagnetic induction and drill hole thickness surveys The sub-ice platelet layer was thicker in years with more strong southerly wind events and polynya activity over winter Ice Shelf Water outflow and sub-ice platelet layer thickness in McMurdo Sound are connected to polynya-driven HSSW circulation over winter</t>
  </si>
  <si>
    <t>[Brett, G. M.; Rack, W.] Univ Canterbury, Gateway Antarct, Christchurch, New Zealand; [Irvin, A.; Haas, C.] York Univ, Dept Earth &amp; Space Sci &amp; Engn, Toronto, ON, Canada; [Haas, C.] Alfred Wegener Inst, Sea Ice Phys, Bremerhaven, Germany; [Langhorne, P. J.] Univ Otago, Dept Phys, Dunedin, New Zealand; [Leonard, G. H.] Univ Otago, Sch Surveying, Dunedin, New Zealand</t>
  </si>
  <si>
    <t>University of Canterbury; York University - Canada; Helmholtz Association; Alfred Wegener Institute, Helmholtz Centre for Polar &amp; Marine Research; University of Otago; University of Otago</t>
  </si>
  <si>
    <t>Brett, GM (corresponding author), Univ Canterbury, Gateway Antarct, Christchurch, New Zealand.</t>
  </si>
  <si>
    <t>gemma.brett@pg.canterbury.ac.nz</t>
  </si>
  <si>
    <t>Haas, Christian/L-5279-2016; Rack, Wolfgang/U-8898-2017; Leonard, Greg/F-7157-2010; Langhorne, Pat/C-3539-2018</t>
  </si>
  <si>
    <t>Haas, Christian/0000-0002-7674-3500; Rack, Wolfgang/0000-0003-2447-377X; Leonard, Greg/0000-0001-7679-9486; Langhorne, Pat/0000-0003-0239-7657; Brett, Gemma Marie/0000-0001-8249-2675; Irvin, Anne/0000-0001-6351-0217</t>
  </si>
  <si>
    <t>Deep South National Science Challenge, a University of Canterbury Doctoral Scholarship; NSF [ANT-1543305]; Cryosat cal/val project [4512]</t>
  </si>
  <si>
    <t>Deep South National Science Challenge, a University of Canterbury Doctoral Scholarship; NSF(National Science Foundation (NSF)); Cryosat cal/val project</t>
  </si>
  <si>
    <t>This study was funded by the Deep South National Science Challenge, a University of Canterbury Doctoral Scholarship, and logistics support provided by Antarctica New Zealand under K063 and K066 events. We express our deepest gratitude for the invaluable support provided by all K063 and K066 field event members and Scott Base staff. The authors appreciate the support of the University of Wisconsin-Madison Automatic Weather Station Program for the data set, data display, and information, NSF grant ANT-1543305. We acknowledge the use of imagery from the NASA Worldview application (https://worldview.earthdata.nasa.gov/) operated by the NASA/Goddard Space Flight Center Earth Science Data and Information System (EOSDIS) project. Envisat ASAR data were received through Cryosat cal/val project 4512. The data used here are publicly available at PANGAEA (https://doi.pangaea.de/10.1594/PANGAEA.909686 (data set in review)).</t>
  </si>
  <si>
    <t>2169-9275</t>
  </si>
  <si>
    <t>2169-9291</t>
  </si>
  <si>
    <t>J GEOPHYS RES-OCEANS</t>
  </si>
  <si>
    <t>J. Geophys. Res.-Oceans</t>
  </si>
  <si>
    <t>e2019JC015678</t>
  </si>
  <si>
    <t>10.1029/2019JC015678</t>
  </si>
  <si>
    <t>LP3OW</t>
  </si>
  <si>
    <t>WOS:000534229400001</t>
  </si>
  <si>
    <t>Rosso, I; Mazloff, MR; Talley, LD; Purkey, SG; Freeman, NM; Maze, G</t>
  </si>
  <si>
    <t>Rosso, Isabella; Mazloff, Matthew R.; Talley, Lynne D.; Purkey, Sarah G.; Freeman, Natalie M.; Maze, Guillaume</t>
  </si>
  <si>
    <t>Water Mass and Biogeochemical Variability in the Kerguelen Sector of the Southern Ocean: A Machine Learning Approach for a Mixing Hot Spot</t>
  </si>
  <si>
    <t>Southern Ocean; Kerguelen Plateau; Argo; unsupervised clustering; machine learning</t>
  </si>
  <si>
    <t>ANTARCTIC INTERMEDIATE WATER; BOTTOM WATER; POLAR FRONT; ARGO FLOAT; MODE WATER; CIRCULATION; TRANSPORT; EAST</t>
  </si>
  <si>
    <t>The Southern Ocean (SO) is one of the most energetic regions in the world, where strong air-sea fluxes, oceanic instabilities, and flow-topography interactions yield complex dynamics. The Kerguelen Plateau (KP) region in the Indian sector of the SO is a hot spot for these energetic dynamics, which result in large spatiotemporal variability of physical and biogeochemical properties throughout the water column. Data from Argo floats (including biogeochemical) are used to investigate the spatial variability of intermediate and deep water physical and biogeochemical properties. An unsupervised machine learning classification approach is used to organize the float profiles into five SO frontal zones based on their temperature and salinity structure between 300 and 900 m, revealing not only the location of frontal zones and their boundaries but also the variability of water mass properties relative to the zonal mean state. We find that the variability is property dependent and can be more than twice as large as the mean zonal variability in intense eddy fields. In particular, we observe this intense variability in the intermediate and deep waters of the Subtropical Zone; in the Subantarctic Zone just west of and at KP; east of KP in the Polar Frontal Zone, associated with intense eddy variability that enhances deep waters convergence and mixing; and, as the deep waters upwell to the upper 500 m and mix with the surface waters in the southernmost regimes, each property shows a large variability. Plain Language Summary The Southern Ocean strongly influences the global climate system, by absorbing, storing, and redistributing heat and carbon across the different ocean basins. Thanks to an increasing number of observations from autonomous instruments, called Argo floats, our understanding of this harsh environment has deepened in the last two decades. Here we use a machine learning technique to automatically classify the float measurements and sort them in regimes with similar properties based on their temperature and salinity vertical structure. The classification results are consistent with previous studies but are here used to reveal regions where mixing between different types of waters is likely to be occurring. By sorting the float profiles into regimes, we can diagnose regions with larger variation of properties and highlight the transition of the properties across regimes. Given the increasing volume of observations that instruments like the Argo floats are building, a method such as the technique implemented in this study represents a valuable tool that can help to automatically reveal similarities in dynamical regimes. Key Points An unsupervised classification technique, applied to temperature and salinity float data, is used to sort the profiles into frontal zones In eddy fields the variability of physical and biogeochemical properties is more than twice as large as the mean zonal variability The intense eddy variability drives lateral physical processes that cause the large property variance</t>
  </si>
  <si>
    <t>[Rosso, Isabella; Mazloff, Matthew R.; Talley, Lynne D.; Purkey, Sarah G.; Freeman, Natalie M.] Univ Calif San Diego, Scripps Inst Oceanog, La Jolla, CA 92093 USA; [Maze, Guillaume] Univ Brest, CNRS, IFREMER, IRD,IUEM,Lab Oceanog Phys &amp; Spatiale, F-29280 Plouzane, France</t>
  </si>
  <si>
    <t>University of California System; University of California San Diego; Scripps Institution of Oceanography; Universite de Bretagne Occidentale; Institut Universitaire Europeen de la Mer (IUEM); Ifremer; Institut de Recherche pour le Developpement (IRD); Centre National de la Recherche Scientifique (CNRS)</t>
  </si>
  <si>
    <t>Rosso, I (corresponding author), Univ Calif San Diego, Scripps Inst Oceanog, La Jolla, CA 92093 USA.</t>
  </si>
  <si>
    <t>irosso@ucsd.edu</t>
  </si>
  <si>
    <t>Maze, Guillaume/AAB-4078-2019; Purkey, Sarah G/K-1983-2012; Maze, Guillaume O/B-5247-2008; Freeman, Natalie/F-8672-2015</t>
  </si>
  <si>
    <t>Maze, Guillaume/0000-0001-7231-2095; Talley, Lynne/0000-0003-1574-729X; rosso, isabella/0000-0002-6761-7297; Freeman, Natalie/0000-0002-4718-5650; Purkey, Sarah/0000-0002-1893-6224</t>
  </si>
  <si>
    <t>National Science Foundation, Division of Polar Programs [NSF PLR -1425989]; National Science Foundation [PLR-1425989]; French national programme LEFE/INSU, project SOMOVAR</t>
  </si>
  <si>
    <t>National Science Foundation, Division of Polar Programs(National Science Foundation (NSF)); National Science Foundation(National Science Foundation (NSF)); French national programme LEFE/INSU, project SOMOVAR</t>
  </si>
  <si>
    <t>SOCCOM data were collected and made freely available by the Southern Ocean Carbon and Climate Observations and Modeling Project funded by the National Science Foundation, Division of Polar Programs (NSF PLR -1425989), supplemented by NASA, and by the International Argo Program and the NOAA programs that contribute to it. (http://www.argo.ucsd.edu, http://argo.jcommops.org).Argo data were collected and made freely available by the International Argo Program and the national programs that contribute to it. The Argo Program is part of the Global Ocean Observing System. I. R. thanks L. Bohme (University of St. Andrews), J. Bowman (Scripps Institution of Oceanography), Y. Liang (Woods Hole Oceanographic Institution), and M. Kuusela (Carnegie Mellon University) for all the valuable discussions on fronts and classification methods. This work is a contribution of the Southern Ocean Carbon and Climate Observations and Modeling project (SOCCOM). SOCCOM is supported by the National Science Foundation under NSF Award PLR-1425989. G. M. was supported by the French national programme LEFE/INSU, project SOMOVAR. We thank the anonymous reviewers who helped to improve this manuscript.</t>
  </si>
  <si>
    <t>e2019JC015877</t>
  </si>
  <si>
    <t>10.1029/2019JC015877</t>
  </si>
  <si>
    <t>Green Published, Green Submitted, Bronze</t>
  </si>
  <si>
    <t>WOS:000534229400026</t>
  </si>
  <si>
    <t>Ronge, TA; Prange, M; Mollenhauer, G; Ellinghausen, M; Kuhn, G; Tiedemann, R</t>
  </si>
  <si>
    <t>Ronge, Thomas A.; Prange, Matthias; Mollenhauer, Gesine; Ellinghausen, Maret; Kuhn, Gerhard; Tiedemann, Ralf</t>
  </si>
  <si>
    <t>Radiocarbon Evidence for the Contribution of the Southern Indian Ocean to the Evolution of Atmospheric CO2 Over the Last 32,000 Years</t>
  </si>
  <si>
    <t>PALEOCEANOGRAPHY AND PALEOCLIMATOLOGY</t>
  </si>
  <si>
    <t>radiocarbon; ventilation; Southern Ocean; Younger Dryas; carbon cycle; Indian Ocean</t>
  </si>
  <si>
    <t>WESTERLY WIND CHANGES; PACIFIC-OCEAN; CARBON-DIOXIDE; CONRAD RISE; DEEP-OCEAN; VENTILATION; WATER; AGE; ATLANTIC; SECTOR</t>
  </si>
  <si>
    <t>It is widely assumed that the ventilation of the Southern Ocean played a crucial role in driving glacial-interglacial atmospheric CO2 levels. So far, however, ventilation records from the Indian sector of the Southern Ocean are widely missing. Here we present reconstructions of water residence times (depicted as Delta Delta C-14 and Delta delta C-13) for the last 32,000 years on sediment records from the Kerguelen Plateau and the Conrad Rise (similar to 570- to 2,500-m water depth), along with simulated changes in ocean stratification from a transient climate model experiment. Our data indicate that Circumpolar Deep Waters in the Indian Ocean were part of the glacial carbon pool. At our sites, close to or bathed by upwelling deep waters, we find two pulses of decreasing Delta Delta C-14 and delta C-13 values (similar to 21-17 ka; similar to 15-12 ka). Both transient pulses precede a similar pattern in downstream intermediate waters in the tropical Indian Ocean as well as rising atmospheric CO2 values. These findings suggest that C-14-depleted, CO2-rich Circumpolar Deep Water from the Indian Ocean contributed to the rise in atmospheric CO2 during Heinrich Stadial 1 and also the Younger Dryas and that the southern Indian Ocean acted as a gateway for sequestered carbon to the atmosphere and tropical intermediate waters. Plain Language Summary By analyzing air bubbles trapped in glacial ice from Antarctica, we know the pattern of atmospheric CO2 for roughly the last 800,000 years. This record shows a distinctive pattern of warm interglacials with high values of atmospheric CO2 (similar to 280 ppm) and cold glacials with CO2 as low as similar to 180 ppm. A leading hypothesis assumes that the CO2 that went missing from the atmosphere during the glacials was stored in the deep global ocean. Several studies suggest that during glacials, the main connection between the deep ocean and the surface/atmosphere -the Southern Ocean- was significantly interrupted or at least reduced. Until now, it was shown that the deglacial South Pacific, the Drake Passage, and the South Atlantic played a vital role in the release of the stored oceanic CO2 back to the atmosphere. With our study, we want to shed new light on the role, the southernmost Indian Ocean played in this system. Our data from the Kerguelen Plateau and the Conrad Rise indicate that the Indian Ocean also stored CO2 during the last glacial and released it back to the atmosphere in two pulses during the last deglacial transition.</t>
  </si>
  <si>
    <t>[Ronge, Thomas A.; Mollenhauer, Gesine; Kuhn, Gerhard; Tiedemann, Ralf] Helmholtz Zentrum Polar &amp; Meeresforsch, Alfred Wegener Inst, Dept Marine Geol, Bremerhaven, Germany; [Prange, Matthias; Ellinghausen, Maret; Tiedemann, Ralf] Univ Bremen, MARUM Ctr Marine Environm Sci, Bremen, Germany</t>
  </si>
  <si>
    <t>Helmholtz Association; Alfred Wegener Institute, Helmholtz Centre for Polar &amp; Marine Research; University of Bremen</t>
  </si>
  <si>
    <t>Ronge, TA (corresponding author), Helmholtz Zentrum Polar &amp; Meeresforsch, Alfred Wegener Inst, Dept Marine Geol, Bremerhaven, Germany.</t>
  </si>
  <si>
    <t>thomas.ronge@awi.de</t>
  </si>
  <si>
    <t>Mollenhauer, Gesine/AAD-8167-2019</t>
  </si>
  <si>
    <t>Mollenhauer, Gesine/0000-0001-5138-564X; Ronge, Thomas/0000-0003-2625-719X; Kuhn, Gerhard/0000-0001-6069-7485; Prange, Matthias/0000-0001-5874-756X</t>
  </si>
  <si>
    <t>Deutsche Forschungs Gemeinschaft (DFG) Antarctic Priority Program [SPP1158, RO5057/1-2]; joint MARUM/AWI project POSY; Bundesministerium fur Bildung und Forschung (BMBF) through the PalMod initiative</t>
  </si>
  <si>
    <t>Deutsche Forschungs Gemeinschaft (DFG) Antarctic Priority Program(German Research Foundation (DFG)); joint MARUM/AWI project POSY; Bundesministerium fur Bildung und Forschung (BMBF) through the PalMod initiative(Federal Ministry of Education &amp; Research (BMBF))</t>
  </si>
  <si>
    <t>We would like to thank captains and crews of R/V Polarstern expeditions PS30 and PS69, E. Bonk, B. Diekmann, J. Gottschalk, H. Grotheer, R. Frohlking-Teichert, J. Hollop, S. Jaccard, A. Mackensen, M. Sarnthein, V. Schumacher, L. Schonborn, M. Seebeck, and S. Wiebe for technical support, data, and discussions. Thanks to P. Rafter for the creation of the awesome, Wes Anderson themed ODV color scheme. T. A. R. was funded by the Deutsche Forschungs Gemeinschaft (DFG) Antarctic Priority Program SPP1158, project RO5057/1-2, and the joint MARUM/AWI project POSY. We would also like to acknowledge AWI project COPTER for helpful discussions and input. We thank F. He, Z. Liu, and B. Otto-Bliesner for making available the TraCE-21ka model output via the Earth System Grid (NCAR). M. P. acknowledges support from the Bundesministerium fur Bildung und Forschung (BMBF) through the PalMod initiative. We thank Editor E. Thomas, Associate Editor H. Bostock, and two reviewers for their helpful comments. Data available at https://doi.pangaea.de/10.1594/PANGAEA.906365.</t>
  </si>
  <si>
    <t>2572-4517</t>
  </si>
  <si>
    <t>2572-4525</t>
  </si>
  <si>
    <t>PALEOCEANOGR PALEOCL</t>
  </si>
  <si>
    <t>Paleoceanogr. Paleoclimatology</t>
  </si>
  <si>
    <t>UNSP e2019PA003733</t>
  </si>
  <si>
    <t>10.1029/2019PA003733</t>
  </si>
  <si>
    <t>Geosciences, Multidisciplinary; Oceanography; Paleontology</t>
  </si>
  <si>
    <t>Geology; Oceanography; Paleontology</t>
  </si>
  <si>
    <t>LP7CC</t>
  </si>
  <si>
    <t>Green Submitted, Green Accepted, hybrid</t>
  </si>
  <si>
    <t>WOS:000534473900006</t>
  </si>
  <si>
    <t>Wenman, CP; Harry, DL; Jha, S</t>
  </si>
  <si>
    <t>Wenman, Christopher P.; Harry, Dennis L.; Jha, Sumant</t>
  </si>
  <si>
    <t>Post Middle Miocene Tectonomagmatic and Stratigraphic Evolution of the Victoria Land Basin, West Antarctica</t>
  </si>
  <si>
    <t>GEOCHEMISTRY GEOPHYSICS GEOSYSTEMS</t>
  </si>
  <si>
    <t>Antarctica; West Antarctic Rift; Victoria Land Basin; Ross Sea; flexure; continental rift</t>
  </si>
  <si>
    <t>MARIE-BYRD-LAND; EFFECTIVE ELASTIC THICKNESS; SOUTHERN MCMURDO SOUND; ROSS SEA; TRANSANTARCTIC MOUNTAINS; CRUSTAL STRUCTURE; RIFT SYSTEM; TECTONIC EVOLUTION; STRUCTURE BENEATH; PACIFIC MARGIN</t>
  </si>
  <si>
    <t>Seismic reflection and borehole data are used to create structure maps of four regional and three local unconformities that constrain the post middle Miocene evolution of the Victoria Land Basin (VLB), which is located in the western Ross Sea within the Late Cretaceous through Quaternary West Antarctic Rift System. Isochore maps of the strata between unconformities show that rifting was mostly amagmatic between 12 to 7.6 Ma, with subsidence controlled by faults bordering the northwest margin of the basin and in a tectonic zone along the southern basin axis known as the Terror Rift. Depocenters surrounding volcanic features in strata younger than 4.3 Ma indicate an increasing influence of flexure due to volcanic loading on the subsidence pattern in the southern VLB after this time. The intervening period, from 7.6 to 4.3 Ma, was a transitional period during which both extensional tectonism and magmatism exerted strong influences on basin morphology. Since 4.3 Ma, a series of flexural subbasins formed successively at different times and positions as the different volcanic centers that built Ross Island erupted. In composite, these subbasins form a flexural moat surrounding Ross Island and smaller volcanic centers immediately to the north. The widths of these basins indicate that the flexural rigidity of the lithosphere ranges from 0.20 x 10(19) to 12.96 x 10(19) N-m (elastic thickness 0.6 to 2.4 km). Plain Language Summary Seismic data from the Ross Sea of West Antarctic are used with data from past drilling expeditions to develop an understanding of the subsidence history of the Victoria Land Basin since middle Miocene time, about 12 million years ago. This is a time when continental rifting in the Ross Sea had become focused on the edges of the long-lived West Antarctic Rift System, and a time that followed a change in the direction of rifting from east-west to north-northeasterly. Maps of sediment thickness show that the Victoria Land Basin transitioned from one in which subsidence was controlled primarily by faulting between about 14 and 4 Ma. After this time, faulting continued to control subsidence in the northern part of the basin, but bending of the lithosphere around Ross Island and other emerging volcanic centers played an increasing role in the southern part of the basin. The overall trend of the major depocenters in the basin reoriented from north to north-northeasterly to accommodate the post middle Miocene change in extension direction, but individual structures within the basin continued to exploit older structural trends. Key Points Neogene extension in the Victoria Land Basin included a middle Miocene amagmatic phase and a post-Miocene magmatic phase The sedimentary moat around Ross Island is a composite of flexural basins formed by the major volcanic centers on the island The elastic thickness of the lithosphere ranges from 0.6-2.4 km</t>
  </si>
  <si>
    <t>[Wenman, Christopher P.; Harry, Dennis L.; Jha, Sumant] Colorado State Univ, Dept Geosci, Ft Collins, CO 80523 USA</t>
  </si>
  <si>
    <t>Colorado State University</t>
  </si>
  <si>
    <t>Harry, DL (corresponding author), Colorado State Univ, Dept Geosci, Ft Collins, CO 80523 USA.</t>
  </si>
  <si>
    <t>dennis.harry@colostate.edu</t>
  </si>
  <si>
    <t>Harry, Dennis/0000-0002-0414-0786</t>
  </si>
  <si>
    <t>National Science Foundation [1043700, 1169553, 0342484]</t>
  </si>
  <si>
    <t>National Science Foundation(National Science Foundation (NSF))</t>
  </si>
  <si>
    <t>We thank Terry Wilson for suggesting we look at flexural subsidence around Ross Island and Derek Witt and Jace Koger for their insights during many discussions. We thank three anonymous reviewers, whose detailed comments helped us to improve the presentation of arguments and to more thoroughly assess the implications. We are grateful to Chris Sorlien for his helpful review on an early version of this paper and for sharing his preliminary interpretations, and to the Ross Map team, Huw Horgan, Marvin Speece, and Stephen Pekar for sharing their seismic data sets. This material is based upon work supported by the National Science Foundation under Grant numbers 1043700 and 1169553 and under Cooperative Agreement number 0342484 through subawards administered and issued by the ANDRILL Science Management Office at the University of Nebraska-Lincoln, as part of the ANDRILL U.S. Science Support Program. Seismic data used in this project can be obtained from the Antarctic Seismic Data Library System (SDLS). Digital records of seismic horizon arrival times and grids of the structure and isochore maps can be accessed through the Antarctic Master Directory (AMD) under Entry ID NSF-ANT10-43700. The SDLS and SMD can be accessed at https://scar.org.</t>
  </si>
  <si>
    <t>1525-2027</t>
  </si>
  <si>
    <t>GEOCHEM GEOPHY GEOSY</t>
  </si>
  <si>
    <t>Geochem. Geophys. Geosyst.</t>
  </si>
  <si>
    <t>10.1029/2019GC008568</t>
  </si>
  <si>
    <t>LP7AQ</t>
  </si>
  <si>
    <t>WOS:000534469900019</t>
  </si>
  <si>
    <t>Cnossen, I; Maute, A</t>
  </si>
  <si>
    <t>Cnossen, I.; Maute, A.</t>
  </si>
  <si>
    <t>Simulated Trends in Ionosphere-Thermosphere Climate Due to Predicted Main Magnetic Field Changes From 2015 to 2065</t>
  </si>
  <si>
    <t>JOURNAL OF GEOPHYSICAL RESEARCH-SPACE PHYSICS</t>
  </si>
  <si>
    <t>The strength and structure of the Earth's magnetic field is gradually changing. During the next 50 years the dipole moment is predicted to decrease by similar to 3.5%, with the South Atlantic Anomaly expanding, deepening, and continuing to move westward, while the magnetic dip poles move northwestward. We used simulations with the Thermosphere-Ionosphere-Electrodynamics General Circulation Model to study how predicted changes in the magnetic field will affect the climate of the thermosphere-ionosphere system from 2015 to 2065. The global mean neutral density in the thermosphere is expected to increase slightly, by up to 1% on average or up to 2% during geomagnetically disturbed conditions (K-p &gt;= 4). This is due to an increase in Joule heating power, mainly in the Southern Hemisphere. Global mean changes in total electron content (TEC) range from -3% to +4%, depending on season and UT. However, regional changes can be much larger, up to about +/- 35% in the region of similar to 45 degrees S to 45 degrees N and 110 degrees W to 0 degrees W during daytime. Changes in the vertical (E) over right arrow X (B) over right arrow drift are the most important driver of changes in TEC, although other plasma transport processes also play a role. A reduction in the low-latitude upward (E) over right arrow X (B) over right arrow drift weakens the equatorial ionization anomaly in the longitude sector of similar to 105-60 degrees W, manifesting itself as a local increase in electron density over Jicamarca (12.0 degrees S, 76.9 degrees W). The predicted increase in neutral density associated with main magnetic field changes is very small compared to observed trends and other trend drivers, but the predicted changes in TEC could make a significant contribution to observationally detectable trends.</t>
  </si>
  <si>
    <t>[Cnossen, I.] British Antarctic Survey, Cambridge, England; [Maute, A.] Natl Ctr Atmospher Res, POB 3000, Boulder, CO 80307 USA</t>
  </si>
  <si>
    <t>UK Research &amp; Innovation (UKRI); Natural Environment Research Council (NERC); NERC British Antarctic Survey; National Center Atmospheric Research (NCAR) - USA</t>
  </si>
  <si>
    <t>Cnossen, I (corresponding author), British Antarctic Survey, Cambridge, England.</t>
  </si>
  <si>
    <t>inos@bas.ac.uk</t>
  </si>
  <si>
    <t>Cnossen, Ingrid/E-5809-2010</t>
  </si>
  <si>
    <t>Cnossen, Ingrid/0000-0001-6469-7861; Maute, Astrid/0000-0003-3393-0987</t>
  </si>
  <si>
    <t>Natural Environment Research Council [NE/R015651/1]; NASA [NNX16AK88G]; National Center for Atmospheric Research; National Science Foundation [1852977]; NERC [bas0100031, NE/R015651/1] Funding Source: UKRI; NASA [901866, NNX16AK88G] Funding Source: Federal RePORTER</t>
  </si>
  <si>
    <t>Natural Environment Research Council(UK Research &amp; Innovation (UKRI)Natural Environment Research Council (NERC)); NASA(National Aeronautics &amp; Space Administration (NASA)); National Center for Atmospheric Research; National Science Foundation(National Science Foundation (NSF)); NERC(UK Research &amp; Innovation (UKRI)Natural Environment Research Council (NERC)); NASA(National Aeronautics &amp; Space Administration (NASA))</t>
  </si>
  <si>
    <t>The TIE-GCM 2.0 source code is available to download from the website (https://www.hao.ucar.edu/modeling/tgcm/).Input solar wind data were taken from the OMNI data set, available on CDAweb (https://cdaweb.gsfc.nasa.gov/istp_public/).F10.7 data are provided by the National Oceanic and Atmospheric Administration National Geophysical Data Center (NOAA/NGDC; https://ngdc.noaa.gov/stp/spaceweather.html).I.Cnossen was supported by an Independent Research Fellowship from the Natural Environment Research Council (NE/R015651/1). A. Maute was supported by NASA Grant NNX16AK88G. This material is based upon work supported by the National Center for Atmospheric Research, which is a major facility sponsored by the National Science Foundation under Cooperative Agreement 1852977.</t>
  </si>
  <si>
    <t>2169-9380</t>
  </si>
  <si>
    <t>2169-9402</t>
  </si>
  <si>
    <t>J GEOPHYS RES-SPACE</t>
  </si>
  <si>
    <t>J. Geophys. Res-Space Phys.</t>
  </si>
  <si>
    <t>e2019JA027738</t>
  </si>
  <si>
    <t>10.1029/2019JA027738</t>
  </si>
  <si>
    <t>LR0LY</t>
  </si>
  <si>
    <t>Green Accepted, Green Published, hybrid</t>
  </si>
  <si>
    <t>WOS:000535389600050</t>
  </si>
  <si>
    <t>Smyshlyaev, SP; Blakitnaya, PA; Motsakov, MA</t>
  </si>
  <si>
    <t>Smyshlyaev, S. P.; Blakitnaya, P. A.; Motsakov, M. A.</t>
  </si>
  <si>
    <t>Numerical Modeling of the Influence of Physical and Chemical Factors on the Interannual Variability of Antarctic Ozone</t>
  </si>
  <si>
    <t>RUSSIAN METEOROLOGY AND HYDROLOGY</t>
  </si>
  <si>
    <t>DEPLETION; GAS</t>
  </si>
  <si>
    <t>The variability of Antarctic total column ozone in 1980-2018 is considered. The study analyzes trends in Antarctic total column ozone during the study period as well as the physical and chemical processes affecting the seasonal variability of total column ozone. The main attention is paid to the influence of dynamical processes on the stability of the Antarctic polar vortex, to the formation of polar stratospheric clouds, and to the influence of gas-phase and heterogeneous processes on the surface of polar stratospheric clouds and sulfate aerosol. The method of research is the analysis of the results of ground and satellite observations and numerical modeling of physical and chemical processes over the Antarctic using a global chemistry transport model with the dynamical parameters specified from reanalysis data.</t>
  </si>
  <si>
    <t>[Smyshlyaev, S. P.; Blakitnaya, P. A.; Motsakov, M. A.] Russian State Hydrometeorol Univ, Malookhtinskii Pr 98, St Petersburg 195196, Russia</t>
  </si>
  <si>
    <t>Russian State Hydrometeorological University</t>
  </si>
  <si>
    <t>Smyshlyaev, SP (corresponding author), Russian State Hydrometeorol Univ, Malookhtinskii Pr 98, St Petersburg 195196, Russia.</t>
  </si>
  <si>
    <t>smyshl@rshu.ru</t>
  </si>
  <si>
    <t>Smyshlyaev, Sergei P./F-1198-2014</t>
  </si>
  <si>
    <t>Russian State Hydrometeorological University [5.6493.2017/8.9]; Russian Science Foundation [19-17-00198]; Russian Foundation for Basic Research [17-05-01277]; Russian Science Foundation [19-17-00198] Funding Source: Russian Science Foundation</t>
  </si>
  <si>
    <t>Russian State Hydrometeorological University; Russian Science Foundation(Russian Science Foundation (RSF)); Russian Foundation for Basic Research(Russian Foundation for Basic Research (RFBR)Spanish Government); Russian Science Foundation(Russian Science Foundation (RSF))</t>
  </si>
  <si>
    <t>The research was performed at the Russian State Hydrometeorological University in the framework of the Governmental Assignment of the Ministry of Education and Science (project 5.6493.2017/8.9). The studies of the influence of dynamical parameters on the ozone values in the polar regions were supported by the Russian Science Foundation (grant 19-17-00198), and the studies of the influence of chemical processes were supported by the Russian Foundation for Basic Research (grant 17-05-01277).</t>
  </si>
  <si>
    <t>PLEIADES PUBLISHING INC</t>
  </si>
  <si>
    <t>MOSCOW</t>
  </si>
  <si>
    <t>PLEIADES PUBLISHING INC, MOSCOW, 00000, RUSSIA</t>
  </si>
  <si>
    <t>1068-3739</t>
  </si>
  <si>
    <t>1934-8096</t>
  </si>
  <si>
    <t>RUSS METEOROL HYDRO+</t>
  </si>
  <si>
    <t>Russ. Meteorol. Hydrol.</t>
  </si>
  <si>
    <t>10.3103/S1068373920030024</t>
  </si>
  <si>
    <t>LQ4GI</t>
  </si>
  <si>
    <t>WOS:000534962100002</t>
  </si>
  <si>
    <t>Sibir, EE; Radionov, VF; Rusina, EN</t>
  </si>
  <si>
    <t>Sibir, E. E.; Radionov, V. F.; Rusina, E. N.</t>
  </si>
  <si>
    <t>Results of Long-term Observations of Total Ozone in Antarctica and over the Atlantic and Southern Oceans</t>
  </si>
  <si>
    <t>The study presents the results of analysis of observational data on total ozone (TO) at the Russian Antarctic stations Mirny, Novolazarevskaya, and Vostok for 1975-2019 and on the research vessels for 2005-2019. A steady trend towards the TO decrease in Antarctic spring was observed till the early 2000s. Currently, there is a tendency of returning TO values to those typical of the period preceding the manifestation of the ozone hole effect.</t>
  </si>
  <si>
    <t>[Sibir, E. E.; Radionov, V. F.; Rusina, E. N.] Arctic &amp; Antarctic Res Inst, Ul Beringa 38, St Petersburg 199397, Russia</t>
  </si>
  <si>
    <t>Arctic &amp; Antarctic Research Institute</t>
  </si>
  <si>
    <t>Sibir, EE (corresponding author), Arctic &amp; Antarctic Res Inst, Ul Beringa 38, St Petersburg 199397, Russia.</t>
  </si>
  <si>
    <t>sibrus@aari.ru</t>
  </si>
  <si>
    <t>10.3103/S1068373920030036</t>
  </si>
  <si>
    <t>WOS:000534962100003</t>
  </si>
  <si>
    <t>Wilson, PW</t>
  </si>
  <si>
    <t>Wilson, P. W.</t>
  </si>
  <si>
    <t>ICE GROWTH HABITS IN SOLUTIONS CONTAINING INSECT THERMAL HYSTERESIS PROTEINS COMPARED TO THOSE WITH FISH ANTIFREEZE PROTEINS</t>
  </si>
  <si>
    <t>CRYOLETTERS</t>
  </si>
  <si>
    <t>antifreeze; fish; insect; hysteresis; ice binding</t>
  </si>
  <si>
    <t>BINDING-PROTEINS</t>
  </si>
  <si>
    <t>BACKGROUND: The details of the mechanism of action of ice binding proteins (IBPs) have been intensively studied and hotly debated for some decades. OBJECTIVE: To outline the inherent differences between the manifested growth of single ice crystals grown in the presence of fish antifreeze proteins and those grown with insect thermal hysteresis proteins. MATERIALS AND METHODS: Observations of single ice crystals taking the shape of hexagonal bipyramids using a nanolitre osmometer and grown in the presence of so called antifreeze glycopeptides from the Antarctic fish species Dissostichus maswoni, are compared with those seen with insect thermal hysteresis proteins from Tenebrio molitor, grown in a Ramsay chamber, which grow as lemon-shaped crystals. RESULTS: The difference in growth allows us to infer methods of action of each class of protein. Further, below the thermal hysteresis gap, or non-equilibrium freezing point, the explosive growth seen with fish antifreeze proteins is demonstrated but is yet to be fully explored. CONCLUSION: Ice growth behaviour can be used to indicate or infer the crystal faces to which the molecules may have adsorbed.</t>
  </si>
  <si>
    <t>[Wilson, P. W.] Southern Cross Univ, Sch Environm Sci &amp; Engn, Lismore, NSW 2480, Australia</t>
  </si>
  <si>
    <t>Southern Cross University</t>
  </si>
  <si>
    <t>Wilson, PW (corresponding author), Southern Cross Univ, Sch Environm Sci &amp; Engn, Lismore, NSW 2480, Australia.</t>
  </si>
  <si>
    <t>peter.wilson@scu.edu.au</t>
  </si>
  <si>
    <t>Wilson, Peter/AAT-6428-2020</t>
  </si>
  <si>
    <t>Wilson, Peter/0000-0002-1535-6398</t>
  </si>
  <si>
    <t>CRYO LETTERS</t>
  </si>
  <si>
    <t>C/O ROYAL VETERINARY COLLEGE, ROYAL COLLEGE ST, LONDON NW1 0TU, ENGLAND</t>
  </si>
  <si>
    <t>0143-2044</t>
  </si>
  <si>
    <t>1742-0644</t>
  </si>
  <si>
    <t>CryoLetters</t>
  </si>
  <si>
    <t>Biology; Physiology</t>
  </si>
  <si>
    <t>Life Sciences &amp; Biomedicine - Other Topics; Physiology</t>
  </si>
  <si>
    <t>LP9IP</t>
  </si>
  <si>
    <t>WOS:000534629500001</t>
  </si>
  <si>
    <t>Kokun, O; Bakhmutova, L</t>
  </si>
  <si>
    <t>Kokun, Oleg; Bakhmutova, Larysa</t>
  </si>
  <si>
    <t>Dynamics of Indicators of Expeditioners' Psychological States During Long Antarctic Stay</t>
  </si>
  <si>
    <t>INTERNATIONAL JOURNAL OF PSYCHOLOGY AND PSYCHOLOGICAL THERAPY</t>
  </si>
  <si>
    <t>expeditioners; Antarctic station; Antarctic expedition; psychological states</t>
  </si>
  <si>
    <t>POLAR; IMPACT; WINTER</t>
  </si>
  <si>
    <t>This study examines the dynamics of expeditioners' psychological states during one year of work at the Antarctic station. It included twelve expeditioners of Akademik Vernadsky Ukrainian Antarctic Station. Thirteen series of monthly studies were carried out using the modified methodology of the scaled psychological state self-assessment. The states were assessed for the psycho-physiological (well-being, activity, mood, performance, health status) and social-psychological (satisfaction with relations with colleagues, satisfaction with the environment and work performed, life satisfaction) components. In general, the self-assessed indicators of expeditioners' psychological states rise significantly during the first four months of the year-long expedition. Further, their average self-assessments begin to decline gradually, reaching the lowest values in the last two months of staying at the Antarctic station. However, some indicators showed dynamics slightly different from the general tendency, and psychological states of some expeditioners remained quite stable during all expedition. The results of this study can be used for better psychological selection of Antarctic expedition participants and psychological support for them.</t>
  </si>
  <si>
    <t>[Kokun, Oleg] Natl Acad Educ Sci, GS Kostiuk Inst Psychol, Kiev, Ukraine; [Bakhmutova, Larysa] Minist Educ &amp; Sci, Natl Antarctic Sci Ctr, Kiev, Ukraine</t>
  </si>
  <si>
    <t>National Academy of Educational Sciences of Ukraine; G. S. Kostiuk Institute of Psychology of the National Academy of Educational Sciences of Ukraine; Ministry of Education &amp; Science of Ukraine; State Institution National Antarctic Scientific Center</t>
  </si>
  <si>
    <t>Kokun, O (corresponding author), GS Kostiuk Inst Psychol, 2 Pankivska, UA-01033 Kiev, Ukraine.</t>
  </si>
  <si>
    <t>kokun@ukr.net</t>
  </si>
  <si>
    <t>Bakhmutova, Larysa/ABG-8870-2020; Oleg, Kokun/D-9496-2018</t>
  </si>
  <si>
    <t>Bakhmutova, Larysa/0000-0002-5119-236X; Oleg, Kokun/0000-0003-1793-8540</t>
  </si>
  <si>
    <t>ASOC ANALISIS COMPORTAMIENTO</t>
  </si>
  <si>
    <t>ALMERIA</t>
  </si>
  <si>
    <t>UNIV ALMERIA, FAC HUMANIDADES, EDIFICIO A, ALMERIA, 04120, SPAIN</t>
  </si>
  <si>
    <t>1577-7057</t>
  </si>
  <si>
    <t>1989-2780</t>
  </si>
  <si>
    <t>INT J PSYCHOL PSYCHO</t>
  </si>
  <si>
    <t>Int. J. Psychol. Psychol. Ther.</t>
  </si>
  <si>
    <t>Psychology, Multidisciplinary</t>
  </si>
  <si>
    <t>Psychology</t>
  </si>
  <si>
    <t>LP8HS</t>
  </si>
  <si>
    <t>WOS:000534558900001</t>
  </si>
  <si>
    <t>Grobys, D; Roszkowska, M; Gawlak, M; Kmita, H; Kepel, A; Kepel, M; Parnikoza, I; Bartylak, T; Kaczmarek, L</t>
  </si>
  <si>
    <t>Grobys, Daria; Roszkowska, Milena; Gawlak, Magdalena; Kmita, Hanna; Kepel, Andrzej; Kepel, Marta; Parnikoza, Ivan; Bartylak, Tomasz; Kaczmarek, Lukasz</t>
  </si>
  <si>
    <t>High diversity in the Pseudechiniscus suillus-facettalis complex (Heterotardigrada: Echiniscidae) with remarks on the morphology of the genus Pseudechiniscus</t>
  </si>
  <si>
    <t>14th International Symposium on Tardigrada - Progress in Studies on Water Bears</t>
  </si>
  <si>
    <t>JUL 30-AUG 03, 2018</t>
  </si>
  <si>
    <t>Copenhagen, DENMARK</t>
  </si>
  <si>
    <t>COI; ITS2; Pseudechiniscus suillus; species complex; taxonomy; Tardigrada; ventral sculpture</t>
  </si>
  <si>
    <t>ANNOTATED ZOOGEOGRAPHY; TARDIGRADA HETEROTARDIGRADA; INTEGRATIVE REDESCRIPTION; NORTH-AMERICA; CHINA; VARIABILITY; PHYLOGENY; GENERA; DNA; ECHINISCOIDEA</t>
  </si>
  <si>
    <t>Pseudechiniscus is a morphologically homogeneous genus of tardigrades. The morphological features commonly used for species discrimination in this genus are the dorsal sculpture, the shape and number of dorsal plates and trunk appendages. Species of the Pseudechiniscus suillus-facettalis complex are one of the most challenging tardigrades to identify. All species are similar in their general appearance and all lack trunk appendages. Moreover, not only the nominal Pseudechiniscus suillus, but also other members of the suillus-facettalis complex have been insufficiently described. In our study, we examined several populations from the Northern and the Southern Hemispheres that could be traditionally attributed to Pse. suillus. These populations were analysed using integrative taxonomy - a combination of classical morphology and morphometry with molecular data. Besides the differences in the dorsal sculpture and morphometry, we also found species-specific differences in ventral sculpture, which were originally used for discrimination of Pseudechiniscus species. Moreover, we provide an extensive discussion on all morphological and morphometric differences used in Pseudechiniscus taxonomy and indicate main taxonomic problems with this genus. Finally, we redescribe the nominal Pse. suillus from Italy.</t>
  </si>
  <si>
    <t>[Grobys, Daria; Roszkowska, Milena; Kmita, Hanna; Bartylak, Tomasz] Adam Mickiewicz Univ, Fac Biol, Dept Bioenerget, Uniwersytetu Poznanskiego 6, PL-61614 Poznan, Poland; [Roszkowska, Milena; Kaczmarek, Lukasz] Adam Mickiewicz Univ, Fac Biol, Dept Anim Taxon &amp; Ecol, Uniwersytetu Poznanskiego 6, PL-61614 Poznan, Poland; [Gawlak, Magdalena] Inst Plant Protect Natl Res Inst, Wegorka 20, PL-60318 Poznan, Poland; [Kepel, Andrzej; Kepel, Marta] Polish Soc Nat Conservat Salamandra, Stolarska 7-3, PL-60788 Poznan, Poland; [Parnikoza, Ivan] Natl Antarctic Sci Ctr Ukraine, Blvd Tarasa Shevchenka 16, UA-01601 Kiev, Ukraine; [Parnikoza, Ivan] Natl Acad Sci Ukraine, Inst Mol Biol &amp; Genet, Kiev, Ukraine</t>
  </si>
  <si>
    <t>Adam Mickiewicz University; Adam Mickiewicz University; Ministry of Education &amp; Science of Ukraine; State Institution National Antarctic Scientific Center; National Academy of Sciences Ukraine; Institute of Molecular Biology &amp; Genetics of NASU</t>
  </si>
  <si>
    <t>Grobys, D (corresponding author), Adam Mickiewicz Univ, Fac Biol, Dept Bioenerget, Uniwersytetu Poznanskiego 6, PL-61614 Poznan, Poland.</t>
  </si>
  <si>
    <t>grobysdaria@gmail.com</t>
  </si>
  <si>
    <t>Kepel, Andrzej/ABH-6059-2020; Parnikoza, Ivan/I-2398-2016</t>
  </si>
  <si>
    <t>Kmita, Hanna/0000-0001-5018-5224; Roszkowska, Milena/0000-0003-1640-8142; Wojciechowska, Daria/0000-0003-1587-9153</t>
  </si>
  <si>
    <t>Norwegian Biodiversity Information Centre through Norwegian Taxonomy Initiative [70184237]; National Geographic Society's Committee for Research and Exploration; Rainforest Trust</t>
  </si>
  <si>
    <t>Norwegian Biodiversity Information Centre through Norwegian Taxonomy Initiative; National Geographic Society's Committee for Research and Exploration(National Geographic Society); Rainforest Trust</t>
  </si>
  <si>
    <t>Some of the specimens used in this study were obtained through the project `Tardigrades in Norwegian Forests' funded by the Norwegian Biodiversity Information Centre through a grant to Torbjorn Ekrem from the Norwegian Taxonomy Initiative (70184237).; The research expedition to Ivohibory Forest in Madagascar, during which the moss sample with Pseudechiniscus sp. 3 was collected, was result of the collaboration and support of many people and institutions, specially ICTE/MICET in Antatananarivo Madagascar and Centre ValBio in Ranomafana. The main funding for expedition was received from National Geographic Society's Committee for Research and Exploration and Rainforest Trust exploratory grants. The study was conducted on the basis of the authorization No 122/17/MEEF/SG/DGF/DSAP/SCB.Re of Le Ministere de l'Environnement, de l'Ecologie et des Forets (MEEF) of the Republic of Madagascar. Export of samples from Madagascar was authorized with the MEEF permit No 150N-EV06/MG17. Studies have been partially conducted in the framework of activities of BARg (Biodiversity and Astrobiology Research group). The authors also thank Cambridge Proofreading LLC (http://proofreading.org/) for their linguistic assistance and PhD Wiktoria Szydlo for help in phylogenetic analysis with MrBayes software. Finally, we thank the anonymous reviewers and Zoological Journal of the Linnean Society Associate Editor, Lukasz Michalczyk (Jagiellonian University, Poland), for their valuable comments that improved the manuscript.</t>
  </si>
  <si>
    <t>WOS:000531861500006</t>
  </si>
  <si>
    <t>Afzal, M; Park, J; Destgeer, G; Ahmed, H; Iqrar, SA; Kim, S; Kang, S; Alazzam, A; Yoon, TS; Sung, HJ</t>
  </si>
  <si>
    <t>Afzal, Muhammad; Park, Jinsoo; Destgeer, Ghulam; Ahmed, Husnain; Iqrar, Syed Atif; Kim, Sanghee; Kang, Sunghyun; Alazzam, Anas; Yoon, Tae-Sung; Sung, Hyung Jin</t>
  </si>
  <si>
    <t>Acoustomicrofluidic separation of tardigrades from raw cultures for sample preparation</t>
  </si>
  <si>
    <t>acoustic radiation force; Hypsibius exemplaris; surface acoustic wave</t>
  </si>
  <si>
    <t>HORIZONTAL GENE-TRANSFER; ANTARCTIC TARDIGRADE; HYPSIBIUS-DUJARDINI; LIFE-HISTORY; NO EVIDENCE; NEW-MODEL; SPACE; MANIPULATION; EVOLUTION; GENOME</t>
  </si>
  <si>
    <t>Tardigrades are microscopic animals widely known for their ability to survive in extreme conditions. They are the focus of current research in the fields of taxonomy, biogeography, genomics, proteomics, development, space biology, evolution and ecology. Tardigrades, such as Hypsibius exemplaris, are being advocated as a next-generation model organism for genomic and developmental studies. The raw culture of H. exemplaris usually contains tardigrades themselves, their eggs, faeces and algal food. Experimentation with tardigrades often requires the demanding and laborious separation of tardigrades from raw samples to prepare pure and contamination-free tardigrade samples. In this paper, we propose a two-step acoustomicrofluidic separation method to isolate tardigrades from raw samples. In the first step, a passive microfluidic filter composed of an array of traps is used to remove large algal clusters in the raw sample. In the second step, a surface acoustic wave-based active microfluidic separation device is used to deflect tardigrades continuously from their original streamlines inside the microchannel and thus isolate them selectively from algae and eggs. The experimental results demonstrated the efficient separation of tardigrades, with a recovery rate of 96% and an impurity of 4% algae on average in a continuous, contactless, automated, rapid and biocompatible manner.</t>
  </si>
  <si>
    <t>[Afzal, Muhammad; Park, Jinsoo; Destgeer, Ghulam; Ahmed, Husnain; Iqrar, Syed Atif; Sung, Hyung Jin] Korea Adv Inst Sci &amp; Technol, Dept Mech Engn, Daejeon 34141, South Korea; [Kim, Sanghee] KOPRI, Div Polar Life Sci, Incheon 21990, South Korea; [Kang, Sunghyun; Yoon, Tae-Sung] KRIBB, Dept Proteome Struct Biol, Daejeon 34141, South Korea; [Alazzam, Anas] Khalifa Univ, Dept Mech Engn, Abu Dhabi 127788, U Arab Emirates</t>
  </si>
  <si>
    <t>Korea Advanced Institute of Science &amp; Technology (KAIST); Korea Polar Research Institute (KOPRI); Korea Research Institute of Bioscience &amp; Biotechnology (KRIBB); Khalifa University of Science &amp; Technology</t>
  </si>
  <si>
    <t>Sung, HJ (corresponding author), Korea Adv Inst Sci &amp; Technol, Dept Mech Engn, Daejeon 34141, South Korea.;Yoon, TS (corresponding author), KRIBB, Dept Proteome Struct Biol, Daejeon 34141, South Korea.</t>
  </si>
  <si>
    <t>yoonts@kribb.re.kr; hjsung@kaist.ac.kr</t>
  </si>
  <si>
    <t>Ahmed, Husnain/AAM-6875-2021; Destgeer, Ghulam/D-4760-2013; Alazzam, Anas/AEQ-2161-2022</t>
  </si>
  <si>
    <t>Ahmed, Husnain/0000-0002-6633-2935; Destgeer, Ghulam/0000-0002-4498-1643;</t>
  </si>
  <si>
    <t>National Research Foundation of Korea (NRF) [2019022966]; Korea Polar Science Research Institute (KOPRI); Khalifa University of Science, Technology and Research-Korea Advanced Institute of Science and Technology (KUSTAR-KAIST); Korea Research Institute of Bioscience and Biotechnology (KRIBB)</t>
  </si>
  <si>
    <t>National Research Foundation of Korea (NRF)(National Research Foundation of Korea); Korea Polar Science Research Institute (KOPRI)(Korea Polar Research Institute of Marine Research Placement (KOPRI)); Khalifa University of Science, Technology and Research-Korea Advanced Institute of Science and Technology (KUSTAR-KAIST); Korea Research Institute of Bioscience and Biotechnology (KRIBB)</t>
  </si>
  <si>
    <t>This work was supported by the National Research Foundation of Korea (NRF) (Grant no. 2019022966), the Korea Polar Science Research Institute (KOPRI), Khalifa University of Science, Technology and Research-Korea Advanced Institute of Science and Technology (KUSTAR-KAIST) and Korea Research Institute of Bioscience and Biotechnology (KRIBB). M. A., J.P. and G. D. contributed equally to this work. We are grateful to the reviewers for their constructive comments to improve the manuscript.</t>
  </si>
  <si>
    <t>WOS:000531861500011</t>
  </si>
  <si>
    <t>Tsujimoto, M; Kagoshima, H; Kanda, H; Watanabe, K; Imura, S</t>
  </si>
  <si>
    <t>Tsujimoto, Megumu; Kagoshima, Hiroshi; Kanda, Hiroshi; Watanabe, Kenichi; Imura, Satoshi</t>
  </si>
  <si>
    <t>Reproductive performance of the Antarctic tardigrades, Acutuncus antarcticus (Eutardigrada: Hypsibiidae), revived after being frozen for over 30 years and of their offspring</t>
  </si>
  <si>
    <t>cryobiosis; cryptobiosis; freezing; long-term survival; reproduction</t>
  </si>
  <si>
    <t>LONG-TERM SURVIVAL; EMBRYONIC STAGES; LIFE-HISTORY; TOLERANCE; DIVERSITY; BIOGEOGRAPHY; DESICCATION; EGGS</t>
  </si>
  <si>
    <t>Studies on the long-term survival of animals often focus on the specific instance of survival of animals only, and descriptions of subsequent reproduction are generally not reported. In this study, we recorded the reproductive performance of the first-generation offspring of the resuscitated individual (SB-1) and the hatchling of the resuscitated egg (SB-3) of the Antarctic tardigrade, Acutuncus antarcticus, after being frozen for 30.5 years. By providing further detailed description of the reproduction of SB-1 and SB-3 after revival, and then comparing the reproductive performance with that of their first-generation offspring, the possible indications of the damage accrued during the long-term preservation in SB-1 and SB-3 were more specifically detected. Additionally, the DNA analysis revealed two distinctively different mitochondrial genetic sequences of A. antarcticus between the SB strains and the LSW strain. The observed differences in some of the reproductive parameters between the two genetic types suggested a possible relationship between the life-history traits and genetic type in the species A. antarcticus. Further experiments using the SB-1 and SB-3 strains reared for a long period to exclude the instant effect of preservation are expected to improve our understanding of the mechanisms underlying the long-term survival of animals.</t>
  </si>
  <si>
    <t>[Tsujimoto, Megumu; Kanda, Hiroshi; Watanabe, Kenichi; Imura, Satoshi] Natl Inst Polar Res NIPR, 10-3 Midori Cho, Tachikawa, Tokyo 1908518, Japan; [Tsujimoto, Megumu] Keio Univ, Fac Environm &amp; Informat Studies, 5322 Endo, Fujisawa, Kanagawa 2520882, Japan; [Kagoshima, Hiroshi] Natl Inst Genet NIG, 1111 Yata, Mishima, Shizuoka 4118540, Japan; [Imura, Satoshi] Grad Univ Adv Studies, SOKENDAI, 10-3 Midori Cho, Tachikawa, Tokyo 1908518, Japan</t>
  </si>
  <si>
    <t>Research Organization of Information &amp; Systems (ROIS); National Institute of Polar Research (NIPR) - Japan; Keio University; Research Organization of Information &amp; Systems (ROIS); National Institute of Genetics (NIG) - Japan; Graduate University for Advanced Studies - Japan</t>
  </si>
  <si>
    <t>Tsujimoto, M (corresponding author), Natl Inst Polar Res NIPR, 10-3 Midori Cho, Tachikawa, Tokyo 1908518, Japan.;Tsujimoto, M (corresponding author), Keio Univ, Fac Environm &amp; Informat Studies, 5322 Endo, Fujisawa, Kanagawa 2520882, Japan.</t>
  </si>
  <si>
    <t>megumutsujimoto@gmal.com</t>
  </si>
  <si>
    <t>Tsujimoto, Megumu/JCE-5500-2023</t>
  </si>
  <si>
    <t>Tsujimoto, Megumu/0000-0001-5160-6086</t>
  </si>
  <si>
    <t>Japan Society for the Promotion of Science [26650168, 18K14800, 23247012, 15K06906]; Grants-in-Aid for Scientific Research [15K06906, 18K14800, 26650168]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</si>
  <si>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</si>
  <si>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expedition members of JARE 24 for support in sample collection. Yuji Kohara and Hironori Niki provided facilities and advice for DNA analysis at NIG. This study was supported by Grant-in-Aid for Scientific Research No. 26650168 and No. 18K14800 to M. Tsujimoto, No. 23247012 to S. Imura, and No. 15K06906 to H. Kagoshima from the Japan Society for the Promotion of Science. This paper contributes to the SCAR programme AnT-ERA.</t>
  </si>
  <si>
    <t>WOS:000531861500013</t>
  </si>
  <si>
    <t>Lloyd, AJ; Wiens, DA; Zhu, H; Tromp, J; Nyblade, AA; Aster, RC; Hansen, SE; Dalziel, IWD; Wilson, TJ; Ivins, ER; O'Donnell, JP</t>
  </si>
  <si>
    <t>Lloyd, A. J.; Wiens, D. A.; Zhu, H.; Tromp, J.; Nyblade, A. A.; Aster, R. C.; Hansen, S. E.; Dalziel, I. W. D.; Wilson, T. J.; Ivins, E. R.; O'Donnell, J. P.</t>
  </si>
  <si>
    <t>Seismic Structure of the Antarctic Upper Mantle Imaged with Adjoint Tomography</t>
  </si>
  <si>
    <t>JOURNAL OF GEOPHYSICAL RESEARCH-SOLID EARTH</t>
  </si>
  <si>
    <t>MARIE-BYRD-LAND; DRONNING MAUD LAND; SPECTRAL-ELEMENT SIMULATIONS; WAVE-FORM TOMOGRAPHY; RAPID BEDROCK UPLIFT; WEST ANTARCTICA; ICE-SHEET; EAST ANTARCTICA; RIFT SYSTEM; RAYLEIGH-WAVE</t>
  </si>
  <si>
    <t>The upper mantle and transition zone beneath Antarctica and the surrounding oceans are among the poorest-imaged regions of the Earth's interior. Over the last 15 years, several large broadband regional seismic arrays have been deployed, as have new permanent seismic stations. Using data from 297 Antarctic and 26 additional seismic stations south of similar to 40 degrees S, we image the seismic structure of the upper mantle and transition zone using adjoint tomography. Over the course of 20 iterations, we utilize phase observations from three-component seismograms containing P, S, Rayleigh, and Love waves, including reflections and overtones, generated by 270 earthquakes that occurred from 2001-2003 and 2007-2016. The new continental-scale seismic model (ANT-20) possesses regional-scale resolution south of 60 degrees S. In East Antarctica, thinner continental lithosphere is found beneath areas of Dronning Maud Land and Enderby-Kemp Land. A continuous slow wave speed anomaly extends from the Balleny Islands through the western Ross Embayment and delineates areas of Cenozoic extension and volcanism that span both oceanic and continental regions. Slow wave speed anomalies are also imaged beneath Marie Byrd Land and along the Amundsen Sea Coast, extending to the Antarctic Peninsula. These anomalies are confined to the upper 200-250 km of the mantle, except in the vicinity of Marie Byrd Land where they extend into the transition zone and possibly deeper. Finally, slow wave speeds along the Amundsen Sea Coast link to deeper anomalies offshore, suggesting a possible connection with deeper mantle processes.</t>
  </si>
  <si>
    <t>[Lloyd, A. J.; Wiens, D. A.] Washington Univ, Dept Earth &amp; Planetary Sci, St Louis, MO 63130 USA; [Zhu, H.] Univ Texas Dallas, Dept Geosci, Richardson, TX 75083 USA; [Tromp, J.] Princeton Univ, Dept Geosci, Princeton, NJ 08544 USA; [Tromp, J.] Princeton Univ, Program Appl &amp; Computat Math, Princeton, NJ 08544 USA; [Nyblade, A. A.] Penn State Univ, Dept Geosci, University Pk, PA 16802 USA; [Aster, R. C.] Colorado State Univ, Dept Geosci, Ft Collins, CO 80523 USA; [Hansen, S. E.] Univ Alabama, Dept Geosci, Tuscaloosa, AL USA; [Dalziel, I. W. D.] Univ Texas Austin, Inst Geophys, Jackson Sch Geosci, Austin, TX USA; [Wilson, T. J.] Ohio State Univ, Byrd Polar Res Ctr, Columbus, OH 43210 USA; [Wilson, T. J.] Ohio State Univ, Sch Earth Sci, Columbus, OH 43210 USA; [Ivins, E. R.] CALTECH, Jet Prop Lab, Pasadena, CA USA; [O'Donnell, J. P.] Univ Leeds, Sch Earth &amp; Environm, Leeds, W Yorkshire, England</t>
  </si>
  <si>
    <t>Washington University (WUSTL); University of Texas System; University of Texas Dallas; Princeton University; Princeton University; Pennsylvania Commonwealth System of Higher Education (PCSHE); Pennsylvania State University; Pennsylvania State University - University Park; Colorado State University; University of Alabama System; University of Alabama Tuscaloosa; University of Texas System; University of Texas Austin; University System of Ohio; Ohio State University; University System of Ohio; Ohio State University; National Aeronautics &amp; Space Administration (NASA); NASA Jet Propulsion Laboratory (JPL); California Institute of Technology; University of Leeds</t>
  </si>
  <si>
    <t>Lloyd, AJ (corresponding author), Washington Univ, Dept Earth &amp; Planetary Sci, St Louis, MO 63130 USA.</t>
  </si>
  <si>
    <t>a.j.lloyd@go.wustl.edu</t>
  </si>
  <si>
    <t>Dalziel, Ian W. D./G-5926-2010; Aster, Richard/E-5067-2013; Ivins, Erik R/C-2416-2011; Zhu, Hejun/C-1933-2018; Wiens, Douglas/J-9259-2016; Tromp, Jeroen/B-6185-2015</t>
  </si>
  <si>
    <t>Aster, Richard/0000-0002-0821-4906; Lloyd, Andrew/0000-0002-2253-1342; Zhu, Hejun/0000-0002-7452-075X; O'Donnell, John Paul/0000-0003-1524-2312; Ivins, Erik/0000-0003-0148-357X; Wiens, Douglas/0000-0002-5169-4386; Tromp, Jeroen/0000-0002-2742-8299</t>
  </si>
  <si>
    <t>NSF [PLR-1142518, PLR-1246712, OPP-1744883]; NASA Sealevel Change Team ROSES [105393-281945.02.53.03.15]; National Science Foundation [ACI-1548562]; XSEDE [TG-DPP150005]; Seismological Facilities for the Advancement of Geoscience and EarthScope (SAGE) of the National Science Foundation [EAR-1261681]</t>
  </si>
  <si>
    <t>NSF(National Science Foundation (NSF)); NASA Sealevel Change Team ROSES; National Science Foundation(National Science Foundation (NSF)); XSEDE; Seismological Facilities for the Advancement of Geoscience and EarthScope (SAGE) of the National Science Foundation</t>
  </si>
  <si>
    <t>We thank the many individuals and organizations who have helped with the installation, maintenance, and sadly in some instances the demobilization of 297 remote Antarctic broadband seismic stations used in this study. Although Table S1 lists all stations and their respective data repositories, we particularly wish to thank Timo Tiira, Alfons Eckstaller, Thierry Camelbeeck, and Meijan An for their help in obtaining three-component earthquake seismograms from a number of broadband seismic stations along coastal East Antarctica. Andrew J. Lloyd and Douglas A. Wiens were supported by NSF Grants PLR-1142518, PLR-1246712, and OPP-1744883. Support has also come from NASA Sealevel Change Team ROSES Grant 105393-281945.02.53.03.15. A portion of this researchwas carried out at the Jet Propulsion Laboratory, California Institute ofTechnology, under a contract with the National Aeronautics and SpaceAdministration. This work used the Extreme Science and Engineering Discovery Environment (XSEDE; Towns et al., 2014), which is supported by National Science Foundation Grant ACI-1548562. Specifically, this work utilized Stampede and Stampede2 at the Texas Advanced Computing Center (TACC) obtained through XSEDE allocation TG-DPP150005. Figures were created using the Generic Mapping Tools (GMT; Wessel &amp; Smith, 1998). The Voigt average shear wave speed structure of ANT-20 can be obtained through the Incorporated Research Institutions for Seismology (IRIS) Earth Model Collaboration (http://ds.iris.edu/ds/products/emc/).The facilities of IRIS Data Services, and specifically the IRIS Data Management Center, were used for access to waveforms, related metadata, and/or derived products used in this study. IRIS Data Services are funded through the Seismological Facilities for the Advancement of Geoscience and EarthScope (SAGE) Proposal of the National Science Foundation under Cooperative Agreement EAR-1261681. Finally, We thank Martha Savage, Ved Lekic, Andreas Fichtner, and an anonymous reviewer for their critiques on this manuscript.</t>
  </si>
  <si>
    <t>2169-9313</t>
  </si>
  <si>
    <t>2169-9356</t>
  </si>
  <si>
    <t>J GEOPHYS RES-SOL EA</t>
  </si>
  <si>
    <t>J. Geophys. Res.-Solid Earth</t>
  </si>
  <si>
    <t>10.1029/2019JB017823</t>
  </si>
  <si>
    <t>LK5HB</t>
  </si>
  <si>
    <t>WOS:000530895800001</t>
  </si>
  <si>
    <t>Spain, EA; Johnson, SC; Hutton, B; Whittaker, JM; Lucieer, V; Watson, SJ; Fox, JM; Lupton, J; Arculus, R; Bradney, A; Coffin, MF</t>
  </si>
  <si>
    <t>Spain, E. A.; Johnson, S. C.; Hutton, B.; Whittaker, J. M.; Lucieer, V.; Watson, S. J.; Fox, J. M.; Lupton, J.; Arculus, R.; Bradney, A.; Coffin, M. F.</t>
  </si>
  <si>
    <t>Shallow Seafloor Gas emissions Near Heard and McDonald Islands on the Kerguelen Plateau, Southern Indian Ocean</t>
  </si>
  <si>
    <t>EARTH AND SPACE SCIENCE</t>
  </si>
  <si>
    <t>WATER COLUMN; HYDROTHERMAL ACTIVITY; GEOTHERMAL SYSTEMS; METHANE OXIDATION; HYDRATE RIDGE; 1ST EVIDENCE; DEEP-SEA; VENT; MARINE; BASIN</t>
  </si>
  <si>
    <t>Bubble emission mechanisms from submerged large igneous provinces remains enigmatic. The Kerguelen Plateau, a large igneous province in the southern Indian Ocean, has a long sustained history of active volcanism and glacial/interglacial cycles of sedimentation, both of which may cause seafloor bubble production. We present the results of hydroacoustic flare observations around the underexplored volcanically active Heard Island and McDonald Islands on the Central Kerguelen Plateau. Flares were observed with a split-beam echosounder and characterized using multifrequency decibel differencing. Deep-tow camera footage, water properties, water column delta He-3, subbottom profile, and sediment delta C-13 and delta S-34 data were analyzed to consider flare mechanisms. Excess delta He-3 near McDonald Islands seeps, indicating mantle-derived input, suggests proximal hydrothermal activity; McDonald Islands flares may thus indicate CO2, methane, and other minor gas bubbles associated with shallow diffuse hydrothermal venting. The Heard Island seep environment, with subbottom acoustic blanking in thick sediment, muted He-3 signal, and delta C-13 and delta S-34 fractionation factors, suggest that Heard Island seeps may either be methane gas (possibly both shallow biogenic methane and deeper-sourced thermogenic methane related to geothermal heat from onshore volcanism) or a combination of methane and CO2, such as seen in sediment-hosted geothermal systems. These data provide the first evidence of submarine gas escape on the Central Kerguelen Plateau and expand our understanding of seafloor processes and carbon cycling in the data-poor southern Indian Ocean. Extensive sedimentation of the Kerguelen Plateau and additional zones of submarine volcanic activity mean additional seeps or vents may lie outside the small survey area proximal to the islands.</t>
  </si>
  <si>
    <t>[Spain, E. A.; Johnson, S. C.; Whittaker, J. M.; Lucieer, V.; Watson, S. J.; Fox, J. M.; Coffin, M. F.] Univ Tasmania, Inst Marine &amp; Antarctic Studies, Hobart, Tas, Australia; [Johnson, S. C.] Univ Coll Dublin, Irish Ctr Res Appl Geosci iCRAG, Dublin, Ireland; [Hutton, B.] Echoview Software Pty Ltd, Hobart, Tas, Australia; [Watson, S. J.] Natl Inst Water &amp; Atmospher Res, Coasts &amp; Oceans, Auckland, New Zealand; [Fox, J. M.] Univ Tasmania, Ctr Ore Deposit &amp; Earth Sci, Hobart, Tas, Australia; [Lupton, J.] NOAA, Pacific Marine Environm Lab, Newport, OR USA; [Arculus, R.; Bradney, A.] Australian Natl Univ, Sch Earth Sci, Canberra, ACT, Australia; [Coffin, M. F.] Univ Maine, Sch Earth &amp; Climate Sci, Orono, ME USA; [Coffin, M. F.] Woods Hole Oceanog Inst, Geol &amp; Geophys, Woods Hole, MA 02543 USA</t>
  </si>
  <si>
    <t>University of Tasmania; University College Dublin; National Institute of Water &amp; Atmospheric Research (NIWA) - New Zealand; University of Tasmania; National Oceanic Atmospheric Admin (NOAA) - USA; Australian National University; University of Maine System; University of Maine Orono; Woods Hole Oceanographic Institution</t>
  </si>
  <si>
    <t>Spain, EA (corresponding author), Univ Tasmania, Inst Marine &amp; Antarctic Studies, Hobart, Tas, Australia.</t>
  </si>
  <si>
    <t>erica.spain@utas.edu.au</t>
  </si>
  <si>
    <t>lucieer, vanessa l/D-1697-2009; Whittaker, Joanne/B-3695-2010</t>
  </si>
  <si>
    <t>Spain, Erica/0000-0002-4689-018X; Fox, Jodi/0000-0003-2493-6623; Watson, Sally/0000-0002-3666-5034; Arculus, Richard/0000-0002-3432-392X; Johnson, Sean/0000-0001-9015-3809; Whittaker, Joanne/0000-0002-3170-3935</t>
  </si>
  <si>
    <t>Australian Marine National Facility (MNF); Australian Antarctic Science Program (AASP) [4338]; Australian Research Council's Special Research Initiative Antarctic Gateway Partnership [SR140300001]; Australian Government Research Training Program Scholarship; iCRAG under SFI; ANZIC-IODP; ARC [DE140100376, DP180102280]; European Regional Development Fund; Australian Research Council [DE140100376] Funding Source: Australian Research Council</t>
  </si>
  <si>
    <t>Australian Marine National Facility (MNF); Australian Antarctic Science Program (AASP); Australian Research Council's Special Research Initiative Antarctic Gateway Partnership(Australian Research Council); Australian Government Research Training Program Scholarship(Australian GovernmentDepartment of Industry, Innovation and Science); iCRAG under SFI(Science Foundation Ireland); ANZIC-IODP; ARC(Australian Research Council); European Regional Development Fund(European Union (EU)); Australian Research Council(Australian Research Council)</t>
  </si>
  <si>
    <t>We thank the Australian Marine National Facility (MNF) for its support in the form of sea time on RV Investigator, support personnel, scientific equipment, and data management. We also thank the captain, crew, and fellow scientists of RV Investigator voyage IN2016_V01. We also thank specifically the following: T. Martin, F. Cooke, S. L. Sow, N. Bax, J. Ford, and F. Althaus, CSIRO (Commonwealth Scientific and Industrial Research Organisation); Echoview Software Pty. Ltd. (Hobart, Australia); C. Dietz and C. Cook, Central Science Laboratory, University of Tasmania; C. Wilkinson and T. Baumberger, National Oceanic and Atmospheric Administration; R. Carey, University of Tasmania; T. Holmes, Institute for Marine and Antarctic Studies, University of Tasmania; N. Polmear; and A. Post, Geoscience Australia. The overall science of the project is supported by Australian Antarctic Science Program (AASP) grant 4338. E.S.' PhD research is supported by the Australian Research Council's Special Research Initiative Antarctic Gateway Partnership (Project ID SR140300001) and by an Australian Government Research Training Program Scholarship. S.C.J. is supported by iCRAG under SFI, European Regional Development Fund, and industry partners, as well as ANZIC-IODP. J.M.W. is supported by ARC grant DE140100376 and DP180102280. This is PMEL publication number 4910. All IN2016_V01 data and samples acquired on IN2016_V01 are made publicly available in accordance with MNF policy.</t>
  </si>
  <si>
    <t>2333-5084</t>
  </si>
  <si>
    <t>EARTH SPACE SCI</t>
  </si>
  <si>
    <t>Earth Space Sci.</t>
  </si>
  <si>
    <t>UNSP e2019EA000695</t>
  </si>
  <si>
    <t>10.1029/2019EA000695</t>
  </si>
  <si>
    <t>Astronomy &amp; Astrophysics; Geosciences, Multidisciplinary</t>
  </si>
  <si>
    <t>Astronomy &amp; Astrophysics; Geology</t>
  </si>
  <si>
    <t>LH9XG</t>
  </si>
  <si>
    <t>WOS:000529137300001</t>
  </si>
  <si>
    <t>Sutterley, TC; Velicogna, I; Hsu, CW</t>
  </si>
  <si>
    <t>Sutterley, Tyler C.; Velicogna, Isabella; Hsu, Chia-Wei</t>
  </si>
  <si>
    <t>Self-Consistent Ice Mass Balance and Regional Sea Level From Time-Variable Gravity</t>
  </si>
  <si>
    <t>GLACIAL ISOSTATIC-ADJUSTMENT; RECONCILED ESTIMATE; GRACE MEASUREMENTS; ANTARCTICA; SHEET; GREENLAND; MODEL; EARTH; VARIABILITY; ACCELERATION</t>
  </si>
  <si>
    <t>Measurements of time-variable gravity from the Gravity Recovery and Climate Experiment (GRACE) and the GRACE Follow-on (GRACE-FO) missions are an invaluable tool for monitoring changes in the mass of the Earth's glaciated regions. We improve upon estimates of glacier and ice sheet mass balance from time-variable gravity by including instantaneous spatiotemporal variations in sea level. Here, a least squares mascon technique is combined with solutions to the sea level equation to iteratively correct the GRACE/GRACE-FO data for the induced sea level response on a monthly basis. We find that variations in regional sea level affect ice sheet mass balance estimates in Greenland by approximately 4% and in Antarctic by approximately 5%. Since 2002, the Greenland ice sheet has been losing mass at an average rate of 263 +/- 23 Gt/yr, and the Antarctic ice sheet has been losing mass at average rates between 90 +/- 52 and 122 +/- 53 Gt/yr depending on the rate of glacial isostatic adjustment. The mass losses from both ice sheets represent an increase of 15.6 +/- 2.0 mm to global mean sea levels since 2002.</t>
  </si>
  <si>
    <t>[Sutterley, Tyler C.] NASA, Goddard Space Flight Ctr, Greenbelt, MD 20771 USA; [Sutterley, Tyler C.; Velicogna, Isabella; Hsu, Chia-Wei] Univ Calif Irvine, Dept Earth Syst Sci, Irvine, CA 92697 USA; [Sutterley, Tyler C.] Univ Washington, Appl Phys Lab, Polar Sci Ctr, Seattle, WA 98105 USA; [Velicogna, Isabella] CALTECH, Jet Prop Lab, Pasadena, CA USA; [Hsu, Chia-Wei] Univ Arizona, Dept Geosci, Tucson, AZ USA</t>
  </si>
  <si>
    <t>National Aeronautics &amp; Space Administration (NASA); NASA Goddard Space Flight Center; University of California System; University of California Irvine; University of Washington; University of Washington Seattle; National Aeronautics &amp; Space Administration (NASA); NASA Jet Propulsion Laboratory (JPL); California Institute of Technology; University of Arizona</t>
  </si>
  <si>
    <t>Sutterley, TC (corresponding author), NASA, Goddard Space Flight Ctr, Greenbelt, MD 20771 USA.;Sutterley, TC (corresponding author), Univ Calif Irvine, Dept Earth Syst Sci, Irvine, CA 92697 USA.;Sutterley, TC (corresponding author), Univ Washington, Appl Phys Lab, Polar Sci Ctr, Seattle, WA 98105 USA.</t>
  </si>
  <si>
    <t>tsutterl@uw.edu</t>
  </si>
  <si>
    <t>Velicogna, Isabella/R-5561-2018; Sutterley, Tyler/Q-8325-2016</t>
  </si>
  <si>
    <t>Sutterley, Tyler/0000-0002-6964-1194; Hsu, Chia-Wei/0000-0002-4838-0140</t>
  </si>
  <si>
    <t>NASA Postdoctoral Program at NASA Goddard Space Flight Center</t>
  </si>
  <si>
    <t>Research was supported by an appointment to the NASA Postdoctoral Program at NASA Goddard Space Flight Center, administered by Universities Space Research Association under contract with NASA. This work was performed at NASA Goddard Space Flight Center, the Jet Propulsion Laboratory, and University of California, Irvine. The authors thank the Editor Benoit Pirenne, reviewer Jennifer Bonin, and the other anonymous reviewer for their advice on improving this manuscript. The authors wish to thank Byron Tapley, Frank Flechtner, Michael Watkins, Srinivas Bettadpur, and the GRACE/GRACE-FO Science Data System (SDS) teams for their work to produce the GRACE and GRACE-FO gravity solutions. The authors also wish to thank the German Space Operations Center (GSOC) of the German Aerospace Center (DLR) for providing the raw GRACE and GRACE-FO telemetry data to the processing centers. Data from this project are available on Figshare under a CC BY 4.0 license (https://doi.org/10.6084/m9.figshare.9702338). Software from this project is provided for reading the Level-2 GRACE/GRACE-FO spherical harmonic data (https://doi.org/10.6084/m9.figshare.7381403).</t>
  </si>
  <si>
    <t>UNSP e2019EA000860</t>
  </si>
  <si>
    <t>10.1029/2019EA000860</t>
  </si>
  <si>
    <t>WOS:000529137300029</t>
  </si>
  <si>
    <t>De Noia, M; Telesca, L; Vendrami, DLJ; Gokalp, HK; Charrier, G; Harper, EM; Hoffman, JI</t>
  </si>
  <si>
    <t>De Noia, Michele; Telesca, Luca; Vendrami, David L. J.; Gokalp, Hatice K.; Charrier, Gregory; Harper, Elizabeth M.; Hoffman, Joseph I.</t>
  </si>
  <si>
    <t>Population Genetic Structure Is Unrelated to Shell Shape, Thickness and Organic Content in European Populations of the Soft-Shell Clam Mya Arenaria</t>
  </si>
  <si>
    <t>GENES</t>
  </si>
  <si>
    <t>Mya arenaria; soft-shell clam; microsatellite; population genetic structure; phenotypic plasticity; shell morphometrics</t>
  </si>
  <si>
    <t>R-PACKAGE; MYTILUS-GALLOPROVINCIALIS; BLUE MUSSELS; L. BIVALVIA; GROWTH; OCEAN; HETEROZYGOSITY; TEMPERATURE; VARIABILITY; GENOTYPE</t>
  </si>
  <si>
    <t>The soft-shell clam Mya arenaria is one of the most ancient invaders of European coasts and is present in many coastal ecosystems, yet little is known about its genetic structure in Europe. We collected 266 samples spanning a latitudinal cline from the Mediterranean to the North Sea and genotyped them at 12 microsatellite loci. In parallel, geometric morphometric analysis of shell outlines was used to test for associations between shell shape, latitude and genotype, and for a selection of shells we measured the thickness and organic content of the granular prismatic (PR), the crossed-lamellar (CL) and the complex crossed-lamellar (CCL) layers. Strong population structure was detected, with Bayesian cluster analysis identifying four groups located in the Mediterranean, Celtic Sea, along the continental coast of the North Sea and in Scotland. Multivariate analysis of shell shape uncovered a significant effect of collection site but no associations with any other variables. Shell thickness did not vary significantly with either latitude or genotype, although PR thickness and calcification were positively associated with latitude, while CCL thickness showed a negative association. Our study provides new insights into the population structure of this species and sheds light on factors influencing shell shape, thickness and microstructure.</t>
  </si>
  <si>
    <t>[De Noia, Michele; Vendrami, David L. J.; Gokalp, Hatice K.; Hoffman, Joseph I.] Univ Bielefeld, Dept Anim Behav, Postfach 100131, D-33615 Bielefeld, Germany; [De Noia, Michele; Telesca, Luca; Harper, Elizabeth M.] Univ Cambridge, Dept Earth Sci, Downing St, Cambridge CB2 3EQ, England; [De Noia, Michele; Telesca, Luca; Harper, Elizabeth M.; Hoffman, Joseph I.] British Antarctic Survey, Madingley Rd, Cambridge CB3 OET, England; [De Noia, Michele] Univ Glasgow, Inst Biodivers Anim Hlth &amp; Comparat Med, Coll Med Vet &amp; Life Sci, Glasgow G12 8QQ, Lanark, Scotland; [Charrier, Gregory] Univ Brest, CNRS, IRD, IFREMER,LEMAR, F-29280 Plouzane, France</t>
  </si>
  <si>
    <t>University of Bielefeld; University of Cambridge; UK Research &amp; Innovation (UKRI); Natural Environment Research Council (NERC); NERC British Antarctic Survey; University of Glasgow; Universite de Bretagne Occidentale; Centre National de la Recherche Scientifique (CNRS); Ifremer; Institut de Recherche pour le Developpement (IRD)</t>
  </si>
  <si>
    <t>Hoffman, JI (corresponding author), Univ Bielefeld, Dept Anim Behav, Postfach 100131, D-33615 Bielefeld, Germany.;Hoffman, JI (corresponding author), British Antarctic Survey, Madingley Rd, Cambridge CB3 OET, England.</t>
  </si>
  <si>
    <t>Michele.DeNoia@glasgow.ac.uk; lt401@cam.ac.uk; david.vendrami@student.unife.it; haticekubra.gokalp@stu.uskudar.edu.tr; gregory.charrier@univ-brest.fr; emh21@cam.ac.uk; joseph.hoffman@uni-bielefeld.de</t>
  </si>
  <si>
    <t>Vendrami, David/AAH-1912-2021; Harper, Elizabeth M/B-3890-2008; Hoffman, Joseph/K-7725-2012</t>
  </si>
  <si>
    <t>Vendrami, David/0000-0001-9409-4084; Demir, Hatice Kubra/0000-0002-8022-763X; Hoffman, Joseph/0000-0001-5895-8949; Telesca, Luca/0000-0002-9060-2261</t>
  </si>
  <si>
    <t>European Union Marie Curie Seventh Framework Programme [605051]; NERC [bas0100036] Funding Source: UKRI</t>
  </si>
  <si>
    <t>European Union Marie Curie Seventh Framework Programme(European Union (EU)); NERC(UK Research &amp; Innovation (UKRI)Natural Environment Research Council (NERC))</t>
  </si>
  <si>
    <t>This research was funded by the European Union Marie Curie Seventh Framework Programme under grant agreement no. 605051.</t>
  </si>
  <si>
    <t>MDPI</t>
  </si>
  <si>
    <t>BASEL</t>
  </si>
  <si>
    <t>ST ALBAN-ANLAGE 66, CH-4052 BASEL, SWITZERLAND</t>
  </si>
  <si>
    <t>2073-4425</t>
  </si>
  <si>
    <t>GENES-BASEL</t>
  </si>
  <si>
    <t>Genes</t>
  </si>
  <si>
    <t>10.3390/genes11030298</t>
  </si>
  <si>
    <t>Genetics &amp; Heredity</t>
  </si>
  <si>
    <t>LI0PT</t>
  </si>
  <si>
    <t>WOS:000529189000062</t>
  </si>
  <si>
    <t>Pil'gaev, SV; Fedorenko, YV; Kleimenova, NG; Manninen, J; Nikitenko, AS; Larchenko, AV; Filatov, MV; Lebed', OM; Frolov, IE; Kozelov, BV</t>
  </si>
  <si>
    <t>Pil'gaev, S. V.; Fedorenko, Yu. V.; Kleimenova, N. G.; Manninen, J.; Nikitenko, A. S.; Larchenko, A. V.; Filatov, M. V.; Lebed', O. M.; Frolov, I. E.; Kozelov, B. V.</t>
  </si>
  <si>
    <t>First Results from VLF Observations during the Transarctica 2019 Polar Expedition</t>
  </si>
  <si>
    <t>GEOMAGNETISM AND AERONOMY</t>
  </si>
  <si>
    <t>AURORAL-HISS; EMISSIONS; FREQUENCY; STATION; WAVES</t>
  </si>
  <si>
    <t>The first results are presented for observations of the VLF emissions (1-15 kHz) conducted at polar latitudes during the expedition Transarctica 2019, which was organized by the Arctic and Antarctic Research Institute. The observations were conducted onboard the Akademik Treshnikov vessel with highly sensitive equipment developed at the Polar Geophysical Institute. Bursts of the VLF emission of the auroral hiss type were registered on 13 of the 26 observational days. These bursts were simultaneously observed at Barentsburg Observatory, which is similar to 600 km to the west and similar to 160 km to the south. However, these bursts were not registered at lower auroral latitudes at the same meridian at Lovozero Observatory or at a Finnish station, Kannuslehto. One of the most typical cases, the auroral VLF hiss of April 11, 2019, is considered in detail. It is concluded that the region of the exit of the studied auroral hiss from the ionosphere to the Earth's surface was local and limited in latitude.</t>
  </si>
  <si>
    <t>[Pil'gaev, S. V.; Fedorenko, Yu. V.; Nikitenko, A. S.; Larchenko, A. V.; Filatov, M. V.; Lebed', O. M.; Kozelov, B. V.] Polar Geophys Inst, Apatity, Murmansk Region, Russia; [Kleimenova, N. G.] Inst Phys Earth, Moscow, Russia; [Manninen, J.] Sodankyla Geophys Observ, Sodankyla, Finland; [Frolov, I. E.] Arctic &amp; Antarctic Res Inst, St Petersburg, Russia</t>
  </si>
  <si>
    <t>Russian Academy of Sciences; Polar Geophysical Institute; Russian Academy of Sciences; Schmidt Institute of Physics of the Earth of the Russian Academy of Sciences; Arctic &amp; Antarctic Research Institute</t>
  </si>
  <si>
    <t>Lebed', OM (corresponding author), Polar Geophys Inst, Apatity, Murmansk Region, Russia.</t>
  </si>
  <si>
    <t>olga.m.lebed@gmail.com</t>
  </si>
  <si>
    <t>Lebed, Olga/A-5943-2017; Fedorenko, Yury V/A-8571-2017; Kozelov, Boris/N-2731-2013; Manninen, Jyrki/I-4004-2019; Larchenko, Alexey/A-5916-2017; Pilgaev, Sergey/A-5784-2017; Nikitenko, Aleksandr/A-7850-2017</t>
  </si>
  <si>
    <t>Lebed, Olga/0000-0002-5155-6055; Fedorenko, Yury V/0000-0002-9957-0921; Kozelov, Boris/0000-0003-2738-2443; Manninen, Jyrki/0000-0003-2866-4231; Pilgaev, Sergey/0000-0001-5774-2468; Nikitenko, Aleksandr/0000-0002-0715-3873</t>
  </si>
  <si>
    <t>MAIK NAUKA/INTERPERIODICA/SPRINGER</t>
  </si>
  <si>
    <t>233 SPRING ST, NEW YORK, NY 10013-1578 USA</t>
  </si>
  <si>
    <t>0016-7932</t>
  </si>
  <si>
    <t>1555-645X</t>
  </si>
  <si>
    <t>GEOMAGN AERONOMY+</t>
  </si>
  <si>
    <t>Geomagn. Aeron.</t>
  </si>
  <si>
    <t>10.1134/S0016793220020127</t>
  </si>
  <si>
    <t>LI7WJ</t>
  </si>
  <si>
    <t>WOS:000529690800008</t>
  </si>
  <si>
    <t>Porte, J; Maso, JM; Pijoan, JL; Badia, D</t>
  </si>
  <si>
    <t>Porte, Joaquim; Maso, Josep M.; Lluis Pijoan, Joan; Badia, David</t>
  </si>
  <si>
    <t>Sensing System for Remote Areas in Antarctica</t>
  </si>
  <si>
    <t>RADIO SCIENCE</t>
  </si>
  <si>
    <t>Every year, the number of Internet of Things devices is growing exponentially. The current Internet of Things technology to support the connectivity of such a huge number of devices is limited by the coverage of the base stations deployed. In case of remote areas without coverage of any operator, the use of a satellite connection is such a high-cost option. The only alternative option for very remote sensor is high frequency (HF) communications with ionospheric reflection. The HF band (3-30 MHz) with Near Vertical Incidence Skywave allows a large coverage area (up to 250 km) without the need of line of sight. The HF radio links usually need higher power transmissions with larger antennas supported by a mast. In this paper, we explore a new transmission scheme for low-power transmissions, which is equivalent to use small and low gain HF antennas. We study the performance of several digital modulations using different bandwidths and transmission power. The field tests have been done around the Spanish Antarctic Base at Livingston Island to ensure the availability of the system even in polar areas where the behavior of the ionosphere is quite different from lower latitudes. However, the proposed physical layer fits well with any other remote location that requires low power data communication.</t>
  </si>
  <si>
    <t>[Porte, Joaquim; Maso, Josep M.; Lluis Pijoan, Joan; Badia, David] Res Grp Internet Technol &amp; Storage GRITS, Barcelona, Spain</t>
  </si>
  <si>
    <t>Pijoan, JL (corresponding author), Res Grp Internet Technol &amp; Storage GRITS, Barcelona, Spain.</t>
  </si>
  <si>
    <t>joanlluis.pijoan@salle.url.edu</t>
  </si>
  <si>
    <t>Badia, David/ABF-4258-2021; Porte Jimenez, Joaquim/AAB-6760-2022; Pijoan, Joan Lluis/S-3319-2018</t>
  </si>
  <si>
    <t>Badia, David/0000-0002-4792-8688; Porte Jimenez, Joaquim/0000-0002-0510-2730; Maso Llinas, Josep M./0000-0002-2916-2009; Pijoan, Joan Lluis/0000-0002-1796-8216</t>
  </si>
  <si>
    <t>Ministry of Economy and Competitiveness; European Regional Development Fund [CTM201568902-R, RTI2018-097066-B]</t>
  </si>
  <si>
    <t>Ministry of Economy and Competitiveness; European Regional Development Fund(European Union (EU))</t>
  </si>
  <si>
    <t>This work was funded by the Ministry of Economy and Competitiveness and the European Regional Development Fund under the contract CTM201568902-R (MINECO/FEDE) and RTI2018-097066-B (MINECO/FEDER). The data used to develop our study and generate all the figures can be obtained online in https://doi.org/10.5281/zenodo.3523219 and in http://doi.org/10.5281/zenodo.3523281.</t>
  </si>
  <si>
    <t>0048-6604</t>
  </si>
  <si>
    <t>1944-799X</t>
  </si>
  <si>
    <t>RADIO SCI</t>
  </si>
  <si>
    <t>Radio Sci.</t>
  </si>
  <si>
    <t>e2019RS006920</t>
  </si>
  <si>
    <t>10.1029/2019RS006920</t>
  </si>
  <si>
    <t>Astronomy &amp; Astrophysics; Geochemistry &amp; Geophysics; Meteorology &amp; Atmospheric Sciences; Remote Sensing; Telecommunications</t>
  </si>
  <si>
    <t>LI1GX</t>
  </si>
  <si>
    <t>WOS:000529234400002</t>
  </si>
  <si>
    <t>Rodger, CJ; Clilverd, MA; Mac Manus, DH; Martin, I; Dalzell, M; Brundell, JB; Divett, T; Thomson, NR; Petersen, T; Obana, Y; Watson, NR</t>
  </si>
  <si>
    <t>Rodger, Craig J.; Clilverd, Mark A.; Mac Manus, Daniel H.; Martin, Ian; Dalzell, Michael; Brundell, James B.; Divett, Tim; Thomson, Neil R.; Petersen, Tanja; Obana, Yuki; Watson, Neville R.</t>
  </si>
  <si>
    <t>Geomagnetically Induced Currents and Harmonic Distortion: Storm-Time Observations From New Zealand</t>
  </si>
  <si>
    <t>SPACE WEATHER-THE INTERNATIONAL JOURNAL OF RESEARCH AND APPLICATIONS</t>
  </si>
  <si>
    <t>geomagnetically induced currents; space weather; New Zealand; transformer saturation</t>
  </si>
  <si>
    <t>EXTREME SPACE WEATHER; HYDRO-QUEBEC</t>
  </si>
  <si>
    <t>Large geomagnetic storms are a known space weather hazard to power transmission networks due to the effects of geomagnetically induced currents (GICs). However, research in this area has been hampered by a lack of GIC observations. Previous studies have noted that New Zealand is unusually fortunate in having a comparatively dense, high quality, set of GIC measurements, spanning &gt;60 transformers in &gt;20 substations. However, due to operational reasons these observations are clustered in the mid and lower South Island. In this paper we analyze space weather-induced GIC impact patterns over the entire country by using a different set of sensors that monitor levels of harmonic distortion, with even and odd harmonics measured separately. GICs lead to half cycle transformer saturation and is one of the few ways in which even harmonics are produced in a well-run power transmission network. We make use of harmonic distortion measurements at 377 circuit breakers made at 126 separate locations. Focusing on the intense geomagnetic storm activity during 6-9 September 2017, we show how the even harmonic distortion observations provide a useful new picture of GIC-stressed transformers. These observations demonstrate how GIC effects can be monitored by using even harmonic distortion in locations where no GIC measurements are present (e.g., the most of the North Island). We understand that harmonic distortion measurements are fairly common in electrical networks and could provide a new tool for space weather researchers.</t>
  </si>
  <si>
    <t>[Rodger, Craig J.; Mac Manus, Daniel H.; Brundell, James B.; Divett, Tim; Thomson, Neil R.] Univ Otago, Dept Phys, Dunedin, New Zealand; [Clilverd, Mark A.] British Antarctic Survey NERC, Cambridge, England; [Martin, Ian; Dalzell, Michael] Transpower New Zealand Ltd, Wellington, New Zealand; [Petersen, Tanja] GNS Sci, Lower Hutt, New Zealand; [Obana, Yuki] Osaka Electrocommun Univ, Neyagawa, Osaka, Japan; [Watson, Neville R.] Univ Canterbury, Coll Engn, Christchurch, New Zealand</t>
  </si>
  <si>
    <t>University of Otago; UK Research &amp; Innovation (UKRI); Natural Environment Research Council (NERC); NERC British Antarctic Survey; GNS Science - New Zealand; Osaka Electro-Communication University; University of Canterbury</t>
  </si>
  <si>
    <t>Rodger, CJ (corresponding author), Univ Otago, Dept Phys, Dunedin, New Zealand.</t>
  </si>
  <si>
    <t>crodger@physics.otago.ac.nz; michael.dalzell@transpower.co.nz</t>
  </si>
  <si>
    <t>Rodger, Craig/A-1501-2011; Brundell, James/F-3196-2013</t>
  </si>
  <si>
    <t>Petersen, Tanja/0000-0001-8409-9500; Mac Manus, Daniel/0000-0003-1175-2251; Brundell, James/0000-0002-8753-4720; Obana, Yuki/0000-0002-7291-3648; Rodger, Craig J./0000-0002-6770-2707; Divett, Tim/0000-0003-0778-4250</t>
  </si>
  <si>
    <t>New Zealand Ministry of Business, Innovation and Employment Hazards and Infrastructure Research Fund [UOOX1502]; Transpower New Zealand; Natural Environment Research Council (NERC) [NE/P017231/1]; New Zealand Ministry of Business, Innovation &amp; Employment (MBIE) [UOOX1502] Funding Source: New Zealand Ministry of Business, Innovation &amp; Employment (MBIE); NERC [bas0100031, NE/P017231/1] Funding Source: UKRI</t>
  </si>
  <si>
    <t>New Zealand Ministry of Business, Innovation and Employment Hazards and Infrastructure Research Fund; Transpower New Zealand; Natural Environment Research Council (NERC)(UK Research &amp; Innovation (UKRI)Natural Environment Research Council (NERC)); New Zealand Ministry of Business, Innovation &amp; Employment (MBIE)(New Zealand Ministry of Business, Innovation and Employment (MBIE)); NERC(UK Research &amp; Innovation (UKRI)Natural Environment Research Council (NERC))</t>
  </si>
  <si>
    <t>This research was supported by the New Zealand Ministry of Business, Innovation and Employment Hazards and Infrastructure Research Fund Contract UOOX1502. The authors would like to thank Transpower New Zealand for supporting this study. Eyrewell magnetometer data availability is described online (http://www.intermagnet.org/imos/imos-list/imos-details-eng.php?iaga_code=EYR).Middlemarch and Te Wharau magnetometer data are available at the CRUX magnetometer array website (http://www1.osakac.ac.jp/crux/).The New Zealand LEM DC and harmonic distortion data were provided to us by Transpower New Zealand with caveats and restrictions. This includes requirements of permission before all publications and presentations. In addition, we are unable to directly provide the New Zealand LEM DC data or the derived GIC observations. Requests for access to the measurements need to be made to Transpower New Zealand. At this time the contact point is Michael Dalzell(michael.dalzell@transpower.co.nz). We are very grateful for the substantial data access they have provided, noting this can be a challenge in the space weather field (Hapgood &amp; Knipp, 20162016). MAC would like to acknowledge support for this work from the Natural Environment Research Council (NERC NE/P017231/1): Space Weather Impacts on Ground-based Systems (SWIGS).</t>
  </si>
  <si>
    <t>1542-7390</t>
  </si>
  <si>
    <t>SPACE WEATHER</t>
  </si>
  <si>
    <t>Space Weather</t>
  </si>
  <si>
    <t>e2019SW002387</t>
  </si>
  <si>
    <t>10.1029/2019SW002387</t>
  </si>
  <si>
    <t>Astronomy &amp; Astrophysics; Geochemistry &amp; Geophysics; Meteorology &amp; Atmospheric Sciences</t>
  </si>
  <si>
    <t>LH9YN</t>
  </si>
  <si>
    <t>WOS:000529140700012</t>
  </si>
  <si>
    <t>Sergeev, VA; Shukhtina, MA; Stepanov, NA; Rogov, DD; Nikolaev, AV; Spanswick, E; Donovan, E; Raita, T; Kero, A</t>
  </si>
  <si>
    <t>Sergeev, V. A.; Shukhtina, M. A.; Stepanov, N. A.; Rogov, D. D.; Nikolaev, A., V; Spanswick, E.; Donovan, E.; Raita, T.; Kero, A.</t>
  </si>
  <si>
    <t>Toward the Reconstruction of Substorm-Related Dynamical Pattern of the Radiowave Auroral Absorption</t>
  </si>
  <si>
    <t>energetic electron precipitation; substorms; empirical dynamical model; auroral radiowave absorption</t>
  </si>
  <si>
    <t>MIDLATITUDE POSITIVE BAY; ELECTRON-PRECIPITATION; ENERGETIC ELECTRONS; SOLAR-WIND; DEPENDENCE; RIOMETER; ACCELERATION; IONOSPHERE; INJECTIONS; INDEX</t>
  </si>
  <si>
    <t>In addition to existing empirical models describing the average distributions of energetic electron precipitation into the auroral ionosphere at different activity levels, we develop and test a semiempirical approach to construct dynamical models describing the recurrent features of spatiotemporal development of auroral absorption in the ionosphere during individual substorms. Its key ingredients are (a) usage of linear prediction filter technique to extract from riometer data the response function to the injection of unit magnitude and (b) characterization of injection parameters by midlatitude magnetic variations caused by the substorm current wedge. Using global riometer network we test the method performance for stations in the middle of auroral zone (at corrected geomagnetic latitudes of 65-67 degrees) where generally the absorption amplitude is largest. In this paper we use the midlatitude positive bay index, recently developed by X. Chu and R. McPherron, to drive the model. We evaluate the model performance, discuss the dynamical properties of energetic electron precipitation as revealed by the linear prediction filter response function analyses, and finally, we discuss possible future improvements of this method intended for both science and applications.</t>
  </si>
  <si>
    <t>[Sergeev, V. A.; Shukhtina, M. A.; Stepanov, N. A.] St Petersburg State Univ, Dept Earth Phys, St Petersburg, Russia; [Stepanov, N. A.; Rogov, D. D.; Nikolaev, A., V] Arctic &amp; Antarctic Res Inst, Dept Geophys, St Petersburg, Russia; [Spanswick, E.; Donovan, E.] Univ Calgary, Dept Phys &amp; Astron, Calgary, AB, Canada; [Raita, T.; Kero, A.] Univ Oulu, Sodankyla Geophys Observ, Sodankyla, Finland</t>
  </si>
  <si>
    <t>Saint Petersburg State University; Arctic &amp; Antarctic Research Institute; University of Calgary; University of Oulu</t>
  </si>
  <si>
    <t>Sergeev, VA (corresponding author), St Petersburg State Univ, Dept Earth Phys, St Petersburg, Russia.</t>
  </si>
  <si>
    <t>victor@geo.phys.sphu.ru</t>
  </si>
  <si>
    <t>Rogov, Denis/AAH-2763-2020; Никита, Степанов/AAB-8570-2022; Spanswick, Emma/JDC-7880-2023; Sergeev, Victor A/H-1173-2013; Shukhtina, Maria A/K-3783-2013; Nikolaev, Alexander/M-8355-2016</t>
  </si>
  <si>
    <t>Никита, Степанов/0000-0003-0014-5886; Sergeev, Victor A/0000-0002-4569-9631; Shukhtina, Maria A/0000-0001-7892-8392; Donovan, Eric/0000-0002-8557-4155; Nikolaev, Alexander/0000-0001-5558-9615; Spanswick, Emma/0000-0001-8003-5091; Rogov, Denis/0000-0003-0008-2774</t>
  </si>
  <si>
    <t>Canadian Space Agency; Russian Fund for Basic Research grant [19-05-00072]</t>
  </si>
  <si>
    <t>Canadian Space Agency(Canadian Space Agency); Russian Fund for Basic Research grant</t>
  </si>
  <si>
    <t>Canadian riometer data are available from University of Calgary Space Physics Data portal (https://data-portal.phys.ucalgary.ca/go_rio/).Ivalo and Abisko riometer data are available on request from Sodankyla Geophysical Observatory (http://www.sgo.fi/Data/).We gratefully acknowledge the SuperMAG team and collaborators for SML indices and substorm lists used in this study, which are available at http://supermag.jhuapl.edu/.UofC Space Physics Data Portal activity is undertaken with the financial support of the Canadian Space Agency. This research was supported by Russian Fund for Basic Research grant 19-05-00072.</t>
  </si>
  <si>
    <t>e2019SW002385</t>
  </si>
  <si>
    <t>10.1029/2019SW002385</t>
  </si>
  <si>
    <t>WOS:000529140700011</t>
  </si>
  <si>
    <t>Delworth, TL; Cooke, WF; Adcroft, A; Bushuk, M; Chen, JH; Dunne, KA; Ginoux, P; Gudgel, R; Hallberg, RW; Harris, L; Harrison, MJ; Johnson, N; Kapnick, SB; Lin, SJ; Lu, FY; Malyshev, S; Milly, PC; Murakami, H; Naik, V; Pascale, S; Paynter, D; Rosati, A; Schwarzkopf, MD; Shevliakova, E; Underwood, S; Wittenberg, AT; Xiang, B; Yang, XS; Zeng, FR; Zhang, HH; Zhang, LP; Zhao, M</t>
  </si>
  <si>
    <t>Delworth, Thomas L.; Cooke, William F.; Adcroft, Alistair; Bushuk, Mitchell; Chen, Jan-Huey; Dunne, Krista A.; Ginoux, Paul; Gudgel, Richard; Hallberg, Robert W.; Harris, Lucas; Harrison, Matthew J.; Johnson, Nathaniel; Kapnick, Sarah B.; Lin, Shian-Jian; Lu, Feiyu; Malyshev, Sergey; Milly, Paul C.; Murakami, Hiroyuki; Naik, Vaishali; Pascale, Salvatore; Paynter, David; Rosati, Anthony; Schwarzkopf, M. D.; Shevliakova, Elena; Underwood, Seth; Wittenberg, Andrew T.; Xiang, Baoqiang; Yang, Xiaosong; Zeng, Fanrong; Zhang, Honghai; Zhang, Liping; Zhao, Ming</t>
  </si>
  <si>
    <t>SPEAR: The Next Generation GFDL Modeling System for Seasonal to Multidecadal Prediction and Projection</t>
  </si>
  <si>
    <t>JOURNAL OF ADVANCES IN MODELING EARTH SYSTEMS</t>
  </si>
  <si>
    <t>global climate models</t>
  </si>
  <si>
    <t>PACIFIC DECADAL OSCILLATION; SOUTHERN-OCEAN; GLOBAL ATMOSPHERE; NORTH-ATLANTIC; PART I; DATA ASSIMILATION; CLIMATE; VARIABILITY; CIRCULATION; ENERGY</t>
  </si>
  <si>
    <t>We document the development and simulation characteristics of the next generation modeling system for seasonal to decadal prediction and projection at the Geophysical Fluid Dynamics Laboratory (GFDL). SPEAR (Seamless System for Prediction and EArth System Research) is built from component models recently developed at GFDL-the AM4 atmosphere model, MOM6 ocean code, LM4 land model, and SIS2 sea ice model. The SPEAR models are specifically designed with attributes needed for a prediction model for seasonal to decadal time scales, including the ability to run large ensembles of simulations with available computational resources. For computational speed SPEAR uses a coarse ocean resolution of approximately 1.0 degrees (with tropical refinement). SPEAR can use differing atmospheric horizontal resolutions ranging from 1 degrees to 0.25 degrees. The higher atmospheric resolution facilitates improved simulation of regional climate and extremes. SPEAR is built from the same components as the GFDL CM4 and ESM4 models but with design choices geared toward seasonal to multidecadal physical climate prediction and projection. We document simulation characteristics for the time mean climate, aspects of internal variability, and the response to both idealized and realistic radiative forcing change. We describe in greater detail one focus of the model development process that was motivated by the importance of the Southern Ocean to the global climate system. We present sensitivity tests that document the influence of the Antarctic surface heat budget on Southern Ocean ventilation and deep global ocean circulation. These findings were also useful in the development processes for the GFDL CM4 and ESM4 models. Plain Language Summary In this paper we describe the development and simulation characteristics of a new climate model that will be used for seasonal to multidecadal climate prediction and projection. The model combines a set of newly developed components that simulate the ocean, atmosphere, land, and sea ice. We document this model by assessing its performance in simulating the current climate and by showing the model's response to changing greenhouse gases and aerosols over the 20th and 21st centuries. We also show results from a set of sensitivity experiments that were an important part of the model development process. These sensitivity tests explore connections between the surface energy balance over Antarctica and the circulation of the deep ocean.</t>
  </si>
  <si>
    <t>[Delworth, Thomas L.; Cooke, William F.; Adcroft, Alistair; Bushuk, Mitchell; Chen, Jan-Huey; Ginoux, Paul; Gudgel, Richard; Hallberg, Robert W.; Harris, Lucas; Harrison, Matthew J.; Johnson, Nathaniel; Kapnick, Sarah B.; Lin, Shian-Jian; Lu, Feiyu; Malyshev, Sergey; Murakami, Hiroyuki; Naik, Vaishali; Pascale, Salvatore; Paynter, David; Rosati, Anthony; Schwarzkopf, M. D.; Shevliakova, Elena; Underwood, Seth; Wittenberg, Andrew T.; Xiang, Baoqiang; Yang, Xiaosong; Zeng, Fanrong; Zhang, Honghai; Zhang, Liping; Zhao, Ming] NOAA, Geophys Fluid Dynam Lab, Princeton, NJ 08540 USA; [Cooke, William F.; Bushuk, Mitchell; Chen, Jan-Huey; Murakami, Hiroyuki; Rosati, Anthony; Yang, Xiaosong; Zhang, Liping] Univ Corp Atmospher Res, Boulder, CO USA; [Adcroft, Alistair; Johnson, Nathaniel; Lu, Feiyu; Pascale, Salvatore; Xiang, Baoqiang; Zhang, Honghai] Princeton Univ, Dept Geosci, Princeton, NJ 08544 USA; [Dunne, Krista A.; Milly, Paul C.] US Geol Survey, Integrated Modeling &amp; Predict Div, Princeton, NJ USA; [Pascale, Salvatore] Stanford Univ, Dept Earth Syst Sci, Stanford, CA 94305 USA; [Zhang, Honghai] Columbia Univ, Lamont Doherty Earth Observ, Palisades, NY USA</t>
  </si>
  <si>
    <t>National Oceanic Atmospheric Admin (NOAA) - USA; National Center Atmospheric Research (NCAR) - USA; Princeton University; United States Department of the Interior; United States Geological Survey; Stanford University; Columbia University</t>
  </si>
  <si>
    <t>Delworth, TL (corresponding author), NOAA, Geophys Fluid Dynam Lab, Princeton, NJ 08540 USA.</t>
  </si>
  <si>
    <t>tom.delworth@noaa.gov</t>
  </si>
  <si>
    <t>Murakami, Hiroyuki/L-5745-2015; Adcroft, Alistair/E-5949-2010; Johnson, Nathaniel C/L-8045-2015; Yang, Xiaosong/C-7260-2009; Zhao, Ming/C-6928-2014; Wittenberg, Andrew T/G-9619-2013; Shevliakova, Elena/J-5770-2014; Milly, Paul/IQT-0171-2023; Zhang, Liping/L-6480-2015; Pascale, Salvatore/AAZ-1668-2020; Ginoux, Paul/C-2326-2008; Naik, Vaishali/Y-5661-2019; Kapnick, Sarah B/C-5209-2014; Delworth, Thomas/C-5191-2014; Bushuk, Mitch/L-7032-2015</t>
  </si>
  <si>
    <t>Adcroft, Alistair/0000-0001-9413-1017; Zhao, Ming/0000-0003-4996-7821; Wittenberg, Andrew T/0000-0003-1680-8963; Milly, Paul/0000-0003-4389-3139; Pascale, Salvatore/0000-0002-6762-3283; Naik, Vaishali/0000-0002-2254-1700; Kapnick, Sarah B/0000-0003-0979-3070; Dunne, Krista/0000-0002-1220-6140; Delworth, Thomas/0000-0003-4865-5391; Lu, Feiyu/0000-0001-6532-0740; Bushuk, Mitch/0000-0002-0063-1465; Gudgel, richard/0000-0002-4563-6710; Chen, Jan-Huey/0000-0002-1181-8110; Cooke, William/0000-0003-4550-3210</t>
  </si>
  <si>
    <t>National Oceanic and Atmospheric Administration</t>
  </si>
  <si>
    <t>National Oceanic and Atmospheric Administration(National Oceanic Atmospheric Admin (NOAA) - USA)</t>
  </si>
  <si>
    <t>We thank Drs. Leo Donner and John Dunne, as well as two anonymous reviewers, for providing valuable comments on preliminary versions of this manuscript. Financial support for this work was provided through base funding from the National Oceanic and Atmospheric Administration to the Geophysical Fluid Dynamics Laboratory. Model output relevant to this paper can be found online (ftp://data1.gfdl.noaa.gov/users/Tom. Delworth/SPEAR_Documentation_ paper/SPEAR).</t>
  </si>
  <si>
    <t>1942-2466</t>
  </si>
  <si>
    <t>J ADV MODEL EARTH SY</t>
  </si>
  <si>
    <t>J. Adv. Model. Earth Syst.</t>
  </si>
  <si>
    <t>e2019MS001895</t>
  </si>
  <si>
    <t>10.1029/2019MS001895</t>
  </si>
  <si>
    <t>LH9MD</t>
  </si>
  <si>
    <t>WOS:000529106300002</t>
  </si>
  <si>
    <t>Xu, Z; Hartinger, MD; Oliveira, DM; Coyle, S; Clauer, CR; Weimer, D; Edwards, TR</t>
  </si>
  <si>
    <t>Xu, Z.; Hartinger, M. D.; Oliveira, D. M.; Coyle, S.; Clauer, C. R.; Weimer, D.; Edwards, T. R.</t>
  </si>
  <si>
    <t>Interhemispheric Asymmetries in the Ground Magnetic Response to Interplanetary Shocks: The Role of Shock Impact Angle</t>
  </si>
  <si>
    <t>GEOMAGNETICALLY INDUCED CURRENTS; LOW-LATITUDE; CONVECTION; ELECTRON; SYSTEMS; FIELD; RISK; TIME</t>
  </si>
  <si>
    <t>Interplanetary (IP) shocks drive magnetosphere-ionosphere (MI) current systems that in turn are associated with ground magnetic perturbations. Recent work has shown that IP shock impact angle plays a significant role in controlling the subsequent geomagnetic activity and magnetic perturbations; for example, highly inclined shocks drive asymmetric MI responses due to interhemispherical asymmetric magnetospheric compressions, while almost head-on shocks drive more symmetric MI responses. However, there are few observations confirming that inclined shocks drive such asymmetries in the high-latitude ground magnetic response. We use data from a chain of Antarctic magnetometers, combined with magnetically conjugate stations on the west coast of Greenland, to test these model predictions (Oliveira &amp; Raeder, 2015, https://doi.org/10.1002/2015JA021147; Oliveira, 2017, https://doi.org/10.1007/s13538-016-0472-x). We calculate the time derivative of the magnetic field (partial derivative B/partial derivative t) in each hemisphere separately. Next, we examine the ratio of Northern to Southern Hemisphere partial derivative B/partial derivative t intensities and the time differences between the maximum. partial derivative B/partial derivative t immediately following the impact of IP shocks. We order these results according to shock impact angles obtained from a recently published database with over 500 events and discuss how shock impact angles affect north-south hemisphere asymmetries in the ground magnetic response. We find that the hemisphere the shock strikes first usually has (1) the first response in partial derivative B/partial derivative t and (2) the most intense response in partial derivative B/partial derivative t. Additionally, we show that highly inclined shocks can generate high-latitude ground magnetic responses that differ significantly from predictions based on models that assume symmetric driving conditions.</t>
  </si>
  <si>
    <t>[Xu, Z.; Hartinger, M. D.; Coyle, S.; Clauer, C. R.; Weimer, D.] Virginia Polytech Inst &amp; State Univ, Bradley Dept Elect &amp; Comp Engn, Blacksburg, VA 24061 USA; [Xu, Z.] NIA, Hampton, VA 23666 USA; [Hartinger, M. D.] Space Sci Inst, Boulder, CO USA; [Oliveira, D. M.] Univ Maryland Baltimore Cty, Goddard Planetary Heliophys Inst, Baltimore, MD 21228 USA; [Oliveira, D. M.] NASA, Goddard Space Flight Ctr, Geospace Phys Lab, Greenbelt, MD USA; [Edwards, T. R.] Tech Univ Denmark, DTU Space, Lyngby, Denmark</t>
  </si>
  <si>
    <t>Virginia Polytechnic Institute &amp; State University; National Institute for Aerospace; University System of Maryland; University of Maryland Baltimore County; National Aeronautics &amp; Space Administration (NASA); NASA Goddard Space Flight Center; Technical University of Denmark</t>
  </si>
  <si>
    <t>Xu, Z (corresponding author), Virginia Polytech Inst &amp; State Univ, Bradley Dept Elect &amp; Comp Engn, Blacksburg, VA 24061 USA.;Xu, Z (corresponding author), NIA, Hampton, VA 23666 USA.</t>
  </si>
  <si>
    <t>zxu77@vt.edu</t>
  </si>
  <si>
    <t>Oliveira, Denny M/B-9818-2015; Hartinger, Michael/H-9088-2012</t>
  </si>
  <si>
    <t>Oliveira, Denny M/0000-0003-2078-7229; Coyle, Shane/0000-0003-1730-2753; Hartinger, Michael/0000-0002-2643-2202; Xu, Zhonghua/0000-0002-3800-2162</t>
  </si>
  <si>
    <t>NASA [HISFM18-HIF]; [NSF1543364]; [1744828]</t>
  </si>
  <si>
    <t>NASA(National Aeronautics &amp; Space Administration (NASA)); ;</t>
  </si>
  <si>
    <t>Z. Xu and M.D. Hartinger were supported by NSF1543364 and 1744828. D.M. Oliveira acknowledges the NASA Grant HISFM18-HIF (Heliophysics Innovation Fund). All data used in the analysis are publicly available at the following repositories: AALPIP magnetometer at mist.nianet.org or NASA CDAWeb, DTU 10s Greenland magnetometer data the Tromso Geophysical Observatory at http://flux.phys.uit.no/geomag.html.The shock database is available in the supporting information of publications cited in the text.</t>
  </si>
  <si>
    <t>e2019SW002427</t>
  </si>
  <si>
    <t>10.1029/2019SW002427</t>
  </si>
  <si>
    <t>LH9YU</t>
  </si>
  <si>
    <t>WOS:000529141400001</t>
  </si>
  <si>
    <t>Bartlett, JC; Convey, P; Hayward, SAL</t>
  </si>
  <si>
    <t>Bartlett, Jesamine C.; Convey, Peter; Hayward, Scott A. L.</t>
  </si>
  <si>
    <t>Surviving the Antarctic Winter-Life Stage Cold Tolerance and Ice Entrapment Survival in The Invasive Chironomid Midge Eretmoptera murphyi</t>
  </si>
  <si>
    <t>INSECTS</t>
  </si>
  <si>
    <t>microclimate; insect physiology; overwintering; invasion biology; thermal thresholds</t>
  </si>
  <si>
    <t>BELGICA-ANTARCTICA; ALASKOZETES-ANTARCTICUS; CRYPTOPYGUS-ANTARCTICUS; FREEZE TOLERANCE; SIGNY ISLAND; TEMPERATURE; DIPTERA; INSECT; COLLEMBOLAN; HARDINESS</t>
  </si>
  <si>
    <t>An insect's ability to tolerate winter conditions is a critical determinant of its success. This is true for both native and invasive species, and especially so in harsh polar environments. The midge Eretmoptera murphyi (Diptera, Chironomidae) is invasive to maritime Antarctic Signy Island, and the ability of fourth instar larvae to tolerate freezing is hypothesized to allow the species to extend its range further south. However, no detailed assessment of stress tolerance in any other life stage has yet been conducted. Here, we report that, although larvae, pupae and adults all have supercooling points (SCPs) of around -5 degrees C, only the larvae are freeze-tolerant, and that cold-hardiness increases with larval maturity. Eggs are freeze-avoiding and have an SCP of around -17 degrees C. At -3.34 degrees C, the CTmin activity thresholds of adults are close to their SCP of -5 degrees C, and they are likely chill-susceptible. Larvae could not withstand the anoxic conditions of ice entrapment or submergence in water beyond 28 d. The data obtained here indicate that the cold-tolerance characteristics of this invasive midge would permit it to colonize areas further south, including much of the western coast of the Antarctic Peninsula.</t>
  </si>
  <si>
    <t>[Bartlett, Jesamine C.; Hayward, Scott A. L.] Univ Birmingham, Sch Biosci, Birmingham B15 2TT, W Midlands, England; [Bartlett, Jesamine C.] Norwegian Inst Nat Res, Hogskoleringen 9, N-7034 Trondheim, Norway; [Convey, Peter] NERC, British Antarctic Survey, Madingley Rd, Cambridge CB3 0ET, England</t>
  </si>
  <si>
    <t>University of Birmingham; Norwegian Institute Nature Research; UK Research &amp; Innovation (UKRI); Natural Environment Research Council (NERC); NERC British Antarctic Survey</t>
  </si>
  <si>
    <t>Hayward, SAL (corresponding author), Univ Birmingham, Sch Biosci, Birmingham B15 2TT, W Midlands, England.</t>
  </si>
  <si>
    <t>jesamine.bartlett@nina.no; pcon@bas.ac.uk; s.a.hayward@bham.ac.uk</t>
  </si>
  <si>
    <t>Convey, Peter/AAV-5728-2020</t>
  </si>
  <si>
    <t>Convey, Peter/0000-0001-8497-9903; Bartlett, Jesamine/0000-0001-7464-5440</t>
  </si>
  <si>
    <t>Natural Environment Research Council (NERC) through the Central England NERC Training Alliance (CENTA DTP) [RRBN19276]; University of Birmingham; British Antarctic Survey (BAS); NERC; BAS through a NERC-CASS grant [CASS-121]; NERC [bas0100036] Funding Source: UKRI</t>
  </si>
  <si>
    <t>Natural Environment Research Council (NERC) through the Central England NERC Training Alliance (CENTA DTP); University of Birmingham; British Antarctic Survey (BAS); NERC(UK Research &amp; Innovation (UKRI)Natural Environment Research Council (NERC)); BAS through a NERC-CASS grant; NERC(UK Research &amp; Innovation (UKRI)Natural Environment Research Council (NERC))</t>
  </si>
  <si>
    <t>J Bartlett was funded by the Natural Environment Research Council (NERC) through the Central England NERC Training Alliance (CENTA DTP) (RRBN19276). Her PhD studentship was supported by the University of Birmingham and the British Antarctic Survey (BAS). P. Convey is supported by NERC core funding to the BAS Biodiversity, Evolution and Adaptation Team. Fieldwork in this study was supported by BAS through a NERC-CASS grant (CASS-121) and permitted by the British Foreign &amp; Commonwealth O ffice through Specialist Activities in Antarctica (No 22/2016).</t>
  </si>
  <si>
    <t>2075-4450</t>
  </si>
  <si>
    <t>Insects</t>
  </si>
  <si>
    <t>10.3390/insects11030147</t>
  </si>
  <si>
    <t>Entomology</t>
  </si>
  <si>
    <t>LG4EK</t>
  </si>
  <si>
    <t>WOS:000528056000035</t>
  </si>
  <si>
    <t>Moreno, B</t>
  </si>
  <si>
    <t>Moreno, Bernabe</t>
  </si>
  <si>
    <t>A simple in situ labelling approach and adequate tools for photo and video quadrats used in underwater ecological studies</t>
  </si>
  <si>
    <t>UNDERWATER TECHNOLOGY</t>
  </si>
  <si>
    <t>scientific diving; NaGISA; underwater imaging; benthic ecology</t>
  </si>
  <si>
    <t>Ecological studies use quadrats to gather qualitative (1/0) and quantitative (density and surface coverage) information in terrestrial and marine sciences. Depending on the spatiotemporal scale of the assessment, this could be a pilot or a monitoring survey. For monitoring surveys, it is necessary to develop a code for the quadrat itself (in situ labelling), for the digital file (ex situ codification), and ideally, for both. The design of the quadrat used for these studies must accomplish ergonomics through certain specifications such as: made of highly resistant material; negative-buoyant but lightweight; anticorrosive (specially for marine environments); able to stay positioned on seafloor habitat; and compatible with the in situ labelling technique. The present paper is a comparison of quadrats of different materials and widths, including the implementation of an in situ and ex situ codification technique. Recommendations are made after several test hours sampling with quadrats.</t>
  </si>
  <si>
    <t>[Moreno, Bernabe] Univ Cient Sur, Lab Ecol Marina, Lima 15067, Peru</t>
  </si>
  <si>
    <t>Universidad Cientifica del Sur (CIENTIFICA)</t>
  </si>
  <si>
    <t>Moreno, B (corresponding author), Univ Cient Sur, Lab Ecol Marina, Lima 15067, Peru.</t>
  </si>
  <si>
    <t>8ernabemoreno@gmail.com</t>
  </si>
  <si>
    <t>Moreno, Bernabe/0000-0002-9751-6307</t>
  </si>
  <si>
    <t>GICS (Grupo de Investigacion de Comunidades Submareales) from the project IPA (Pachacamac &amp; Asia Islands), part of the GEF project [4505]</t>
  </si>
  <si>
    <t>GICS (Grupo de Investigacion de Comunidades Submareales) from the project IPA (Pachacamac &amp; Asia Islands), part of the GEF project</t>
  </si>
  <si>
    <t>The present work was carried out during fieldwork of two projects by the Universidad Cientifica del Sur. The first included the subtidal component GICS (Grupo de Investigacion de Comunidades Submareales) from the project IPA (Pachacamac &amp; Asia Islands), part of the GEF project (ID 4505) Strengthening Sustainable Management of the Guano Islands, Islets and Capes National Reserve System (RNSIIPG), in collaboration with the Peruvian Trust Fund for National Parks and Protected Areas (PROFONANPE) and the National Service of Protected Areas (SERNANP). The second included the hard-bottom component of the project Antarctic Benthos (Factores ambientales que rigen sobre la distribucion del macrobentos en Bahia Almirantazgo y Ensenada Mackellar) with the Direccion de Asuntos Antarticos (Ministerio de Relaciones Exteriores del Peru).</t>
  </si>
  <si>
    <t>SOC UNDERWATER TECHNOLOGY</t>
  </si>
  <si>
    <t>2 JOHN ST, LONDON WC1N 2ES, ENGLAND</t>
  </si>
  <si>
    <t>1756-0543</t>
  </si>
  <si>
    <t>1756-0551</t>
  </si>
  <si>
    <t>UNDERWATER TECHNOL</t>
  </si>
  <si>
    <t>Underw. Technol.</t>
  </si>
  <si>
    <t>10.3723/ut.37.029</t>
  </si>
  <si>
    <t>Engineering, Ocean</t>
  </si>
  <si>
    <t>Engineering</t>
  </si>
  <si>
    <t>LG7BS</t>
  </si>
  <si>
    <t>WOS:000528252300004</t>
  </si>
  <si>
    <t>Artemieva, IM; Thybo, H</t>
  </si>
  <si>
    <t>Artemieva, Irina M.; Thybo, Hans</t>
  </si>
  <si>
    <t>Continent size revisited: Geophysical evidence for West Antarctica as a back-arc system</t>
  </si>
  <si>
    <t>EARTH-SCIENCE REVIEWS</t>
  </si>
  <si>
    <t>Continental crust; Lithosphere; Upper mantle; Paleosubduction; Back-arc extension</t>
  </si>
  <si>
    <t>MARIE-BYRD-LAND; MANTLE STRUCTURE BENEATH; WILKES SUBGLACIAL BASIN; CRUSTAL THICKNESS BENEATH; PROTO-PACIFIC MARGIN; ROSS SEA REGION; RIFT SYSTEM; TRANSANTARCTIC MOUNTAINS; NEW-ZEALAND; ICE-SHEET</t>
  </si>
  <si>
    <t>Antarctica has traditionally been considered continental inside the coastline of ice and bedrock since Press and Dewart (1959). Sixty years later, we reconsider the conventional extent of this sixth continent. Geochemical observations show that subduction was active along the whole western coast of West Antarctica until the mid-Cretaceous after which it gradually ceased towards the tip of the Antarctic Peninsula. We propose that the entire West Antarctica formed as a back-arc basin system flanked by a volcanic arc, similar to e.g. the Japan Sea, instead of a continental rift system as conventionally interpreted. Globally, the fundamental difference between oceanic and continental lithosphere is reflected in hypsometry, largely controlled by lithosphere buoyancy. The equivalent hypsometry in West Antarctica (-580 +/- 335 m on average, extending down to -1.6 km) is much deeper than in any continent, but corresponds to back-arc basins and oceans proper. This first order observation questions the conventional interpretation of West Antarctica as continental, since even continental shelves do not extend deeper than -200 m in equivalent hypsometry. We present a suite of geophysical observations that supports our geodynamic interpretation: a linear belt of seismicity sub-parallel to the volcanic arc along the Pacific margin of West Antarctica; a pattern of free air gravity anomalies typical of subduction systems; and extremely thin crystalline crust typical of back-arc basins. We calculate residual mantle gravity anomalies and demonstrate that they require the presence of (1) a thick sedimentary sequence of up to ca. 50% of the total crustal thickness or (2) extremely low density mantle below the deep basins of West Antarctica and, possibly, the Wilkes Basin in East Antarctica. Case (2) requires the presence of anomalously hot mantle below the entire West Antarctica with a size much larger than around continental rifts. We propose, by analogy with back-arc basins in the Western Pacific, the existence of rotated back-arc basins caused by differential slab roll-back during subduction of the Phoenix plate under the West Antarctica margin. Our finding reduces the continental lithosphere in Antarctica to 2/3 of its traditional area. It has significant implications for global models of lithosphere-mantle dynamics and models of the ice sheet evolution.</t>
  </si>
  <si>
    <t>[Artemieva, Irina M.; Thybo, Hans] China Univ Geosci, Sch Earth Sci, State Key Lab Geol Proc &amp; Mineral Resources, Wuhan, Peoples R China; [Artemieva, Irina M.] Stanford Univ, Dept Geophys, Stanford, CA 94305 USA; [Artemieva, Irina M.] GEOMAR Helmholtz Ctr Ocean Res, Sect Marine Geodynam, Kiel, Germany; [Thybo, Hans] Istanbul Tech Univ, Eurasia Inst Earth Sci, Istanbul, Turkey; [Thybo, Hans] Univ Oslo, CEED, Oslo, Norway</t>
  </si>
  <si>
    <t>China University of Geosciences; Stanford University; Helmholtz Association; GEOMAR Helmholtz Center for Ocean Research Kiel; Istanbul Technical University; University of Oslo</t>
  </si>
  <si>
    <t>Artemieva, IM (corresponding author), China Univ Geosci, Sch Earth Sci, State Key Lab Geol Proc &amp; Mineral Resources, Wuhan, Peoples R China.</t>
  </si>
  <si>
    <t>irinageo@stanford.edu</t>
  </si>
  <si>
    <t>Thybo, Hans/B-9292-2008; Artemieva, Irina M./ABH-8216-2020</t>
  </si>
  <si>
    <t>Thybo, Hans/0000-0002-3945-8065; Artemieva, Irina M./0000-0002-3207-2901</t>
  </si>
  <si>
    <t>Danish Research Council [FNU-1323-00053, FNU-16/059776-15]; 111 Project of China [BP0719022]; MOST special funds for GPMR State Key Laboratory [GPMR2019010]</t>
  </si>
  <si>
    <t>Danish Research Council(Det Frie Forskningsrad (DFF)); 111 Project of China(Ministry of Education, China - 111 Project); MOST special funds for GPMR State Key Laboratory</t>
  </si>
  <si>
    <t>We appreciate comments of five anonymous reviewers which demonstrate substantial controversy in the opinions on geodynamic evolution of West Antarctica. These controversial comments guided us when working on the manuscript. This study was supported by grants FNU-1323-00053 to I.M.A. and FNU-16/059776-15 to H.T. from the Danish Research Council. Publication is partially supported by the 111 Project (BP0719022) of China and the MOST special funds for GPMR State Key Laboratory (GPMR2019010). Data used in the study are publicly available as referenced in the paper.</t>
  </si>
  <si>
    <t>0012-8252</t>
  </si>
  <si>
    <t>1872-6828</t>
  </si>
  <si>
    <t>EARTH-SCI REV</t>
  </si>
  <si>
    <t>Earth-Sci. Rev.</t>
  </si>
  <si>
    <t>10.1016/j.earscirev.2020.103106</t>
  </si>
  <si>
    <t>LE5UN</t>
  </si>
  <si>
    <t>WOS:000526786000008</t>
  </si>
  <si>
    <t>Zaki, S; Merican, F; Muangmai, N; Convey, P; Broady, P</t>
  </si>
  <si>
    <t>Zaki, Syazana; Merican, Faradina; Muangmai, Narongrit; Convey, Peter; Broady, Paul</t>
  </si>
  <si>
    <t>Discovery of microcystin-producing Anagnostidinema pseudacutissimum from cryopreserved Antarctic cyanobacterial mats</t>
  </si>
  <si>
    <t>HARMFUL ALGAE</t>
  </si>
  <si>
    <t>mcyE gene; Cyanobacteria; Cyanotoxin; Microcystin; Antarctica</t>
  </si>
  <si>
    <t>MAXIMUM-LIKELIHOOD; GENE-CLUSTER; TOXINS; WATER; ASSAY; IDENTIFICATION; HEPATOTOXINS; NODULARIN; DIVERSITY; GROWTH</t>
  </si>
  <si>
    <t>Microcystins (MCs) are secondary metabolites produced by cyanobacteria and have been well-documented in temperate and tropical regions. However, knowledge of the production of MCs in extremely cold environments is still in its infancy. Recently, examination of 100-year-old Antarctic cyanobacterial mats collected from Ross Island and the McMurdo Ice Shelf during Captain R.F. Scott's Discovery Expedition revealed that the presence of MCs in Antarctica is not a new phenomenon. Here, morphological and molecular phylogenetic analyses are used to identify a new microcystin-producing freshwater cyanobacterium, Anagnostidinema pseudacutissimum. The strain was isolated from a deep-frozen (-15 degrees C) sample collected from a red-brown cyanobacterial mat in a frozen pond at Cape Crozier (Ross Island, continental Antarctica) in 1984-1985. Amplification of the mcyE gene fragment involved in microcystin biosynthesis from A. pseudacutissimum confirmed that it is identical to the sequence from other known microcystin-producing cyanobacteria. Analysis of extracts from this A. pseudacutissimum strain by HPLC-MS/MS confirmed the presence of MC-LR and -YR at concentrations of 0.60 mu g/L and MC-RR at concentrations of 0.20 mu g/L. This is the first report of microcystin production from a species of Anagnostidinema from Antarctica.</t>
  </si>
  <si>
    <t>[Zaki, Syazana; Merican, Faradina] Univ Sains Malaysia, Sch Biol Sci, Minden, Penang, Malaysia; [Muangmai, Narongrit] Kasetsart Univ, Fac Fisheries, Dept Fishery Biol, Bangkok, Thailand; [Convey, Peter] British Antarctic Survey, NERC, Cambridge, England; [Broady, Paul] Univ Canterbury, Sch Biol Sci, Christchurch, New Zealand</t>
  </si>
  <si>
    <t>Universiti Sains Malaysia; Kasetsart University; UK Research &amp; Innovation (UKRI); Natural Environment Research Council (NERC); NERC British Antarctic Survey; University of Canterbury</t>
  </si>
  <si>
    <t>Merican, F (corresponding author), Univ Sains Malaysia, Sch Biol Sci, Minden, Penang, Malaysia.</t>
  </si>
  <si>
    <t>faradina@usm.my</t>
  </si>
  <si>
    <t>Convey, Peter/AAV-5728-2020; Sidik Merican, Faradina Merican/F-6785-2019</t>
  </si>
  <si>
    <t>Convey, Peter/0000-0001-8497-9903; Sidik Merican, Faradina Merican/0000-0003-1441-0134; Muangmai, Narongrit/0000-0001-7954-7348</t>
  </si>
  <si>
    <t>Sultan Mizan Antarctic Research Foundation [304/PBIOLOGI/650854/Y112]; Fundamental Research Grant Scheme [203/PBIOLOGI/6711577]; NERC; NERC [bas0100036] Funding Source: UKRI</t>
  </si>
  <si>
    <t>Sultan Mizan Antarctic Research Foundation; Fundamental Research Grant Scheme; NERC(UK Research &amp; Innovation (UKRI)Natural Environment Research Council (NERC)); NERC(UK Research &amp; Innovation (UKRI)Natural Environment Research Council (NERC))</t>
  </si>
  <si>
    <t>This work was supported by the Sultan Mizan Antarctic Research Foundation (304/PBIOLOGI/650854/Y112) and Fundamental Research Grant Scheme (203/PBIOLOGI/6711577). We thank Dr P. Novis (Landcare Research Limited, Lincoln, New Zealand) for curation of the samples for Dr. Paul Broady. We also thank Miss Dinie Eyldira Ismail for transporting the samples to Malaysia. Peter Convey is supported by NERC core funding to the British Antarctic Survey's `Biodiversity, Evolution and Adaptation' team. Many thanks to Dr Glenn B. McGregor and Dr. Barbara Sendall for providing the cultures as positive control for the current work. Also, thanks to the Cawthron Institute for performing the cyanotoxin analyses. Final thanks to Prof. Wan Maznah Wan Omar for sharing the culturing facilities at the School of Biological Sciences, USM.</t>
  </si>
  <si>
    <t>1568-9883</t>
  </si>
  <si>
    <t>1878-1470</t>
  </si>
  <si>
    <t>Harmful Algae</t>
  </si>
  <si>
    <t>10.1016/j.hal.2020.101800</t>
  </si>
  <si>
    <t>LF3OW</t>
  </si>
  <si>
    <t>WOS:000527331100016</t>
  </si>
  <si>
    <t>Coyne, KJ; Parker, AE; Lee, CK; Sohm, JA; Kalmbach, A; Gunderson, T; León-Zayas, R; Capone, DG; Carpenter, EJ; Cary, SC</t>
  </si>
  <si>
    <t>Coyne, Kathryn J.; Parker, Alexander E.; Lee, Charles K.; Sohm, Jill A.; Kalmbach, Andrew; Gunderson, Troy; Leon-Zayas, Rosa; Capone, Douglas G.; Carpenter, Edward J.; Cary, S. Craig</t>
  </si>
  <si>
    <t>The distribution and relative ecological roles of autotrophic and heterotrophic diazotrophs in the McMurdo Dry Valleys, Antarctica</t>
  </si>
  <si>
    <t>FEMS MICROBIOLOGY ECOLOGY</t>
  </si>
  <si>
    <t>McMurdo Dry Valleys; Antarctica; co-occurrence network; cyanobacteria; heterotrophic diazotrophy</t>
  </si>
  <si>
    <t>COOCCURRENCE PATTERNS; POLAR DESERT; CYANOBACTERIAL EXOPOLYSACCHARIDES; COMMUNITY COMPOSITION; NITROGEN-FIXATION; GENE DIVERSITY; MICROBIAL MATS; ORGANIC-CARBON; SOIL CRUSTS; NIFH GENES</t>
  </si>
  <si>
    <t>The McMurdo Dry Valleys (MDV) in Antarctica harbor a diverse assemblage of mat-forming diazotrophic cyanobacteria that play a key role in nitrogen cycling. Prior research showed that heterotrophic diazotrophs also make a substantial contribution to nitrogen fixation in MDV. The goals of this study were to survey autotrophic and heterotrophic diazotrophs across the MDV to investigate factors that regulate the distribution and relative ecological roles of each group. Results indicated that diazotrophs were present only in samples with mats, suggesting a metabolic coupling between autotrophic and heterotrophic diazotrophs. Analysis of 16S rRNA and nifH gene sequences also showed that diazotrophs were significantly correlated to the broader bacterial community, while co-occurrence network analysis revealed potential interspecific interactions. Consistent with previous studies, heterotrophic diazotrophs in MDV were diverse, but largely limited to lakes and their outlet streams, or other environments protected from desiccation. Despite the limited distribution, heterotrophic diazotrophs may make a substantial contribution to the nitrogen budget of MDV due to larger surface area and longer residence times of lakes. This work contributes to our understanding of key drivers of bacterial community structure in polar deserts and informs future efforts to investigate the contribution of nitrogen fixation to MDV ecosystems.</t>
  </si>
  <si>
    <t>[Coyne, Kathryn J.; Cary, S. Craig] Univ Delaware, Coll Earth Ocean &amp; Environm, Lewes, DE 19958 USA; [Parker, Alexander E.; Kalmbach, Andrew; Carpenter, Edward J.] San Francisco State Univ, Estuary &amp; Ocean Sci Ctr, Tiburon, CA 94920 USA; [Lee, Charles K.; Cary, S. Craig] Univ Waikato, Sch Sci, Int Ctr Terr Antarct Res, Hamilton 3240, New Zealand; [Sohm, Jill A.] Univ Southern Calif, Wrigley Inst Environm Studies, Los Angeles, CA 90080 USA; [Sohm, Jill A.] Univ Southern Calif, Dept Biol Sci, Los Angeles, CA 90080 USA; [Gunderson, Troy; Leon-Zayas, Rosa; Capone, Douglas G.] Willamette Univ, Dept Biol, Salem, OR 97301 USA</t>
  </si>
  <si>
    <t>University of Delaware; California State University System; San Francisco State University; University of Waikato; University of Southern California; University of Southern California; Willamette University</t>
  </si>
  <si>
    <t>Cary, SC (corresponding author), Univ Delaware, Coll Earth Ocean &amp; Environm, Lewes, DE 19958 USA.;Cary, SC (corresponding author), Univ Waikato, Sch Sci, Int Ctr Terr Antarct Res, Hamilton 3240, New Zealand.;Cary, SC (corresponding author), Univ Waikato, Sch Sci, Private Bag 3105, Hamilton, New Zealand.</t>
  </si>
  <si>
    <t>caryc@waikato.ac.nz</t>
  </si>
  <si>
    <t>Lee, Charles/AAC-9417-2019; lee, charles/AAW-6627-2021</t>
  </si>
  <si>
    <t>Lee, Charles/0000-0002-6562-4733; lee, charles/0000-0001-6906-4895; Cary, Stephen/0000-0002-2876-2387</t>
  </si>
  <si>
    <t>National Science Foundation (NSF) [ANT 0739648, 1246292, ANT 0739633, ANT 0739640]; NSF PLR [1043681, 1559691]; Antarctica New Zealand; New Zealand Foundation for Research, Science and Technology [UOWX0710]; New Zealand Ministry of Business, Innovation and Employment [UOWX1401]; New Zealand Terrestrial Antarctic Biocomplexity Survey (NZTABS) program; New Zealand Ministry of Business, Innovation &amp; Employment (MBIE) [UOWX1401] Funding Source: New Zealand Ministry of Business, Innovation &amp; Employment (MBIE)</t>
  </si>
  <si>
    <t>National Science Foundation (NSF)(National Science Foundation (NSF)); NSF PLR; Antarctica New Zealand; New Zealand Foundation for Research, Science and Technology(New Zealand Foundation for Research, Science and Technology); New Zealand Ministry of Business, Innovation and Employment(New Zealand Ministry of Business, Innovation and Employment (MBIE)); New Zealand Terrestrial Antarctic Biocomplexity Survey (NZTABS) program; New Zealand Ministry of Business, Innovation &amp; Employment (MBIE)(New Zealand Ministry of Business, Innovation and Employment (MBIE))</t>
  </si>
  <si>
    <t>This research was supported by the National Science Foundation (NSF) grants ANT 0739648 and 1246292 (to SCC), ANT 0739633 (to DGC) and ANT 0739640 (to EJC). Geospatial support for this work provided by the Polar Geospatial Center under NSF PLR awards 1043681 and 1559691. The work was also supported by logistics grants from Antarctica New Zealand, from the New Zealand Foundation for Research, Science and Technology (UOWX0710) and the New Zealand Ministry of Business, Innovation and Employment (UOWX1401) to SCC in support of the New Zealand Terrestrial Antarctic Biocomplexity Survey (NZTABS) program.</t>
  </si>
  <si>
    <t>0168-6496</t>
  </si>
  <si>
    <t>1574-6941</t>
  </si>
  <si>
    <t>FEMS MICROBIOL ECOL</t>
  </si>
  <si>
    <t>FEMS Microbiol. Ecol.</t>
  </si>
  <si>
    <t>fiaa010</t>
  </si>
  <si>
    <t>10.1093/femsec/fiaa010</t>
  </si>
  <si>
    <t>LE4IH</t>
  </si>
  <si>
    <t>WOS:000526682400014</t>
  </si>
  <si>
    <t>Mester, M; Esler, JG</t>
  </si>
  <si>
    <t>Mester, M.; Esler, J. G.</t>
  </si>
  <si>
    <t>Dynamical Elliptical Diagnostics of the Antarctic Polar Vortex</t>
  </si>
  <si>
    <t>JOURNAL OF THE ATMOSPHERIC SCIENCES</t>
  </si>
  <si>
    <t>Rossby waves; Stratosphere-troposphere coupling; Nonlinear models</t>
  </si>
  <si>
    <t>VORTICES; STRATOSPHERE; VARIABILITY; CLIMATOLOGY; EVOLUTION; WAVES</t>
  </si>
  <si>
    <t>Elliptical diagnostics provide dynamical and climatological information about the behavior of the Arctic and Antarctic stratospheric polar vortices. Here Kida's model, describing the evolution of a uniform vortex in a linear, but possibly unsteady, background flow, is used to interpret the observed evolution of the Antarctic vortex in late winter during 1999-2018. Kida's model has oscillatory solutions that can undergo an amplitude bifurcation, which serves as a simple model for the onset of vortex-splitting stratospheric sudden warmings (SSWs). A data assimilation method is used to find solutions of Kida's equations consistent with the observations. A phase-plane analysis reveals large interannual variability in the amplitude of oscillations of the vortex. In 2002, the year of the only observed vortex-splitting Antarctic SSW, the system is found to cross a separatrix in phase space, associated with the SSW amplitude bifurcation, in late September. An output of the data assimilation is the linear background flow experienced by the vortex. The rotational component of this linear flow is consistent with the vortex being embedded in an anticyclonic background. The time-mean strain flow is weak but has a clear orientation, consistent with the presence of stationary forcing due to planetary-scale topography and land-sea contrast. The time-varying strain flow is comparatively large in magnitude, illustrating the relative importance of the planetary-scale component of the turbulent dynamics occurring at tropopause level. Unlike in the Northern Hemisphere, therefore, the direction of future Antarctic vortex splits will not necessarily align with the direction of the 2002 split.</t>
  </si>
  <si>
    <t>[Mester, M.; Esler, J. G.] UCL, London, England</t>
  </si>
  <si>
    <t>University of London; University College London</t>
  </si>
  <si>
    <t>Mester, M (corresponding author), UCL, London, England.</t>
  </si>
  <si>
    <t>marton.mester.16@ucl.ac.uk</t>
  </si>
  <si>
    <t>Mester, Marton/0000-0002-8005-2999</t>
  </si>
  <si>
    <t>U.K. Natural Environment Research Council [NE/S00985X/1]; EPSRC [1777889]; EPSRC [1777889] Funding Source: UKRI; NERC [NE/S00985X/1] Funding Source: UKRI</t>
  </si>
  <si>
    <t>U.K. Natural Environment Research Council(UK Research &amp; Innovation (UKRI)Natural Environment Research Council (NERC)); EPSRC(UK Research &amp; Innovation (UKRI)Engineering &amp; Physical Sciences Research Council (EPSRC)); EPSRC(UK Research &amp; Innovation (UKRI)Engineering &amp; Physical Sciences Research Council (EPSRC)); NERC(UK Research &amp; Innovation (UKRI)Natural Environment Research Council (NERC))</t>
  </si>
  <si>
    <t>JGE acknowledges support from the U.K. Natural Environment Research Council Grant NE/S00985X/1 and MM the support of the EPSRC Studentship Award 1777889.</t>
  </si>
  <si>
    <t>AMER METEOROLOGICAL SOC</t>
  </si>
  <si>
    <t>BOSTON</t>
  </si>
  <si>
    <t>45 BEACON ST, BOSTON, MA 02108-3693 USA</t>
  </si>
  <si>
    <t>0022-4928</t>
  </si>
  <si>
    <t>1520-0469</t>
  </si>
  <si>
    <t>J ATMOS SCI</t>
  </si>
  <si>
    <t>J. Atmos. Sci.</t>
  </si>
  <si>
    <t>10.1175/JAS-D-19-0232.1</t>
  </si>
  <si>
    <t>LE4UO</t>
  </si>
  <si>
    <t>WOS:000526715300003</t>
  </si>
  <si>
    <t>Monteiro, M; Baptista, MS; Séneca, J; Torgo, L; Lee, CK; Cary, SC; Magalhaes, C</t>
  </si>
  <si>
    <t>Monteiro, Maria; Baptista, Mafalda S.; Seneca, Joana; Torgo, Luis; Lee, Charles K.; Cary, S. Craig; Magalhaes, Catarina</t>
  </si>
  <si>
    <t>Understanding the Response of Nitrifying Communities to Disturbance in the McMurdo Dry Valleys, Antarctica</t>
  </si>
  <si>
    <t>MICROORGANISMS</t>
  </si>
  <si>
    <t>McMurdo Dry Valleys; nitrogen cycle; 16S rRNA gene; 16S rRNA transcripts; nitrifying communities; ammonia oxidation; manipulative experiment</t>
  </si>
  <si>
    <t>AMMONIA-OXIDIZERS; RIBOSOMAL-RNA; MICROBIAL RESPONSES; NITRATE REDUCTION; NITROGEN; NITRIFICATION; DIVERSITY; SOIL; SEQUENCES; ARCHAEAL</t>
  </si>
  <si>
    <t>Polar ecosystems are generally limited in nitrogen (N) nutrients, and the patchy availability of N is partly determined by biological pathways, such as nitrification, which are carried out by distinctive prokaryotic functional groups. The activity and diversity of microorganisms are generally strongly influenced by environmental conditions. However, we know little of the attributes that control the distribution and activity of specific microbial functional groups, such as nitrifiers, in extreme cold environments and how they may respond to change. To ascertain relationships between soil geochemistry and the ecology of nitrifying microbial communities, we carried out a laboratory-based manipulative experiment to test the selective effect of key geochemical variables on the activity and abundance of ammonia-oxidizing communities in soils from the McMurdo Dry Valleys of Antarctica. We hypothesized that nitrifying communities, adapted to different environmental conditions within the Dry Valleys, will have distinct responses when submitted to similar geochemical disturbances. In order to test this hypothesis, soils from two geographically distant and geochemically divergent locations, Miers and Beacon Valleys, were incubated over 2 months under increased conductivity, ammonia concentration, copper concentration, and organic matter content. Amplicon sequencing of the 16S rRNA gene and transcripts allowed comparison of the response of ammonia-oxidizing Archaea (AOA) and ammonia-oxidizing Bacteria (AOB) to each treatment over time. This approach was combined with measurements of (NH4+)-N-15 oxidation rates using N-15 isotopic additions. Our results showed a higher potential for nitrification in Miers Valley, where environmental conditions are milder relative to Beacon Valley. AOA exhibited better adaptability to geochemical changes compared to AOB, particularly to the increase in copper and conductivity. AOA were also the only nitrifying group found in Beacon Valley soils. This laboratorial manipulative experiment provided new knowledge on how nitrifying groups respond to changes on key geochemical variables of Antarctic desert soils, and we believe these results offer new insights on the dynamics of N cycling in these ecosystems.</t>
  </si>
  <si>
    <t>[Monteiro, Maria; Lee, Charles K.; Cary, S. Craig; Magalhaes, Catarina] Univ Waikato, Sch Sci, Hamilton 3240, New Zealand; [Monteiro, Maria; Baptista, Mafalda S.; Lee, Charles K.; Cary, S. Craig] Univ Waikato, Int Ctr Terr Antarctic Res, Hamilton 3240, New Zealand; [Baptista, Mafalda S.; Seneca, Joana; Magalhaes, Catarina] Univ Porto, Interdisciplinary Ctr Marine &amp; Environm Res CIIMA, P-4450208 Matosinhos, Portugal; [Torgo, Luis] LIAAD INESC Porto LA, R Ceuta 118-6, P-4050190 Porto, Portugal; [Torgo, Luis] Dalhousie Univ, Fac Comp Sci, 6050 Univ Av, Halifax, NS N3H 1W5, Canada; [Baptista, Mafalda S.; Torgo, Luis; Magalhaes, Catarina] Univ Porto, Fac Sci, P-4169007 Porto, Portugal; [Magalhaes, Catarina] Dalhousie Univ, Ocean Frontier Inst, Halifax, NS B3H 4R2, Canada</t>
  </si>
  <si>
    <t>University of Waikato; University of Waikato; Universidade do Porto; INESC TEC; Universidade do Porto; Dalhousie University; Universidade do Porto; Dalhousie University</t>
  </si>
  <si>
    <t>Magalhaes, C (corresponding author), Univ Waikato, Sch Sci, Hamilton 3240, New Zealand.;Magalhaes, C (corresponding author), Univ Porto, Interdisciplinary Ctr Marine &amp; Environm Res CIIMA, P-4450208 Matosinhos, Portugal.;Magalhaes, C (corresponding author), Univ Porto, Fac Sci, P-4169007 Porto, Portugal.;Magalhaes, C (corresponding author), Dalhousie Univ, Ocean Frontier Inst, Halifax, NS B3H 4R2, Canada.</t>
  </si>
  <si>
    <t>mariaroviscomonteiro@gmail.com; mbaptista@ciimar.up.pt; joanaseneca@gmail.com; ltorgo@dal.ca; charles.lee@waikato.ac.nz; craig.cary@waikato.ac.nz; cmagalhaes@ciimar.up.pt</t>
  </si>
  <si>
    <t>lee, charles/AAW-6627-2021; Lee, Charles/AAC-9417-2019; Baptista, Mafalda S./F-8301-2010</t>
  </si>
  <si>
    <t>lee, charles/0000-0001-6906-4895; Lee, Charles/0000-0002-6562-4733; Baptista, Mafalda S./0000-0002-2198-0410; Cary, Stephen/0000-0002-2876-2387; Seneca Cardoso da Silva, Joana/0000-0003-3951-3674; Torgo, Luis/0000-0002-6892-8871</t>
  </si>
  <si>
    <t>Portuguese Science and Technology Foundation (FCT) [PTDC/CTA-AMB/30997/2017, UIDB/04423/2020, UIDP/04423/2020]; PROPOLAR; New Zealand Foundation for Research and Technology (FRST); New Zealand Marsden Fund [UOW1003]; New Zealand Ministry of Business, Innovation and Employment [UOWX1401]; United States National Science Foundation [ANT-0944556, ANT-1246292]; Fundação para a Ciência e a Tecnologia [PTDC/CTA-AMB/30997/2017] Funding Source: FCT</t>
  </si>
  <si>
    <t>Portuguese Science and Technology Foundation (FCT)(Fundacao para a Ciencia e a Tecnologia (FCT)); PROPOLAR; New Zealand Foundation for Research and Technology (FRST)(New Zealand Foundation for Research, Science and Technology); New Zealand Marsden Fund(Royal Society of New ZealandMarsden Fund (NZ)); New Zealand Ministry of Business, Innovation and Employment(New Zealand Ministry of Business, Innovation and Employment (MBIE)); United States National Science Foundation(National Science Foundation (NSF)); Fundação para a Ciência e a Tecnologia(Fundacao para a Ciencia e a Tecnologia (FCT))</t>
  </si>
  <si>
    <t>The Portuguese Science and Technology Foundation (FCT) funded this study through NITROLIMIT project (PTDC/CTA-AMB/30997/2017) and within the scope of UIDB/04423/2020 and UIDP/04423/2020. Traveling logistics to New Zealand was supported by PROPOLAR through a travel grant to Catarina M. Magalhaes and M. Monteiro (NITROEXTREM project). Antarctica New Zealand provides logistics support during Antarctic campaigns as part of the New Zealand Terrestrial Antarctic Biocomplexity Survey (nzTABS) award from the New Zealand Foundation for Research and Technology (FRST). The work was also supported through awards from the New Zealand Marsden Fund to C.K.L. and SCC (UOW1003); the New Zealand Ministry of Business, Innovation and Employment to S.C.C., C.K.L. (UOWX1401); and the United States National Science Foundation to S.C.C. (ANT-0944556 and ANT-1246292).</t>
  </si>
  <si>
    <t>2076-2607</t>
  </si>
  <si>
    <t>Microorganisms</t>
  </si>
  <si>
    <t>10.3390/microorganisms8030404</t>
  </si>
  <si>
    <t>LD3SO</t>
  </si>
  <si>
    <t>WOS:000525952700092</t>
  </si>
  <si>
    <t>Lobos, ACM; Márquez-Zavalía, MF; Hernández, LB</t>
  </si>
  <si>
    <t>Mugas Lobos, Ana C.; Florencia Marquez-Zavalia, Maria; Hernandez, Laura B.</t>
  </si>
  <si>
    <t>THE Ag- AND Au-BEARING PHASES IN THE ESCONDIDA EPITHERMAL VEIN, CERRO MORO DEPOSIT, SANTA CRUZ, ARGENTINA</t>
  </si>
  <si>
    <t>CANADIAN MINERALOGIST</t>
  </si>
  <si>
    <t>precious metal minerals; epithermal deposit; Deseado Massif; Argentina</t>
  </si>
  <si>
    <t>DESEADO MASSIF; ANTARCTIC PENINSULA; SILVER DEPOSITS; BREAK-UP; PATAGONIA; VOLCANISM; MINERALS; PROVINCE</t>
  </si>
  <si>
    <t>The Cerro Moro deposit is located at 48 degrees 5'55 '' S, 66 degrees 39'1.6 '' W and 100 m.o.s.l. in Santa Cruz province, southern Argentina. It is a low sulfidation Au-Ag epithermal mineralization hosted by numerous NW-SE structurally controlled quartz veins developed in close spatial and temporal proximity to the products of Jurassic extension and magmatism. The Escondida vein is the most significant mineralized structure, as it hosts the base metal-rich and Au-Ag high grade mineralization. In this vein and the Zoe ore-shoot, ore minerals are abundant (sphalerite, galena, chalcopyrite, acanthite, and less abundant pyrite and marcasite) and frequently related to dark grey, fine-grained quartz with massive, porous, crustiform, and banded textures; variable quantities of fine-grained flakes of muscovite are locally present. The Ag- and Au-bearing mineral association is represented by acanthite, argyrodite, polybasite, pearceite, stromeyerite, mckinstryite, and jalpaite. Abundant acanthite occurs commonly associated with gold and silver; copper enrichments were detected and interpreted as nanoinclusions of Cu-bearing minerals. The occurrence of Se- and Te-enriched minerals (acanthite, argyrodite, polybasite, pearceite, stromeyerite, and mckinstryite), rather than silver selenides and/or tellurides, indicates the presence of reduced mineralizing fluids and may be ascribed to partial substitution of S by Se or Te. Polybasite and pearceite were differentiated by their chemistry. Although the presence of argyrodite in epithermal deposits with silver sulfosalts is relatively common, this first mention in Cerro Moro is highly encouraging for exploration for germanium, a critical element, which is also considered strategic by countries such as the USA and China.</t>
  </si>
  <si>
    <t>[Mugas Lobos, Ana C.] Univ Nacl San Juan, Fac Ciencias Exactas Fis &amp; Nat, CIGEOBIO, CONICET, Av Ignacio de la Roza 590 Oeste,J5402DCS, San Juan, Argentina; [Florencia Marquez-Zavalia, Maria] Consejo Nacl Invest Cient &amp; Tecn, CCT Mendoza, IANIGLA, Av Ruiz Leal S-N,Parque Gral San Martin CC 330, RA-5500 Mendoza, Argentina; [Florencia Marquez-Zavalia, Maria] Univ Nacl Cuyo, Mineral &amp; Petrol, FAD, RA-5502 Mendoza, Argentina; [Hernandez, Laura B.] Univ Concepcion, Inst GEA, Lab Microsonda Elect, Casilla 160C, Concepcion, Chile</t>
  </si>
  <si>
    <t>Universidad Nacional de San Juan; Consejo Nacional de Investigaciones Cientificas y Tecnicas (CONICET); Consejo Nacional de Investigaciones Cientificas y Tecnicas (CONICET); University Nacional Cuyo Mendoza; University Nacional Cuyo Mendoza; Universidad de Concepcion</t>
  </si>
  <si>
    <t>Lobos, ACM (corresponding author), Univ Nacl San Juan, Fac Ciencias Exactas Fis &amp; Nat, CIGEOBIO, CONICET, Av Ignacio de la Roza 590 Oeste,J5402DCS, San Juan, Argentina.</t>
  </si>
  <si>
    <t>amugas@unsj-cuim.edu.ar</t>
  </si>
  <si>
    <t>Consejo Nacional de Investigaciones Cient'ificas y T'ecnicas (CONICET), Argentina; Agencia Nacional de Promocion Cientifica y Tecnologica y Fondo para la Investigacion Cientifica y Tecnologica (AGENCIA-FONCyT) [PICT 2015-0224]</t>
  </si>
  <si>
    <t>Consejo Nacional de Investigaciones Cient'ificas y T'ecnicas (CONICET), Argentina(Consejo Nacional de Investigaciones Cientificas y Tecnicas (CONICET)); Agencia Nacional de Promocion Cientifica y Tecnologica y Fondo para la Investigacion Cientifica y Tecnologica (AGENCIA-FONCyT)</t>
  </si>
  <si>
    <t>The authors are grateful to the Consejo Nacional de Investigaciones Cient ' ificas y T ' ecnicas (CONICET), Argentina, for financial support through a postdoctoral fellowship and the RD1163 (N852531) funding given to ACMG and to the Agencia Nacional de Promocion Cientifica y Tecnologica y Fondo para la Investigacion Cientifica y Tecnologica (AGENCIA-FONCyT) through the PICT 2015-0224. Special thanks are extended to Extorre Gold Mines Limited and Yamana Gold Inc. for granting the authors (ACML and MFMZ) access to the deposit and for contributing information, samples, and financial support. The authors are also very grateful for the constructive reviews of D. McLeish and B. Rottier. The editorial handling and comments of Associate Editor M. Steele-MacInnis are much appreciated.</t>
  </si>
  <si>
    <t>MINERALOGICAL ASSOC CANADA</t>
  </si>
  <si>
    <t>QUEBEC</t>
  </si>
  <si>
    <t>490, RUE DE LA COURONNE, QUEBEC, QC G1K 9A9, CANADA</t>
  </si>
  <si>
    <t>0008-4476</t>
  </si>
  <si>
    <t>1499-1276</t>
  </si>
  <si>
    <t>CAN MINERAL</t>
  </si>
  <si>
    <t>Can. Mineral.</t>
  </si>
  <si>
    <t>10.3749/canmin.1900075</t>
  </si>
  <si>
    <t>Mineralogy</t>
  </si>
  <si>
    <t>LC4NX</t>
  </si>
  <si>
    <t>WOS:000525302200004</t>
  </si>
  <si>
    <t>Amenábar, CR; Montes, M; Nozal, F; Santillana, SN</t>
  </si>
  <si>
    <t>Amenabar, Cecilia R.; Montes, Manuel; Nozal, Francisco; Nestor Santillana, Sergio</t>
  </si>
  <si>
    <t>Dinoflagellate cysts of the La Meseta Formation (middle to late Eocene), Antarctic Peninsula: implications for biostratigraphy, palaeoceanography and palaeoenvironment</t>
  </si>
  <si>
    <t>palynomorphs; biostratigraphy; Southern Ocean circulation; palaeoenvironment; Eocene; Antarctica</t>
  </si>
  <si>
    <t>MARAMBIO SEYMOUR ISLAND; ENVIRONMENTAL-CHANGES; SEA; MICROPLANKTON; SEDIMENTOLOGY; ENNEADOCYSTA; STRATIGRAPHY; REVISION; STRATA; RECORD</t>
  </si>
  <si>
    <t>Dinoflagellate cyst assemblages recovered from the La Meseta Formation cropping out in Seymour Island, Antarctic Peninsula, are studied herein and their distribution is compared with the biostratigraphic scheme available for the Palaeogene of the Southern Ocean and other high-latitude regions. In this way, the La Meseta Formation is dated as middle Lutetian to Priabonian (46.2-36 Ma), which differs from the age provided by other fossils, isotopes and also with the magnetostratigraphic scheme recently performed for the unit. The dinoflagellate cyst data support the proposal of ocean circulation patterns on the South American Shelf prior to the opening of Drake Passage. Assemblages from the La Meseta Formation contain Antarctic-endemic taxa which are also dominant in several circum-Antarctic sites, located south of 45 degrees S. Their distribution reflects an ocean-circulation scheme with wide clockwise gyres surrounding Antarctica that were disrupted as a consequence of the deepening and definitive apertures of the Tasmanian Gateway and Drake Passage towards the Eocene/Oligocene transition. The palaeoenvironmental inference based on the S/D ratio (sporomorphs versus dinoflagellate cysts) and the P/G ratio (peridinioid versus gonyaulacoid dinoflagellate cysts) suggests an overall trend through the section from marine-dominated assemblages with poorly productive waters in the lower part of the section to more terrestrially dominated assemblages with increasing productivity in the upper part of the unit, reflecting a shallowing trend to the top.</t>
  </si>
  <si>
    <t>[Amenabar, Cecilia R.; Nestor Santillana, Sergio] Inst Antartico Argentino, 25 Mayo 1143, San Martin, Buenos Aires, Argentina; [Amenabar, Cecilia R.] Univ Buenos Aires, Inst Estudios Andinos Don Pablo Groeber, Consejo Nacl Invest Cient &amp; Tecn IDEAN CONICET, Fac Ciencias Exactas &amp; Nat, Ciudad Univ,Intendente Guiraldes 2160,CP 1428 EGA, Buenos Aires, DF, Argentina; [Amenabar, Cecilia R.] Univ Buenos Aires, Dept Ciencias Geol, Fac Ciencias Exactas &amp; Nat, Ciudad Univ,Intendente Guiraldes 2160,CP 1428 EGA, Buenos Aires, DF, Argentina; [Montes, Manuel; Nozal, Francisco] IGME, Area Geol Geomorfol &amp; Cartog Geol, Calera 1, Madrid 28760, Spain</t>
  </si>
  <si>
    <t>Instituto Antartico Argentino; University of Buenos Aires; University of Buenos Aires</t>
  </si>
  <si>
    <t>Amenábar, CR (corresponding author), Inst Antartico Argentino, 25 Mayo 1143, San Martin, Buenos Aires, Argentina.;Amenábar, CR (corresponding author), Univ Buenos Aires, Inst Estudios Andinos Don Pablo Groeber, Consejo Nacl Invest Cient &amp; Tecn IDEAN CONICET, Fac Ciencias Exactas &amp; Nat, Ciudad Univ,Intendente Guiraldes 2160,CP 1428 EGA, Buenos Aires, DF, Argentina.;Amenábar, CR (corresponding author), Univ Buenos Aires, Dept Ciencias Geol, Fac Ciencias Exactas &amp; Nat, Ciudad Univ,Intendente Guiraldes 2160,CP 1428 EGA, Buenos Aires, DF, Argentina.</t>
  </si>
  <si>
    <t>amenabar@gl.fcen.uba.ar</t>
  </si>
  <si>
    <t>AMENABAR, CECILIA R./0000-0003-1280-3903</t>
  </si>
  <si>
    <t>Direccion Nacional del Antartico - Instituto Antartico Argentino (DNA-IAA); (CADIC-CONICET, Argentina); Agencia Nacional de Promocion Cientifica y Tecnologica - Direccion Nacional del Antartico from Argentina; (Geology and Topology); Instituto Geologico y Minero de Espana (IGME); Direccion General de Investigacion (DGI) of Spain [CTM 011-30241-C02-02, CTM2014-60451-C2-2-P, R-241]</t>
  </si>
  <si>
    <t>Direccion Nacional del Antartico - Instituto Antartico Argentino (DNA-IAA); (CADIC-CONICET, Argentina); Agencia Nacional de Promocion Cientifica y Tecnologica - Direccion Nacional del Antartico from Argentina; (Geology and Topology); Instituto Geologico y Minero de Espana (IGME); Direccion General de Investigacion (DGI) of Spain(Spanish Government)</t>
  </si>
  <si>
    <t>The authors are grateful to the Direccion Nacional del Antartico - Instituto Antartico Argentino (DNA-IAA) and Argentinian Air Force for scientific and logistic support during the Argentine Summer Antarctic Expedition 2015. We also thank M. Barbe for sample preparations. C.R.A. would like to express her deep gratitude to Dr Raquel Guerstein (INGEOSUR-CONICET, Argentina) for her advice and valuable assistance in the analysis of the palynological samples. Dr Eduardo Olivero (CADIC-CONICET, Argentina) is also acknowledged by C.R.A. for his constructive suggestions exchanged during different scientific meetings. We should like to thank the anonymous reviewers, as well as Dr Prof. Paul Upchurch, Editor of the journal, who put valuable time and effort into reviewing this contribution. The reviewers' constructive comments greatly helped to improve the manuscript. This research was supported by the Agencia Nacional de Promocion Cientifica y Tecnologica - Direccion Nacional del Antartico from Argentina (Institutional Project no. 4: Geology and Topology) and the Instituto Geologico y Minero de Espana (IGME) and Direccion General de Investigacion (DGI) of Spain (CTM 011-30241-C02-02, CTM2014-60451-C2-2-P). This is contribution number R-241 of the Instituto de Estudios Andinos 'Don Pablo Groeber' (IDEAN-CONICET).</t>
  </si>
  <si>
    <t>PII S0016756819000591</t>
  </si>
  <si>
    <t>10.1017/S0016756819000591</t>
  </si>
  <si>
    <t>LB9IM</t>
  </si>
  <si>
    <t>WOS:000524942400001</t>
  </si>
  <si>
    <t>Nahar, A; Baker, AL; Nichols, DS; Bowman, JP; Britz, ML</t>
  </si>
  <si>
    <t>Nahar, Akhikun; Baker, Anthony L.; Nichols, David S.; Bowman, John P.; Britz, Margaret L.</t>
  </si>
  <si>
    <t>Application of Thin-Layer Chromatography-Flame Ionization Detection (TLC-FID) to Total Lipid Quantitation in Mycolic-Acid Synthesizing Rhodococcus and Williamsia Species</t>
  </si>
  <si>
    <t>INTERNATIONAL JOURNAL OF MOLECULAR SCIENCES</t>
  </si>
  <si>
    <t>TLC-FID; Iatroscan rods; NMR; lipid extraction; mycolic acids; Williamsia; Rhodococcus</t>
  </si>
  <si>
    <t>PERFORMANCE LIQUID-CHROMATOGRAPHY; MASS-SPECTROMETRY; CELL-WALL; MYCOBACTERIUM; ORGANIZATION; MEMBRANE; TRIACYLGLYCEROLS; CORYNEBACTERIUM; CLASSIFICATION; IDENTIFICATION</t>
  </si>
  <si>
    <t>In addition to cell membrane phospholipids, Actinobacteria in the order Corynebacteriales possess a waxy cell envelope containing mycolic acids (MA). In optimized culture condition, some species can also accumulate high concentrations of intracellular triacylglycerols (TAG), which are a potential source of biodiesel. Bacterial lipid classes and composition alter in response to environmental stresses, including nutrient availability, thus understanding carbon flow into different lipid classes is important when optimizing TAG synthesis. Quantitative and qualitative analysis of lipid classes normally requires combinations of different extraction, derivatization, chromatographic and detection methods. In this study, a single-step thin-layer chromatography-flame ionization detection (TLC-FID) technique was applied to quantify lipid classes in six sub-Antarctic Corynebacteriales strains identified as Rhodococcus and Williamsia species. A hexane:diethyl-ether:acetic acid solvent system separated the total cellular lipids extracted from cells lysed by bead beating, which released more bound and unbound MA than sonication. Typical profiles included a major broad non-polar lipid peak, TAG and phospholipids, although trehalose dimycolates, when present, co-eluted with phospholipids. Ultra-performance liquid chromatography-tandem mass-spectrometry and nuclear magnetic resonance spectroscopy detected MA signatures in the non-polar lipid peak and indicated that these lipids were likely bound, at least in part, to sugars from cell wall arabinogalactan. Waxy esters were not detected. The single-solvent TLC-FID procedure provides a useful platform for the quantitation and preliminary screening of cellular lipid classes when testing the impacts of growth conditions on TAG synthesis.</t>
  </si>
  <si>
    <t>[Nahar, Akhikun; Baker, Anthony L.; Bowman, John P.; Britz, Margaret L.] Univ Tasmania, Tasmanian Inst Agr, Hobart, Tas 7005, Australia; [Nichols, David S.] Univ Tasmania, Div Res, Cent Sci Lab, Hobart, Tas 7005, Australia</t>
  </si>
  <si>
    <t>University of Tasmania; University of Tasmania</t>
  </si>
  <si>
    <t>Britz, ML (corresponding author), Univ Tasmania, Tasmanian Inst Agr, Hobart, Tas 7005, Australia.</t>
  </si>
  <si>
    <t>akhikun.nahar@utas.edu.au; a.l.baker@utas.edu.au; d.nichols@utas.edu.au; john.bowman@utas.edu.au; margaret.britz@utas.edu.au</t>
  </si>
  <si>
    <t>Bowman, John P/C-2414-2014; Bowman, John P./ABF-5108-2020; Baker, Anthony/C-2433-2014</t>
  </si>
  <si>
    <t>Bowman, John P/0000-0002-4528-9333; Bowman, John P./0000-0002-4528-9333; Baker, Anthony/0000-0001-5455-2271; Britz, Margaret/0000-0002-6413-3756</t>
  </si>
  <si>
    <t>Faculty of Science, Engineering and Technology; TIA</t>
  </si>
  <si>
    <t>This research was funded through the Faculty of Science, Engineering and Technology and TIA.</t>
  </si>
  <si>
    <t>1422-0067</t>
  </si>
  <si>
    <t>INT J MOL SCI</t>
  </si>
  <si>
    <t>Int. J. Mol. Sci.</t>
  </si>
  <si>
    <t>10.3390/ijms21051670</t>
  </si>
  <si>
    <t>Biochemistry &amp; Molecular Biology; Chemistry, Multidisciplinary</t>
  </si>
  <si>
    <t>LB8VL</t>
  </si>
  <si>
    <t>WOS:000524908500121</t>
  </si>
  <si>
    <t>Kaczmarek, L; Mioduchowska, M; Kacarevic, U; Kubska, K; Parnikoza, I; Goldyn, B; Roszkowska, M</t>
  </si>
  <si>
    <t>Kaczmarek, Lukasz; Mioduchowska, Monika; Kacarevic, Uros; Kubska, Katarzyna; Parnikoza, Ivan; Goldyn, Bartlomiej; Roszkowska, Milena</t>
  </si>
  <si>
    <t>New Records of Antarctic Tardigrada with Comments on Interpopulation Variability of the Paramacrobiotus fairbanksi Schill, Forster, Dandekar and Wolf, 2010</t>
  </si>
  <si>
    <t>DIVERSITY-BASEL</t>
  </si>
  <si>
    <t>cosmopolitism; dispersal; zoogeography; everything is everywhere hypothesis; fauna; water bears</t>
  </si>
  <si>
    <t>TAXONOMIC VALUE; HUFELANDI GROUP; SOUTH-AMERICA; EUTARDIGRADA; DNA; BIOGEOGRAPHY; DISPERSAL; GENUS; LAND; HYPSIBIIDAE</t>
  </si>
  <si>
    <t>Studies on Antarctic tardigrades started at the beginning of the twentieth century and have progressed very slowly and ca. 75 tardigrade species are known from this region. Paramacrobiotus fairbanksi was described from USA based on genetic markers and later reported from Italy, Poland, and Spain. The everything is everywhere hypothesis suggests that microscopic organisms have specific features which help them to inhabit most of environments and due to this they can be considered cosmopolitan. In the present paper, we report eight tardigrade taxa from Antarctic, including the first report of Pam. fairbanksi from Southern Hemisphere, which could suggest that the everything is everywhere hypothesis could be true, at least for some tardigrade species. Moreover, we also genetically and morphologically compare a few different populations of Pam. fairbanksi. The p-distances between COI haplotypes of all sequenced Pam. fairbanksi populations from Antarctica, Italy, Spain, USA and Poland ranged from 0.002% to 0.005%. In the case of COI polymorphism analyses, only one haplotype was observed in populations from Antarctica, USA and Poland, two haplotypes were found in population from Spain, and six haplotypes were observed in population from Italy. We also found some statistically significant morphometrical differences between the populations of Pam. fairbanksi from different regions and designed a new specific primers for Paramacrobiotus taxa.</t>
  </si>
  <si>
    <t>[Kaczmarek, Lukasz; Kubska, Katarzyna; Roszkowska, Milena] Adam Mickiewicz Univ, Fac Biol, Dept Anim Taxon &amp; Ecol, Uniwersytetu Poznanskiego 6, PL-61614 Poznan, Poland; [Mioduchowska, Monika] Univ Gdansk, Fac Biol, Dept Genet &amp; Biosystemat, Wita Stwosza 59, PL-80308 Gdansk, Poland; [Mioduchowska, Monika] Univ Gdansk, Inst Oceanog, Dept Marine Plankton Res, Marszalka Pilsudskiego 46, PL-81378 Gdynia, Poland; [Kacarevic, Uros] Univ Belgrade, Fac Biol, Dept Morphol Systemat &amp; Phylogeny Anim, Studentski Trg 16, Belgrade 11000, Serbia; [Parnikoza, Ivan] Natl Antarctic Sci Ctr Ukraine, Blvd Tarasa Shevchenka 16, UA-01601 Kiev, Ukraine; [Parnikoza, Ivan] Natl Acad Sci Ukraine, Inst Mol Biol &amp; Genet, St Acad Zabolotny 150, UA-03143 Kiev, Ukraine; [Goldyn, Bartlomiej] Adam Mickiewicz Univ, Fac Biol, Dept Gen Zool, Uniwersytetu Poznanskiego 6, PL-61614 Poznan, Poland; [Roszkowska, Milena] Adam Mickiewicz Univ, Fac Biol, Dept Bioenerget, Uniwersytetu Poznanskiego 6, PL-61614 Poznan, Poland</t>
  </si>
  <si>
    <t>Adam Mickiewicz University; Fahrenheit Universities; University of Gdansk; Fahrenheit Universities; University of Gdansk; University of Belgrade; Ministry of Education &amp; Science of Ukraine; State Institution National Antarctic Scientific Center; National Academy of Sciences Ukraine; Institute of Molecular Biology &amp; Genetics of NASU; Adam Mickiewicz University; Adam Mickiewicz University</t>
  </si>
  <si>
    <t>Kaczmarek, L (corresponding author), Adam Mickiewicz Univ, Fac Biol, Dept Anim Taxon &amp; Ecol, Uniwersytetu Poznanskiego 6, PL-61614 Poznan, Poland.</t>
  </si>
  <si>
    <t>kaczmar@amu.edu.pl; monika.mioduchowska@biol.ug.edu.pl; m81_2015@stud.bio.bg.ac.rs; katarzyna.qbska@gmail.com; ivan.parnikoza@gmail.com; glodny@amu.edu.pl; mil.roszkowska@gmail.com</t>
  </si>
  <si>
    <t>Mioduchowska, Monika/K-9886-2013; Parnikoza, Ivan/I-2398-2016; Kaczmarek, Lukasz/A-2000-2008; Goldyn, Bartlomiej/A-6166-2011</t>
  </si>
  <si>
    <t>Mioduchowska, Monika/0000-0003-1707-5028; Goldyn, Bartlomiej/0000-0002-5470-6709; Roszkowska, Milena/0000-0003-1640-8142; Kaczmarek, Lukasz/0000-0002-5260-6253</t>
  </si>
  <si>
    <t>National Science Centre, Poland [NCN 2016/21/B/NZ4/00131]</t>
  </si>
  <si>
    <t>National Science Centre, Poland(National Science Centre, Poland)</t>
  </si>
  <si>
    <t>The study was supported by the research grant of the National Science Centre, Poland, NCN 2016/21/B/NZ4/00131.</t>
  </si>
  <si>
    <t>1424-2818</t>
  </si>
  <si>
    <t>Diversity-Basel</t>
  </si>
  <si>
    <t>10.3390/d12030108</t>
  </si>
  <si>
    <t>LA8ZK</t>
  </si>
  <si>
    <t>WOS:000524229800035</t>
  </si>
  <si>
    <t>Pan, HL; Cole, TL; Bi, XP; Fang, MQ; Zhou, CR; Yang, ZT; Ksepka, DT; Hart, T; Bouzat, JL; Argilla, LS; Bertelsen, MF; Boersma, PD; Bost, CA; Cherel, Y; Dann, P; Fiddaman, SR; Howard, P; Labuschagne, K; Mattern, T; Miller, G; Parker, P; Phillips, RA; Quillfeldt, P; Ryan, PG; Taylor, H; Thompson, DR; Young, MJ; Ellegaard, MR; Gilbert, MTP; Sinding, MHS; Pacheco, G; Shepherd, LD; Tennyson, AJD; Grosser, S; Kay, E; Nupen, LJ; Ellenberg, U; Houston, DM; Reeve, AH; Johnson, K; Masello, JF; Stracke, T; McKinlay, B; Borboroglu, PG; Zhang, DX; Zhang, GJ</t>
  </si>
  <si>
    <t>Pan, Hailin; Cole, Theresa L.; Bi, Xupeng; Fang, Miaoquan; Zhou, Chengran; Yang, Zhengtao; Ksepka, Daniel T.; Hart, Tom; Bouzat, Juan L.; Argilla, Lisa S.; Bertelsen, Mads F.; Boersma, P. Dee; Bost, Charles-Andre; Cherel, Yves; Dann, Peter; Fiddaman, Steven R.; Howard, Pauline; Labuschagne, Kim; Mattern, Thomas; Miller, Gary; Parker, Patricia; Phillips, Richard A.; Quillfeldt, Petra; Ryan, Peter G.; Taylor, Helen; Thompson, David R.; Young, Melanie J.; Ellegaard, Martin R.; Gilbert, M. Thomas P.; Sinding, Mikkel-Holger S.; Pacheco, George; Shepherd, Lara D.; Tennyson, Alan J. D.; Grosser, Stefanie; Kay, Emily; Nupen, Lisa J.; Ellenberg, Ursula; Houston, David M.; Reeve, Andrew Hart; Johnson, Kathryn; Masello, Juan F.; Stracke, Thomas; McKinlay, Bruce; Borboroglu, Pablo Garcia; Zhang, De-Xing; Zhang, Guojie</t>
  </si>
  <si>
    <t>High-coverage genomes to elucidate the evolution of penguins (vol 8, pg 1, 2019)</t>
  </si>
  <si>
    <t>GIGASCIENCE</t>
  </si>
  <si>
    <t>[Pan, Hailin; Bi, Xupeng; Fang, Miaoquan; Zhou, Chengran; Yang, Zhengtao; Zhang, Guojie] BGI Shenzhen, Shenzhen 518083, Peoples R China; [Pan, Hailin; Zhang, Guojie] Chinese Acad Sci, Kunming Inst Zool, State Key Lab Genet Resources &amp; Evolut, Kunming, Yunnan, Peoples R China; [Pan, Hailin; Reeve, Andrew Hart; Zhang, Guojie] Univ Copenhagen, Dept Biol, Sect Ecol &amp; Evolut, DK-2100 Copenhagen, Denmark; [Cole, Theresa L.] Manaaki Whenua Landcare Res, POB 69040, Canterbury 7640, New Zealand; [Cole, Theresa L.; Mattern, Thomas; Young, Melanie J.; Grosser, Stefanie] Univ Otago, Dept Zool, POB 56, Dunedin 9054, Otago, New Zealand; [Bi, Xupeng; Fang, Miaoquan; Zhou, Chengran; Yang, Zhengtao] BGI Shenzhen, China Natl Genebank, Shenzhen, Guangdong, Peoples R China; [Bi, Xupeng; Fang, Miaoquan; Zhang, Guojie] Chinese Acad Sci, Ctr Excellence Anim Evolut &amp; Genet, Kunming 650223, Yunnan, Peoples R China; [Ksepka, Daniel T.] Bruce Museum, Greenwich, CT 06830 USA; [Hart, Tom] Univ Oxford, Dept Zool, 11a Mansfield Rd, Oxford OX1 3SZ, England; [Bouzat, Juan L.] Bowling Green State Univ, Dept Biol Sci, Bowling Green, OH 43403 USA; [Argilla, Lisa S.] Wildlife Hosp Dunedin, Sch Vet Nursing, Otago Polytech, Dunedin 9016, Otago, New Zealand; [Bertelsen, Mads F.] Copenhagen Zoo, Roskildevej 38, DK-2000 Frederiksberg, Denmark; [Bertelsen, Mads F.] Univ Copenhagen, Dept Vet &amp; Anim Sci, Copenhagen, Denmark; [Boersma, P. Dee; Borboroglu, Pablo Garcia] Univ Washington, Dept Biol, Ctr Ecosyst Sentinels, Seattle, WA 98195 USA; [Bost, Charles-Andre; Cherel, Yves] La Rochelle Univ, CNRS, CEBC, UMR 7372, F-79360 Villiers En Bois, France; [Dann, Peter] Phillip Isl Nat Parks, Res Dept, POB 97, Phillip Isl, Vic 3922, Australia; [Fiddaman, Steven R.] Univ Oxford, Dept Zool, Peter Medawar Bldg Pathogen Res,South Parks Rd, Oxford OX1 3SY, England; [Howard, Pauline] Hornby Vet Ctr, 7 Tower St, Canterbury 8042, New Zealand; [Howard, Pauline; Stracke, Thomas] South Isl Wildlife Hosp, Canterbury, New Zealand; [Labuschagne, Kim] South African Natl Biodivers Inst, Natl Zool Garden, POB 754, ZA-0001 Pretoria, South Africa; [Miller, Gary] Univ Western Australia, Div Pathol &amp; Lab Med, Crawley, WA 6009, Australia; [Miller, Gary] Univ Tasmania, Inst Marine &amp; Antarctic Studies, Hobart, Tas 7001, Australia; [Parker, Patricia] Univ Missouri, Dept Biol, 8001 Nat Bridge Rd, St Louis, MO 63121 USA; [Phillips, Richard A.] British Antarctic Survey, Nat Environm Res Council, Cambridge, England; [Quillfeldt, Petra; Masello, Juan F.] Justus Liebig Univ Giessen, Heinrich Buff Ring 26, D-35392 Giessen, Germany; [Ryan, Peter G.; Nupen, Lisa J.] Univ Cape Town, FitzPatrick Inst African Ornithol, ZA-7701 Rondebosch, South Africa; [Taylor, Helen] Vet Serv Hawkes Bay Ltd, 801 Heretaunga St, Hastings, New Zealand; [Taylor, Helen] Wairoa Farm Vets, 77 Queen St, Wairoa 4108, New Zealand; [Thompson, David R.] Natl Inst Water &amp; Atmospher Res Ltd, Private Bag 14901, Wellington 6241, New Zealand; [Ellegaard, Martin R.; Gilbert, M. Thomas P.; Sinding, Mikkel-Holger S.; Pacheco, George; Tennyson, Alan J. D.] Univ Copenhagen, Fac Hlth &amp; Med Sci, GLOBE Inst, Sect Evolutionary Genom, Oster Farimagsgade 5A, Copenhagen, Denmark; [Gilbert, M. Thomas P.] NTNU Univ Museum, Trondheim, Norway; [Shepherd, Lara D.; Tennyson, Alan J. D.] Museum New Zealand Papa Tongarewa, POB 467, Wellington 6140, New Zealand; [Grosser, Stefanie] Ludwig Maximilians Univ Munchen, Fac Biol, Div Evolutionary Biol, Grosshaderner Str 2, D-82152 Planegg Martinsried, Germany; [Kay, Emily; Johnson, Kathryn] Massey Univ, Wildbase, Private Bag 11 222, Palmerston North 4442, New Zealand; [Kay, Emily; Johnson, Kathryn] Wellington Zoo, 200 Daniell St, Wellington 6021, New Zealand; [Nupen, Lisa J.] Natl Zool Gardens South Africa, Pretoria, South Africa; [Ellenberg, Ursula] La Trobe Univ, Dept Ecol Environm &amp; Evolut, Melbourne, Vic, Australia; [Ellenberg, Ursula] Univ Washington, Global Penguin Soc, Seattle, WA 98195 USA; [Houston, David M.] Biodivers Grp, Dept Conservat, Auckland, New Zealand; [Reeve, Andrew Hart] Univ Copenhagen, Nat Hist Museum Denmark, Dept Biol, Copenhagen, Denmark; [McKinlay, Bruce] Biodivers Grp, Dept Conservat, Dunedin, New Zealand; [Borboroglu, Pablo Garcia] Global Penguin Soc, RA-9120 Puerto Madryn, Argentina; [Borboroglu, Pablo Garcia] Consejo Nacl Invest Cient &amp; Tecn, CESIMAR CCT Cenpat, RA-9120 Puerto Madryn, Argentina; [Zhang, De-Xing] Chinese Acad Sci, Inst Zool, Ctr Computat &amp; Evolutionary Biol, 1 Beichen West Rd, Beijing 100101, Peoples R China</t>
  </si>
  <si>
    <t>Beijing Genomics Institute (BGI); Chinese Academy of Sciences; Kunming Institute of Zoology, CAS; University of Copenhagen; Landcare Research - New Zealand; University of Otago; Beijing Genomics Institute (BGI); Chinese Academy of Sciences; University of Oxford; University System of Ohio; Bowling Green State University; Otago Polytechnic; University of Copenhagen; University of Washington; University of Washington Seattle; Centre National de la Recherche Scientifique (CNRS); CNRS - Institute of Ecology &amp; Environment (INEE); University of Oxford; South African National Biodiversity Institute; University of Western Australia; University of Tasmania; University of Missouri System; University of Missouri Saint Louis; UK Research &amp; Innovation (UKRI); Natural Environment Research Council (NERC); NERC British Antarctic Survey; Justus Liebig University Giessen; University of Cape Town; National Institute of Water &amp; Atmospheric Research (NIWA) - New Zealand; University of Copenhagen; Norwegian University of Science &amp; Technology (NTNU); University of Munich; Massey University; National Research Foundation - South Africa; National Zoological Gardens of South Africa; La Trobe University; Melbourne Genomics Health Alliance; University of Washington; University of Washington Seattle; University of Copenhagen; Consejo Nacional de Investigaciones Cientificas y Tecnicas (CONICET); Chinese Academy of Sciences</t>
  </si>
  <si>
    <t>Pan, HL (corresponding author), BGI Shenzhen, Shenzhen 518083, Peoples R China.;Pan, HL (corresponding author), Chinese Acad Sci, Kunming Inst Zool, State Key Lab Genet Resources &amp; Evolut, Kunming, Yunnan, Peoples R China.;Pan, HL (corresponding author), Univ Copenhagen, Dept Biol, Sect Ecol &amp; Evolut, DK-2100 Copenhagen, Denmark.</t>
  </si>
  <si>
    <t>Johnson, Kathryn/AAV-9373-2020; Shepherd, Lara D/E-6663-2011; Zhang, Guojie/HCH-1880-2022; Gilbert, Thomas/JSK-2650-2023; Mattern, Thomas/AAJ-6325-2020; Bertelsen, Mads/AAA-5746-2022; Zhang, Guojie/J-7273-2019; Gilbert, Marcus TP/A-8936-2013; Fiddaman, Steven/HZL-9651-2023; Masello, Juan Francisco/C-7133-2009; Strander Sinding, Mikkel Holger/B-9450-2015</t>
  </si>
  <si>
    <t>Johnson, Kathryn/0000-0001-9771-7718; Mattern, Thomas/0000-0003-0745-8180; Bertelsen, Mads/0000-0001-9201-7499; Masello, Juan Francisco/0000-0002-6826-4016; Argilla, Lisa Shelley/0000-0002-2614-5000; Strander Sinding, Mikkel Holger/0000-0003-1371-219X</t>
  </si>
  <si>
    <t>2047-217X</t>
  </si>
  <si>
    <t>GigaScience</t>
  </si>
  <si>
    <t>giaa031</t>
  </si>
  <si>
    <t>10.1093/gigascience/giaa031</t>
  </si>
  <si>
    <t>LB5TV</t>
  </si>
  <si>
    <t>WOS:000524699400015</t>
  </si>
  <si>
    <t>Tyumina, EA; Bazhutin, GA; Gómez, ADPC; Ivshina, IB</t>
  </si>
  <si>
    <t>Tyumina, E. A.; Bazhutin, G. A.; Gomez, A. D. P. Cartagena; Ivshina, I. B.</t>
  </si>
  <si>
    <t>Nonsteroidal Anti-inflammatory Drugs as Emerging Contaminants</t>
  </si>
  <si>
    <t>MICROBIOLOGY</t>
  </si>
  <si>
    <t>emerging contaminants; pharmaceutical pollutants; NSAIDs; ecotoxicity; biodegradation</t>
  </si>
  <si>
    <t>PERSONAL CARE PRODUCTS; ACTIVATED-SLUDGE; TRAMETES-VERSICOLOR; SURFACE-WATER; DICLOFENAC BIODEGRADATION; DROTAVERINE HYDROCHLORIDE; ENDOCRINE DISRUPTION; OXIDATIVE STRESS; VIBRIO-FISCHERI; DAPHNIA-MAGNA</t>
  </si>
  <si>
    <t>Nonsteroidal anti-inflammatory drugs (NSAIDs) are a group of pharmaceuticals widely used for medical and veterinary purposes. NSAIDs have been found in nanograms and micrograms in soil, wastewater, surface water, groundwater, sediments, snow, Antarctic ice, and drinking water. Despite negligible detectable amounts in the environment, NSAIDs have chronic ecotoxic effects on the biotic components of ecosystems. Biotechnological methods for degradation of NSAIDs by fungi and bacteria are being actively developed. The aim of this work was to review the literature on detection, ecotoxicity, and biodegradation methods of hazardous emerging contaminants from the NSAID group over the past 5-10 years.</t>
  </si>
  <si>
    <t>[Tyumina, E. A.; Ivshina, I. B.] Russian Acad Sci, Inst Ecol &amp; Genet Microorganisms, Ural Branch, Perm 614081, Russia; [Tyumina, E. A.; Bazhutin, G. A.; Gomez, A. D. P. Cartagena; Ivshina, I. B.] Perm State Univ, Perm 614990, Russia</t>
  </si>
  <si>
    <t>Russian Academy of Sciences; Perm Federal Research Center, Ural Branch, RAS; Institute of Ecology &amp; Genetics of Microorganisms, Ural Branch, RAS; Perm State University</t>
  </si>
  <si>
    <t>Ivshina, IB (corresponding author), Russian Acad Sci, Inst Ecol &amp; Genet Microorganisms, Ural Branch, Perm 614081, Russia.;Ivshina, IB (corresponding author), Perm State Univ, Perm 614990, Russia.</t>
  </si>
  <si>
    <t>ivshina@iegm.ru</t>
  </si>
  <si>
    <t>Tyumina, Elena/E-9602-2014</t>
  </si>
  <si>
    <t>Tyumina, Elena/0000-0002-6920-7785; Ivsina, Irina/0000-0003-2558-4789</t>
  </si>
  <si>
    <t>PFRC UB RAS [01201353246, 01201353247]; PSU [6.3330.2017/4.6]; Integrated Program of Fundamental Research UB RAS [18-4-8-21]; Russian Foundation for Basic Research; Ministry of Education and Science of the Perm Region [17-44-590567]</t>
  </si>
  <si>
    <t>PFRC UB RAS; PSU; Integrated Program of Fundamental Research UB RAS; Russian Foundation for Basic Research(Russian Foundation for Basic Research (RFBR)Spanish Government); Ministry of Education and Science of the Perm Region</t>
  </si>
  <si>
    <t>The work was carried out within the framework of State Assignments 01201353246, 01201353247 (PFRC UB RAS), 6.3330.2017/4.6 (PSU), the Integrated Program of Fundamental Research UB RAS (18-4-8-21) and supported by the grant of The Russian Foundation for Basic Research and the Ministry of Education and Science of the Perm Region (17-44-590567).</t>
  </si>
  <si>
    <t>0026-2617</t>
  </si>
  <si>
    <t>1608-3237</t>
  </si>
  <si>
    <t>MICROBIOLOGY+</t>
  </si>
  <si>
    <t>10.1134/S0026261720020125</t>
  </si>
  <si>
    <t>LA9LQ</t>
  </si>
  <si>
    <t>WOS:000524262200002</t>
  </si>
  <si>
    <t>Niedzwiecki, DJ; Chou, YC; Xia, ZH; Thei, F; Drndic, M</t>
  </si>
  <si>
    <t>Niedzwiecki, David J.; Chou, Yung-Chien; Xia, Zehui; Thei, Federico; Drndic, Marija</t>
  </si>
  <si>
    <t>Detection of single analyte and environmental samples with silicon nitride nanopores: Antarctic dirt particulates and DNA in artificial seawater</t>
  </si>
  <si>
    <t>REVIEW OF SCIENTIFIC INSTRUMENTS</t>
  </si>
  <si>
    <t>SOLID-STATE NANOPORE; STRANDED-DNA; TRANS LOCATION; TRANSLOCATION; FABRICATION; MOLECULES; ION; HOMOPOLYMERS; GRAPHENE; NOISE</t>
  </si>
  <si>
    <t>Nanopore sensing is a powerful tool for the detection of biomolecules. Solid-state nanopores act as single-molecule sensors that can function in harsh conditions. Their resilient nature makes them attractive candidates for taking this technology into the field to measure environmental samples for life detection in space and water quality monitoring. Here, we discuss the fabrication of silicon nitride pores from similar to 1.6 to 20 nm in diameter in 20-nm-thick silicon nitride membranes suspended on glass chips and their performance. We detect pure laboratory samples containing a single analyte including DNA, BSA, microRNA, TAT, and poly-D-lys-hydrobromide. We also measured an environmental (mixed-analyte) sample, containing Antarctic dirt provided by NASA Ames. For DNA measurements, in addition to using KCl and NaCl solutions, we used the artificial (synthetic) seawater, which is a mixture of different salts mimicking the composition of natural seawater. These samples were spiked with double-stranded DNA (dsDNA) fragments at different concentrations to establish the limits of nanopore sensitivity in candidate environment conditions. Nanopore chips were cleaned and reused for successive measurements. A stand-alone, 1-MHz-bandwidth Chimera amplifier was used to determine the DNA concentration in artificial seawater that we can detect in a practical time scale of a few minutes. We also designed and developed a new compact nanopore reader, a portable read-out device with miniaturized fluidic cells, which can obtain translocation data at bandwidths up to 100 kHz. Using this new instrument, we record translocations of 400 bp, 1000 bp, and 15000 bp dsDNA fragments and show discrimination by analysis of current amplitude and event duration histograms.</t>
  </si>
  <si>
    <t>[Niedzwiecki, David J.; Xia, Zehui] Goeppert LLC, Pennovat Works, 3401 Grays Ferry Ave, Philadelphia, PA 19146 USA; [Chou, Yung-Chien; Drndic, Marija] Univ Penn, Dept Phys &amp; Astron, David Rittenhouse Lab, 209 S 33rd St, Philadelphia, PA 19103 USA; [Thei, Federico] Elements SRL, Viale G Marconi 438, I-47521 Cesena, Italy</t>
  </si>
  <si>
    <t>University of Pennsylvania</t>
  </si>
  <si>
    <t>Niedzwiecki, DJ (corresponding author), Goeppert LLC, Pennovat Works, 3401 Grays Ferry Ave, Philadelphia, PA 19146 USA.;Drndic, M (corresponding author), Univ Penn, Dept Phys &amp; Astron, David Rittenhouse Lab, 209 S 33rd St, Philadelphia, PA 19103 USA.</t>
  </si>
  <si>
    <t>dn@gppert.com; drndic@physics.upenn.edu</t>
  </si>
  <si>
    <t>Xia, Zehui/AAF-9640-2021</t>
  </si>
  <si>
    <t>Chou, Yung-Chien/0000-0001-6763-1657; Xia, Zehui/0000-0002-3312-1592</t>
  </si>
  <si>
    <t>NASA SBIR Phase I [S.11-3492 (20181)]; NSF National Nanotechnology Coordinated Infrastructure Program [NNCI-1542153]</t>
  </si>
  <si>
    <t>NASA SBIR Phase I; NSF National Nanotechnology Coordinated Infrastructure Program</t>
  </si>
  <si>
    <t>The glass chips and nanopores were fabricated at the Pennovation Center and at the University of Pennsylvania's Singh Center for Nanotechnology and at Rutgers University by Goeppert LLC. We thank Dr. Chris McKay from NASA Ames for providing samples of the Linnaeus Terrace dirt from Antarctic Dry Valleys. We also thank Jacob Swett at the University of Oxford for useful discussions and Michele Rossi, previously at Elements, SRL, for help with the portable nanopore reader. The nanopore reader and fluidic cell were developed here in collaboration with Elements, SRL, Italy. The work was supported by NASA SBIR Phase I No. S.11-3492 (20181) Detecting life in ocean worlds with low-capacitance solid-state nanopores. This work was carried out in part at the Singh Center for Nanotechnology, which is supported by the NSF National Nanotechnology Coordinated Infrastructure Program under Grant No. NNCI-1542153.</t>
  </si>
  <si>
    <t>AMER INST PHYSICS</t>
  </si>
  <si>
    <t>MELVILLE</t>
  </si>
  <si>
    <t>1305 WALT WHITMAN RD, STE 300, MELVILLE, NY 11747-4501 USA</t>
  </si>
  <si>
    <t>0034-6748</t>
  </si>
  <si>
    <t>1089-7623</t>
  </si>
  <si>
    <t>REV SCI INSTRUM</t>
  </si>
  <si>
    <t>Rev. Sci. Instrum.</t>
  </si>
  <si>
    <t>MAR 1</t>
  </si>
  <si>
    <t>10.1063/1.5138210</t>
  </si>
  <si>
    <t>Instruments &amp; Instrumentation; Physics, Applied</t>
  </si>
  <si>
    <t>Instruments &amp; Instrumentation; Physics</t>
  </si>
  <si>
    <t>LB0FL</t>
  </si>
  <si>
    <t>WOS:000524313900001</t>
  </si>
  <si>
    <t>Allen, CS; Thomas, ER; Blagbrough, H; Tetzner, DR; Warren, RA; Ludlow, EC; Bracegirdle, TJ</t>
  </si>
  <si>
    <t>Allen, Claire S.; Thomas, Elizabeth R.; Blagbrough, Hilary; Tetzner, Dieter R.; Warren, Richard A.; Ludlow, Emily C.; Bracegirdle, Thomas J.</t>
  </si>
  <si>
    <t>Preliminary Evidence for the Role Played by South Westerly Wind Strength on the Marine Diatom Content of an Antarctic Peninsula Ice Core (1980-2010)</t>
  </si>
  <si>
    <t>GEOSCIENCES</t>
  </si>
  <si>
    <t>diatom; ice core; Antarctica; south westerly wind; Antarctic Peninsula</t>
  </si>
  <si>
    <t>SEA-ICE; ATMOSPHERIC TRANSPORT; OCEAN SEDIMENTS; ATLANTIC SECTOR; PINE ISLAND; POLAR ICE; DUST; VARIABILITY; IRON; RECONSTRUCTION</t>
  </si>
  <si>
    <t>Winds in the Southern Ocean drive exchanges of heat and carbon dioxide between the ocean and atmosphere. Wind dynamics also explain the dominant patterns of both basal and surface melting of glaciers and ice shelves in the Amundsen and Bellingshausen Seas. Long records of past wind strength and atmospheric circulation are needed to assess the significance of these recent changes. Here we present evidence for a novel proxy of past south westerly wind (SWW) strength over the Amundsen and Bellingshausen Seas, based on diatoms preserved in an Antarctic Peninsula ice core. Ecological affinities of the identified diatom taxa indicate an almost exclusively marine assemblage, dominated by open ocean taxa from the Northern Antarctic Zone (NAZ). Back-trajectory analysis shows the routes of air masses reaching the ice core site and reveals that many trajectories involve contact with surface waters in the NAZ of the Amundsen and Bellingshausen Seas. Correlation analyses between ice core diatom abundance and various wind vectors yield positive and robust coefficients for the 1980-2010 period, with average annual SWW speeds exhibiting the strongest match. Collectively, the data presented here provide new evidence that diatoms preserved in an Antarctic Peninsula ice core offer genuine potential as a new proxy for SWW strength.</t>
  </si>
  <si>
    <t>[Allen, Claire S.; Thomas, Elizabeth R.; Blagbrough, Hilary; Tetzner, Dieter R.; Warren, Richard A.; Ludlow, Emily C.; Bracegirdle, Thomas J.] British Antarctic Survey, Madingley Rd, Cambridge CB3 0ET, England</t>
  </si>
  <si>
    <t>UK Research &amp; Innovation (UKRI); Natural Environment Research Council (NERC); NERC British Antarctic Survey</t>
  </si>
  <si>
    <t>Allen, CS (corresponding author), British Antarctic Survey, Madingley Rd, Cambridge CB3 0ET, England.</t>
  </si>
  <si>
    <t>csall@bas.ac.uk; lith@bas.ac.uk; hibl@bas.ac.uk; dietet95@bas.ac.uk; ricwar@bas.ac.uk; emld@bas.ac.uk; tjbra@bas.ac.uk</t>
  </si>
  <si>
    <t>Thomas, Elizabeth Ruth/ADF-3660-2022</t>
  </si>
  <si>
    <t>Thomas, Elizabeth Ruth/0000-0002-3010-6493; Warren, Richard/0000-0003-2615-8482; Bracegirdle, Thomas/0000-0002-8868-4739</t>
  </si>
  <si>
    <t>Natural Environment Research Council [NE/J020710/1]; NERC [bas0100032, bas0100030, bas0100034, NE/J020710/1, bas010011] Funding Source: UKRI</t>
  </si>
  <si>
    <t>This research was funded by the Natural Environment Research Council Grant NE/J020710/1.</t>
  </si>
  <si>
    <t>2076-3263</t>
  </si>
  <si>
    <t>Geosciences</t>
  </si>
  <si>
    <t>10.3390/geosciences10030087</t>
  </si>
  <si>
    <t>LA1FS</t>
  </si>
  <si>
    <t>gold, Green Accepted</t>
  </si>
  <si>
    <t>WOS:000523701300006</t>
  </si>
  <si>
    <t>Wang, YL; Liu, XX; Gao, H; Zhang, HM; Guo, AY; Xu, J; Xu, XD</t>
  </si>
  <si>
    <t>Wang, Yali; Liu, Xiaoxiang; Gao, Hong; Zhang, Hong-Mei; Guo, An-Yuan; Xu, Jian; Xu, Xudong</t>
  </si>
  <si>
    <t>Early Stage Adaptation of a Mesophilic Green Alga to Antarctica: Systematic Increases in Abundance of Enzymes and LEA Proteins</t>
  </si>
  <si>
    <t>MOLECULAR BIOLOGY AND EVOLUTION</t>
  </si>
  <si>
    <t>Antarctica; cold adaptation; intraspecies divergence; omics; enzyme activity; Chlorella vulgaris</t>
  </si>
  <si>
    <t>CHLORELLA-VULGARIS C-27; FREEZING TOLERANCE; TEMPERATE STRAINS; IDENTIFICATION; EMBRYOGENESIS; ICE; GENES; COLD; EVOLUTION; MICROORGANISMS</t>
  </si>
  <si>
    <t>It is known that adaptive evolution in permanently cold environments drives cold adaptation in enzymes. However, how the relatively high enzyme activities were achieved in cold environments prior to cold adaptation of enzymes is unclear. Here we report that an Antarctic strain of Chlorella vulgaris, called NJ-7, acquired the capability to grow at near 0 degrees C temperatures and greatly enhanced freezing tolerance after systematic increases in abundance of enzymes/proteins and positive selection of certain genes. Having diverged from the temperate strain UTEX259 of the same species 2.5 (1.1-4.1) to 2.6 (1.0-4.5) Ma, NJ-7 retained the basic mesophilic characteristics and genome structures. Nitrate reductases in the two strains are highly similar in amino acid sequence and optimal temperature, but the NJ-7 one showed significantly higher abundance and activity. Quantitative proteomic analyses indicated that several cryoprotective proteins (LEA), many enzymes involved in carbon metabolism and a large number of other enzymes/proteins, were more abundant in NJ-7 than in UTEX259. Like nitrate reductase, most of these enzymes were not upregulated in response to cold stress. Thus, compensation of low specific activities by increased enzyme abundance appears to be an important strategy for early stage cold adaptation to Antarctica, but such enzymes are mostly not involved in cold acclimation upon transfer from favorable temperatures to near 0 degrees C temperatures.</t>
  </si>
  <si>
    <t>[Wang, Yali; Liu, Xiaoxiang; Gao, Hong; Xu, Xudong] Chinese Acad Sci, Inst Hydrobiol, State Key Lab Freshwater Ecol &amp; Biotechnol, Wuhan, Hubei, Peoples R China; [Wang, Yali; Gao, Hong; Xu, Xudong] Chinese Acad Sci, Inst Hydrobiol, Key Lab Algal Biol, Wuhan, Hubei, Peoples R China; [Zhang, Hong-Mei; Guo, An-Yuan] Huazhong Univ Sci &amp; Technol, Coll Life Sci &amp; Technol, Wuhan, Hubei, Peoples R China; [Xu, Jian] Chinese Acad Sci, Qingdao Inst Bioenergy &amp; Bioproc Technol, Qingdao, Shandong, Peoples R China</t>
  </si>
  <si>
    <t>Chinese Academy of Sciences; Institute of Hydrobiology, CAS; Chinese Academy of Sciences; Institute of Hydrobiology, CAS; Huazhong University of Science &amp; Technology; Chinese Academy of Sciences; Qingdao Institute of Bioenergy &amp; Bioprocess Technology, CAS</t>
  </si>
  <si>
    <t>Xu, XD (corresponding author), Chinese Acad Sci, Inst Hydrobiol, State Key Lab Freshwater Ecol &amp; Biotechnol, Wuhan, Hubei, Peoples R China.;Xu, XD (corresponding author), Chinese Acad Sci, Inst Hydrobiol, Key Lab Algal Biol, Wuhan, Hubei, Peoples R China.</t>
  </si>
  <si>
    <t>xux@ihb.ac.cn</t>
  </si>
  <si>
    <t>Wang, Yahui/JCO-6233-2023; wang, ya/HQZ-7558-2023; Xu, Jian/G-8430-2012</t>
  </si>
  <si>
    <t>Xu, Jian/0000-0002-0548-8477</t>
  </si>
  <si>
    <t>Knowledge Innovation Project of Hubei Province [2017CFA021]; STS Project of Chinese Academy of Sciences [KFJ-SW-STS-163]; national special support program Wan-Ren-Ji-Hua of China; State Key Laboratory of Freshwater Ecology and Biotechnology at IHB, CAS [2019FBZ06]</t>
  </si>
  <si>
    <t>Knowledge Innovation Project of Hubei Province; STS Project of Chinese Academy of Sciences; national special support program Wan-Ren-Ji-Hua of China; State Key Laboratory of Freshwater Ecology and Biotechnology at IHB, CAS</t>
  </si>
  <si>
    <t>The authors express great gratitude to Guoxiang Liu for his advice on the taxonomic analysis of strains of Chlorella vulgaris based on the ribosomal RNA region. This research was supported by the Knowledge Innovation Project of Hubei Province (2017CFA021), the STS Project of Chinese Academy of Sciences (KFJ-SW-STS-163), the national special support program Wan-Ren-Ji-Hua of China and the State Key Laboratory of Freshwater Ecology and Biotechnology at IHB, CAS (2019FBZ06).</t>
  </si>
  <si>
    <t>0737-4038</t>
  </si>
  <si>
    <t>1537-1719</t>
  </si>
  <si>
    <t>MOL BIOL EVOL</t>
  </si>
  <si>
    <t>Mol. Biol. Evol.</t>
  </si>
  <si>
    <t>10.1093/molbev/msz273</t>
  </si>
  <si>
    <t>Biochemistry &amp; Molecular Biology; Evolutionary Biology; Genetics &amp; Heredity</t>
  </si>
  <si>
    <t>KY0DK</t>
  </si>
  <si>
    <t>WOS:000522244100018</t>
  </si>
  <si>
    <t>Caspermeyer, J</t>
  </si>
  <si>
    <t>Caspermeyer, Joseph</t>
  </si>
  <si>
    <t>How Algae Adapt to the Extreme Antarctic Cold</t>
  </si>
  <si>
    <t>News Item</t>
  </si>
  <si>
    <t>[Caspermeyer, Joseph] MBE Press Off, Oxford, England</t>
  </si>
  <si>
    <t>Caspermeyer, J (corresponding author), MBE Press Off, Oxford, England.</t>
  </si>
  <si>
    <t>MBEpress@gmail.com</t>
  </si>
  <si>
    <t>10.1093/molbev/msaa017</t>
  </si>
  <si>
    <t>WOS:000522244100026</t>
  </si>
  <si>
    <t>Potapowicz, J; Szumiska, D; Szopinska, M; Czapiewski, S; Polkowska, Z</t>
  </si>
  <si>
    <t>Potapowicz, Joanna; Szumiska, Danuta; Szopinska, Malgorzata; Czapiewski, Sebastian; Polkowska, Zaneta</t>
  </si>
  <si>
    <t>ELECTRICAL CONDUCTIVITY AND pH IN SURFACE WATER AS TOOL FOR IDENTIFICATION OF CHEMICAL DIVERSITY</t>
  </si>
  <si>
    <t>ECOLOGICAL CHEMISTRY AND ENGINEERING S-CHEMIA I INZYNIERIA EKOLOGICZNA S</t>
  </si>
  <si>
    <t>surface water; electrical conductivity; pH; Admiralty Bay; Maritime Antarctica</t>
  </si>
  <si>
    <t>KING-GEORGE-ISLAND; SOUTH SHETLAND ISLANDS; ICE-FREE AREA; ANTARCTIC PENINSULA; ADMIRALTY BAY; BELLSUND FJORD; CLIMATE-CHANGE; TRANSPORT; ECOSYSTEMS; POLLUTANTS</t>
  </si>
  <si>
    <t>In the present study, the creeks and lakes located at the western shore of Admiralty Bay were analysed. The impact of various sources of water supply was considered, based on the parameters of temperature, pH and specific electrolytic conductivity (SEC25). All measurements were conducted during a field campaign in January-February 2017. A multivariate dataset was also created and a biplot of SEC25 and pH of the investigated waters was performed. The average temperatures of the investigated waters were 0.10-8.10 degrees C. The pH values indicate that most of the water environments of the analysed area are slightly acidic to alkaline (5.26-8.50) with two exceptions: Siodlo II Creek (9.26) and Petrified Forest Creek (8.95), which are characterised by greater alkalinity. At the measurement points closest to the Baranowski Glacier and Ecology Glacier, SEC25 values were the lowest (26.8-61.1 mu S.cm(-1)), while the remaining values ranged from 79.0 to 382 mu S.cm(-1) for the whole studied area. Based on the results it is concluded that the periodic intensive inflow of ablation waters, combined with morphological changes in the glacier front, causes a significant variability in the outflow network, creating the conditions for changes in basic physicochemical parameters. Moreover, it is observed that local depressions in the terrain form sedimentation traps in which, alongside fine-grained deposits, compounds can accumulate that originate from in situ sedimentation and that are also associated with surface runoff from the melting of snow cover, buried ice and permafrost.</t>
  </si>
  <si>
    <t>[Potapowicz, Joanna; Polkowska, Zaneta] Gdansk Univ Technol, Fac Chem, Dept Analyt Chem, Ul G Narutowicza 11-12, PL-80233 Gdansk, Poland; [Szumiska, Danuta; Czapiewski, Sebastian] Kazimierz Wielki Univ, Inst Geog, Pl Koscielecki 8, PL-85033 Bydgoszcz, Poland; [Szopinska, Malgorzata] Gdansk Univ Technol, Fac Civil &amp; Environm Engn, Dept Water &amp; Waste Water Technol, Ul G Narutowicza 11-12, PL-80233 Gdansk, Poland</t>
  </si>
  <si>
    <t>Fahrenheit Universities; Gdansk University of Technology; Kazimierz Wielki University; Fahrenheit Universities; Gdansk University of Technology</t>
  </si>
  <si>
    <t>Szumiska, D (corresponding author), Kazimierz Wielki Univ, Inst Geog, Pl Koscielecki 8, PL-85033 Bydgoszcz, Poland.</t>
  </si>
  <si>
    <t>potapowicz.joanna@gmail.com; dszum@ukw.edu.pl; seb.czap@ukw.edu.pl; zanpolko@pg.edu.pl</t>
  </si>
  <si>
    <t>Polkowska, Zaneta/AAA-3578-2020; Szumińska, Danuta/AAM-5133-2020; Szopińska, Małgorzata/AAX-9597-2021; Czapiewski, Sebastian/GZH-1035-2022</t>
  </si>
  <si>
    <t>Szumińska, Danuta/0000-0001-7142-9080; Szopińska, Małgorzata/0000-0003-2186-7781; Czapiewski, Sebastian/0000-0001-8010-1378; Polkowska, Zaneta/0000-0002-2730-0068</t>
  </si>
  <si>
    <t>Kazimierz Wielki University in Bydgoszcz [BS2016/5]</t>
  </si>
  <si>
    <t>Kazimierz Wielki University in Bydgoszcz</t>
  </si>
  <si>
    <t>The study was supported by grant No BS2016/5 Transformation of river systems as a result of natural and anthropogenic factors financed at Kazimierz Wielki University in Bydgoszcz. The data used in the paper were collected based at Henryk Arctowski Polish Antarctic Station. The authors would like to thank the staff of the Station for their assistance and companionship during fieldwork in 2017. Also, special thanks to Tomasz Budzik for field assistance and providing the meteorological data from the station located near the Arctowski Polish Antarctic Station. Moreover, the authors would also like to thank the SHIM-POL A.M. Borzymowski for their support during the Antarctic expedition.</t>
  </si>
  <si>
    <t>SOC ECOLOGICAL CHEMISTRY &amp; ENGINEERING</t>
  </si>
  <si>
    <t>OPOLE</t>
  </si>
  <si>
    <t>OPOLE UNIV, OLESKA 48, OPOLE, 45-951, POLAND</t>
  </si>
  <si>
    <t>1898-6196</t>
  </si>
  <si>
    <t>ECOL CHEM ENG S</t>
  </si>
  <si>
    <t>Ecol. Chem. Eng. S-</t>
  </si>
  <si>
    <t>10.2478/eces-2020-0006</t>
  </si>
  <si>
    <t>KY8IJ</t>
  </si>
  <si>
    <t>WOS:000522818700007</t>
  </si>
  <si>
    <t>Riley, TR; Jordan, TA; Leat, PT; Curtis, ML; Millar, IL</t>
  </si>
  <si>
    <t>Riley, Teal R.; Jordan, Tom A.; Leat, Philip T.; Curtis, Mike L.; Millar, Ian L.</t>
  </si>
  <si>
    <t>Magmatism of the Weddell Sea rift system in Antarctica: Implications for the age and mechanism of rifting and early stage Gondwana breakup</t>
  </si>
  <si>
    <t>GONDWANA RESEARCH</t>
  </si>
  <si>
    <t>Gondwana; Back-arc extension; Basalts; Ferrar; Large igneous province</t>
  </si>
  <si>
    <t>LONG-DISTANCE TRANSPORT; LARGE IGNEOUS PROVINCE; FILCHNER-RONNE-SHELF; EASTERN GRAHAM LAND; ZIRCON U-PB; WEST-ANTARCTICA; PENINSULA LITHOSPHERE; TECTONIC EVOLUTION; SILICIC VOLCANISM; CRUSTAL STRUCTURE</t>
  </si>
  <si>
    <t>Thick (similar to 800 m) basaltic successions from the eastern Antarctic Peninsula have been dated in the interval 180-177 Ma and preserve a transition from a continental margin arc to a back-arc extensional setting. Amygdaloidal basalts from the Black Coast region of the eastern margin of the Antarctic Peninsula represent a rare onshore example of magmatism associated with back-arc extension that defines the early phase of Weddell Sea rifting and magmatism, and Gondwana breakup. The early phase of extension in the Weddell Sea rift system has previously been interpreted to be related to back-arc basin development with associated magnetic anomalies attributed to mafic-intermediate magmatism, but with no clearly defined evidence of back-arc magmatism. The analysis provided here identifies the first geochemical evidence of a transition from arc-like basalts to the development of depleted back-arc basin basalts in the interval 180-177 Ma. The exposed Black Coast basaltic successions are interpreted to form a minor component of magmatism that is also defined by onshore sub-ice magnetic anomalies, as well as the extensive magnetic anomalies of the southern Weddell Sea. Back-arc magmatism is also preserved on the Falkland Plateau where intrusions postdating 180 Ma are associated with early phase rifting in the Weddell Sea rift system. Back-arc extension was probably short-lived and had ceased by the time the northern Weddell Sea magmatism was emplaced (&lt;175 Ma) and certainly by 171 Ma, when an episode of silicic magmatism was widespread along the eastern Antarctic Peninsula. Previous attempts to correlate mafic magmatism from the eastern Antarctic Peninsula to the Ferrar large igneous province, or, as part of a bimodal association with the Chon Aike silicic province are both dismissed based on age and geochemical criteria. (c) 2019 International Association for Gondwana Research. Published by Elsevier B.V. All rights reserved.</t>
  </si>
  <si>
    <t>[Riley, Teal R.; Jordan, Tom A.; Leat, Philip T.] British Antarctic Survey, Madingley Rd, Cambridge CB3 0ET, England; [Leat, Philip T.] Univ Leicester, Dept Geol, Univ Rd, Leicester LE1 7RH, Leics, England; [Curtis, Mike L.] CASP, 181A Huntingdon Rd, Cambridge CB3 0DH, England; [Millar, Ian L.] British Geol Survey, Nottingham NG12 5GG, England</t>
  </si>
  <si>
    <t>UK Research &amp; Innovation (UKRI); Natural Environment Research Council (NERC); NERC British Antarctic Survey; University of Leicester; University of Cambridge; UK Research &amp; Innovation (UKRI); Natural Environment Research Council (NERC); NERC British Geological Survey</t>
  </si>
  <si>
    <t>Riley, TR (corresponding author), British Antarctic Survey, Madingley Rd, Cambridge CB3 0ET, England.</t>
  </si>
  <si>
    <t>trr@bas.ac.uk</t>
  </si>
  <si>
    <t>Millar, Ian L/F-1541-2010</t>
  </si>
  <si>
    <t>Riley, Teal/0000-0002-3333-5021</t>
  </si>
  <si>
    <t>Natural Environment Research Council; NERC [bas0100029] Funding Source: UKRI</t>
  </si>
  <si>
    <t>This study is part of the British Antarctic Survey Polar Science for Planet Earth programme, funded by the Natural Environment Research Council. The field and air operations staff at Rothera Research Station in Antarctica are thanked for their support. This paper has benefited from the thoughtful reviews of Ian Dalziel, Wilfried Jokat and Toshiaki Tsunogae.</t>
  </si>
  <si>
    <t>1342-937X</t>
  </si>
  <si>
    <t>1878-0571</t>
  </si>
  <si>
    <t>GONDWANA RES</t>
  </si>
  <si>
    <t>Gondwana Res.</t>
  </si>
  <si>
    <t>10.1016/j.gr.2019.09.014</t>
  </si>
  <si>
    <t>KZ0PM</t>
  </si>
  <si>
    <t>WOS:000522974100010</t>
  </si>
  <si>
    <t>Koo, MH; Kim, MJ; Seo, JE; Kim, JH; Han, SJ; Kim, IC; Lee, JH; Youn, UJ</t>
  </si>
  <si>
    <t>Koo, Man H.; Kim, Min J.; Seo, Jae E.; Kim, Ji H.; Han, Se J.; Kim, Il C.; Lee, Jun H.; Youn, Ui J.</t>
  </si>
  <si>
    <t>A New Chlorinated Phenolic Compound From the Antarctic Lichen, Pertusaria dactylina</t>
  </si>
  <si>
    <t>NATURAL PRODUCT COMMUNICATIONS</t>
  </si>
  <si>
    <t>Pertusaria dactylina; Antarctic lichen; Pertusariaceae; antimicrobial activity; phenolic compound</t>
  </si>
  <si>
    <t>CYCLIZATIONS; DIVERSITY; ACID</t>
  </si>
  <si>
    <t>A new chlorinated phenolic compound, methyl-3-chloro-2-hydroxy-4-methoxy-6-pentylbenzoate (1) and 4 known compounds (2-5) were isolated from the Antarctic lichen, Pertusaria dactylina (Pertusariaceae). The structure of the new compound was determined by means of One-dimensional and two dimensional nuclear magnetic resonance (1D and 2D NMR) and high-resolution fast atom bombardment mass spectrometry (HRFABMS) experiments. The antimicrobial activities of compounds 1 to 5 against Staphylococcus aureus and Candida albicans were evaluated. The results showed that compound 1 exhibited a weak inhibitory effect against C. albicans with an IC50 value of 67 +/- 7 mu g/mL.</t>
  </si>
  <si>
    <t>[Koo, Man H.; Kim, Min J.; Lee, Jun H.] Korea Polar Res Inst, Unit Res Pract Applicat, Incheon, South Korea; [Seo, Jae E.; Kim, Ji H.; Han, Se J.; Kim, Il C.; Lee, Jun H.; Youn, Ui J.] Univ Sci &amp; Technol, Dept Polar Sci, Incheon, South Korea; [Han, Se J.; Youn, Ui J.] KIOST, Div Life Sci, Korea Polar Res Inst, Incheon 21990, South Korea</t>
  </si>
  <si>
    <t>Korea Polar Research Institute (KOPRI); Korea Polar Research Institute (KOPRI); Korea Institute of Ocean Science &amp; Technology (KIOST)</t>
  </si>
  <si>
    <t>Youn, UJ (corresponding author), KIOST, Div Life Sci, Korea Polar Res Inst, Incheon 21990, South Korea.</t>
  </si>
  <si>
    <t>ujyoun@kopri.re.kr</t>
  </si>
  <si>
    <t>Youn, Ui Joung/0000-0001-9338-7934</t>
  </si>
  <si>
    <t>Korea Polar Research Institute, KOPRI [PE19210]</t>
  </si>
  <si>
    <t>Korea Polar Research Institute, KOPRI</t>
  </si>
  <si>
    <t>The author(s) disclosed receipt of the following financial support for the research, authorship, and/or publication of this article: This work was supported by a grant to the Korea Polar Research Institute, KOPRI, under a project (PE19210).</t>
  </si>
  <si>
    <t>SAGE PUBLICATIONS INC</t>
  </si>
  <si>
    <t>THOUSAND OAKS</t>
  </si>
  <si>
    <t>2455 TELLER RD, THOUSAND OAKS, CA 91320 USA</t>
  </si>
  <si>
    <t>1934-578X</t>
  </si>
  <si>
    <t>1555-9475</t>
  </si>
  <si>
    <t>NAT PROD COMMUN</t>
  </si>
  <si>
    <t>Nat. Prod. Commun.</t>
  </si>
  <si>
    <t>1934578X20902886</t>
  </si>
  <si>
    <t>10.1177/1934578X20902886</t>
  </si>
  <si>
    <t>Chemistry, Medicinal; Food Science &amp; Technology</t>
  </si>
  <si>
    <t>Pharmacology &amp; Pharmacy; Food Science &amp; Technology</t>
  </si>
  <si>
    <t>LA7TF</t>
  </si>
  <si>
    <t>WOS:000524145500001</t>
  </si>
  <si>
    <t>Rasmussen, DJ; Buchanan, MK; Kopp, RE; Oppenheimer, M</t>
  </si>
  <si>
    <t>Rasmussen, D. J.; Buchanan, Maya K.; Kopp, Robert E.; Oppenheimer, Michael</t>
  </si>
  <si>
    <t>A Flood Damage Allowance Framework for Coastal Protection With Deep Uncertainty in Sea Level Rise</t>
  </si>
  <si>
    <t>EARTHS FUTURE</t>
  </si>
  <si>
    <t>sea level rise; coastal flooding; Antarctica; deep uncertainty; damage; public policy</t>
  </si>
  <si>
    <t>YORK-CITY PANEL; CLIMATE-CHANGE; ADAPTATION; PROJECTIONS; CONSEQUENCES; AMBIGUITY; PATHWAYS; COSTS</t>
  </si>
  <si>
    <t>Deep uncertainty describes situations when there is either ignorance or disagreement over (1) models used to describe key system processes and (2) probability distributions used to characterize the uncertainty of key variables and parameters. Future projections of Antarctic ice sheet (AIS) mass loss remain characterized by deep uncertainty. This complicates decisions on long-lived coastal protection projects when determining what margin of safety to implement. If the chosen margin of safety does not properly account for uncertainties in sea level rise, the effectiveness of flood protection could decrease over time, potentially putting lives and properties at a greater risk. To address this issue, we develop a flood damage allowance framework for calculating the height of a flood protection strategy needed to ensure that a given level of financial risk is maintained. The damage allowance framework considers decision maker preferences such as planning horizons, protection strategies, and subjective views of AIS stability. We use Manhattan-with the population and built environment fixed in time-to illustrate how our framework could be used to calculate a range of damage allowances based on multiple plausible scenarios of AIS melt. Under high greenhouse gas emissions, we find that results are sensitive to the selection of the upper limit of AIS contributions to sea level rise. Design metrics that specify financial risk targets, such as expected flood damage, allow for the calculation of avoided flood damages (i.e., benefits) that can be combined with estimates of construction cost and then integrated into existing financial decision-making approaches (e.g., benefit-cost analysis).</t>
  </si>
  <si>
    <t>[Rasmussen, D. J.; Oppenheimer, Michael] Princeton Univ, Woodrow Wilson Sch Publ &amp; Int Affairs, Princeton, NJ 08544 USA; [Buchanan, Maya K.] Climate Cent, Princeton, NJ USA; [Kopp, Robert E.] Rutgers State Univ, Dept Earth &amp; Planetary Sci, Piscataway, NJ USA; [Kopp, Robert E.] Rutgers State Univ, Inst Earth Ocean &amp; Atmospher Sci, New Brunswick, NJ USA; [Oppenheimer, Michael] Princeton Univ, Dept Geosci, Princeton, NJ USA</t>
  </si>
  <si>
    <t>Princeton University; Rutgers University System; Rutgers University New Brunswick; Rutgers University System; Rutgers University New Brunswick; Princeton University</t>
  </si>
  <si>
    <t>Rasmussen, DJ (corresponding author), Princeton Univ, Woodrow Wilson Sch Publ &amp; Int Affairs, Princeton, NJ 08544 USA.</t>
  </si>
  <si>
    <t>dj.rasmussen@princeton.edu</t>
  </si>
  <si>
    <t>Kopp, Robert E/B-8822-2008</t>
  </si>
  <si>
    <t>Oppenheimer, Michael/0000-0002-9708-5914; Rasmussen, D.J./0000-0003-4668-5749; Buchanan, Maya/0000-0001-9806-1132; Kopp, Robert/0000-0003-4016-9428</t>
  </si>
  <si>
    <t>Science, Technology, and Environmental Policy (STEP) Program at Princeton University; National Science Foundation [ICER-1663807, 1520683]; National Aeronautics and Space Administration [80NSSC17K0698]</t>
  </si>
  <si>
    <t>Science, Technology, and Environmental Policy (STEP) Program at Princeton University; National Science Foundation(National Science Foundation (NSF)); National Aeronautics and Space Administration(National Aeronautics &amp; Space Administration (NASA))</t>
  </si>
  <si>
    <t>The authors would like to thank three anonymous reviewers for their helpful comments. D. J. R. was supported by the Science, Technology, and Environmental Policy (STEP) Program at Princeton University. R. E. K. was supported by grants from the National Science Foundation (ICER-1663807) and National Aeronautics and Space Administration (80NSSC17K0698). M. O. acknowledges support from the National Science Foundation, Award 1520683. Code for generating sea level projections is available in the ProjectSL (https://github.com/bobkopp/ProjectSL) and LocalizeSL (https://github.com/bobkopp/LocalizeSL) repositories on Github. Code for generating extreme sea level projections is available in the hawaiiSL_process (https://github.com/dmr2/hawaiiSL &amp; urluscore;process), GPDfit (https://github.com/dmr2/GPDfit), and return_curves (https://github.com/dmr2/return &amp; urluscore; curves) repositories on Github. Code for generating the damage allowances is available in the damage_allowance (https://github.com/dmr2/damage&amp; urluscore;allowance) repository on Github.</t>
  </si>
  <si>
    <t>2328-4277</t>
  </si>
  <si>
    <t>Earth Future</t>
  </si>
  <si>
    <t>UNSP e2019EF001340</t>
  </si>
  <si>
    <t>10.1029/2019EF001340</t>
  </si>
  <si>
    <t>Environmental Sciences; Geosciences, Multidisciplinary; Meteorology &amp; Atmospheric Sciences</t>
  </si>
  <si>
    <t>Environmental Sciences &amp; Ecology; Geology; Meteorology &amp; Atmospheric Sciences</t>
  </si>
  <si>
    <t>KX9OS</t>
  </si>
  <si>
    <t>WOS:000522205300010</t>
  </si>
  <si>
    <t>Vick-Majors, TJ; Michaud, AB; Skidmore, ML; Turetta, C; Barbante, C; Christner, BC; Dore, JE; Christianson, K; Mitchell, AC; Achberger, AM; Mikucki, JA; Pris, JC</t>
  </si>
  <si>
    <t>Vick-Majors, Trista J.; Michaud, Alexander B.; Skidmore, Mark L.; Turetta, Clara; Barbante, Carlo; Christner, Brent C.; Dore, John E.; Christianson, Knut; Mitchell, Andrew C.; Achberger, Amanda M.; Mikucki, Jill A.; Pris, John C.</t>
  </si>
  <si>
    <t>Biogeochemical Connectivity Between Freshwater Ecosystems beneath the West Antarctic Ice Sheet and the Sub-Ice Marine Environment</t>
  </si>
  <si>
    <t>GLOBAL BIOGEOCHEMICAL CYCLES</t>
  </si>
  <si>
    <t>subglacial; organic matter; Antarctica; ice-shelf-cavity</t>
  </si>
  <si>
    <t>DISSOLVED ORGANIC-MATTER; SUBGLACIAL LAKE WHILLANS; ACTIVE RESERVOIR BENEATH; FLUORESCENCE SPECTROSCOPY; DRILL SYSTEM; MELT RATES; CARBON; NITROGEN; SHELF; PHOSPHORUS</t>
  </si>
  <si>
    <t>Although subglacial aquatic environments are widespread beneath the Antarctic ice sheet, subglacial biogeochemistry is not well understood, and the contribution of subglacial water to coastal ocean carbon and nutrient cycling remains poorly constrained. The Whillans Subglacial Lake (SLW) ecosystem is upstream from West Antarctica's Gould-Siple Coast 800 m beneath the surface of the Whillans Ice Stream. SLW hosts an active microbial ecosystem and is part of an active hydrological system that drains into the marine cavity beneath the adjacent Ross Ice Shelf. Here we examine sources and sinks for organic matter in the lake and estimate the freshwater carbon and nutrient delivery from discharges into the coastal embayment. Fluorescence-based characterization of dissolved organic matter revealed microbially driven differences between sediment pore waters and lake water, with an increasing contribution from relict humic-like dissolved organic matter with sediment depth. Mass balance calculations indicated that the pool of dissolved organic carbon in the SLW water column could be produced in 4.8 to 11.9 yr, which is a time frame similar to that of the lakes' fill-drain cycle. Based on these estimates, subglacial lake water discharged at the Siple Coast could supply an average of 5,400% more than the heterotrophic carbon demand within Siple Coast embayments (6.5% for the entire Ross Ice Shelf cavity). Our results suggest that subglacial discharge represents a heretofore unappreciated source of microbially processed dissolved organic carbon and other nutrients to the Southern Ocean. Plain Language Summary Antarctica's thick ice sheets cover a continent rich with liquid water. These subglacial aquatic environments are home to microbial ecosystems that process organic matter and nutrients important for all life. At the same time, subglacial water in Antarctica actively flows between basins and from subglacial basins to the edge of the continent where it mixes with seawater in coastal areas covered by ice shelves. The waters under these ice shelves are cold, dark, and contain low concentrations of organic carbon and nutrients. We used data from Whillans Subglacial Lake, which lies 800 m beneath the ice of West Antarctica, to understand the sources, sinks, and accumulation of organic matter in Antarctic subglacial aquatic environments. We then combined data from the same lake with data on subglacial hydrology in the region to determine whether inputs of subglacial organic matter and nutrients could be important in supporting life in the dark waters beneath the adjacent ice shelf. We found that the input of fresh water from the Antarctic continent to the surrounding ocean can meet the microbial demand for organic carbon and nutrients under the ice shelf. This work has implications for our understanding of Antarctica's influence on biology in the Southern Ocean.</t>
  </si>
  <si>
    <t>[Vick-Majors, Trista J.] Michigan Technol Univ, Dept Biol Sci, Houghton, MI 49931 USA; [Michaud, Alexander B.; Dore, John E.; Pris, John C.] Montana State Univ, Dept Land Resources &amp; Environm Sci, Bozeman, MT 59717 USA; [Michaud, Alexander B.] Bigelow Lab Ocean Sci, East Boothbay, ME USA; [Skidmore, Mark L.] Montana State Univ, Dept Earth Sci, Bozeman, MT 59717 USA; [Turetta, Clara; Barbante, Carlo] CNR, Inst Dynam Environm Proc, Venice, Italy; [Turetta, Clara] CNR, Inst Polar Sci, Venice, Italy; [Barbante, Carlo] Ca Foscari Univ Venice, Dept Environm Sci Informat &amp; Stat, Venice, Italy; [Christner, Brent C.; Achberger, Amanda M.] Louisiana State Univ, Dept Biol Sci, Baton Rouge, LA 70803 USA; [Christner, Brent C.] Univ Florida, Dept Microbiol &amp; Cell Sci, Biodivers Inst, Gainesville, FL 32611 USA; [Christianson, Knut] Univ Washington, Dept Earth &amp; Space Sci, Seattle, WA 98195 USA; [Mitchell, Andrew C.] Aberystwyth Univ, Dept Geog &amp; Earth Sci, Aberystwyth, Dyfed, Wales; [Achberger, Amanda M.] Texas A&amp;M Univ, Dept Oceanog, College Stn, TX 77843 USA; [Mikucki, Jill A.] Univ Tennessee, Dept Microbiol, Knoxville, TN 37996 USA</t>
  </si>
  <si>
    <t>Michigan Technological University; Montana State University System; Montana State University Bozeman; Bigelow Laboratory for Ocean Sciences; Montana State University System; Montana State University Bozeman; Consiglio Nazionale delle Ricerche (CNR); Istituto per la Dinamica dei Processi Ambientali (IDPA-CNR); Consiglio Nazionale delle Ricerche (CNR); Istituto di Scienze Polari (ISP-CNR); Universita Ca Foscari Venezia; Louisiana State University System; Louisiana State University; State University System of Florida; University of Florida; University of Washington; University of Washington Seattle; Aberystwyth University; Texas A&amp;M University System; Texas A&amp;M University College Station; University of Tennessee System; University of Tennessee Knoxville</t>
  </si>
  <si>
    <t>Vick-Majors, TJ (corresponding author), Michigan Technol Univ, Dept Biol Sci, Houghton, MI 49931 USA.</t>
  </si>
  <si>
    <t>tjvickma@mtu.edu</t>
  </si>
  <si>
    <t>Turetta, Clara/O-2849-2015; Michaud, Alex/AAC-4890-2020; Vick-Majors, Trista/AAQ-6258-2020; Barbante, Carlo/B-3195-2011</t>
  </si>
  <si>
    <t>Turetta, Clara/0000-0003-3130-2901; Michaud, Alex/0000-0001-5714-8741; Vick-Majors, Trista/0000-0002-6868-4010; Achberger, Amanda/0000-0001-5738-2255; Barbante, Carlo/0000-0003-4177-2288</t>
  </si>
  <si>
    <t>National Science Foundation from the Division of Polar Programs [0838933, 0838896, 0838941, 0839142, 0839059, 0838885, 0838855, 0838763, 0839107, 0838947, 0838854, 0838764, 1142123]; NSF-IGERT [0654336]; Montana Space Grant Consortium; NSF-CDEBI; American Association of University Women, Montana Institute on Ecosystems; Michigan Technological University; NSF-GRFP; Ser Cymru National Research Network for Low Carbon, Energy; Welsh Government; Higher Education Funding Council for Wales; Directorate For Geosciences; Division Of Polar Programs [0838933, 0838854] Funding Source: National Science Foundation; Division Of Polar Programs; Directorate For Geosciences [0838941] Funding Source: National Science Foundation; Office of Polar Programs (OPP); Directorate For Geosciences [0838764, 0838763] Funding Source: National Science Foundation; Office of Polar Programs (OPP); Directorate For Geosciences [0839059, 0838947, 0839107, 0838885, 1142123, 0838855, 0838896, 0839142] Funding Source: National Science Foundation</t>
  </si>
  <si>
    <t>National Science Foundation from the Division of Polar Programs(National Science Foundation (NSF)); NSF-IGERT(National Science Foundation (NSF)); Montana Space Grant Consortium; NSF-CDEBI; American Association of University Women, Montana Institute on Ecosystems; Michigan Technological University; NSF-GRFP(National Science Foundation (NSF)NSF - Office of the Director (OD)); Ser Cymru National Research Network for Low Carbon, Energy; Welsh Government; Higher Education Funding Council for Wales(UK Research &amp; Innovation (UKRI)Higher Education Funding Council for England (HEFCE)); Directorate For Geosciences; Division Of Polar Programs(National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</si>
  <si>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The Whillans Ice Stream Subglacial Access Research Drilling (WISSARD) project was funded by National Science Foundation Grants (0838933, 0838896, 0838941, 0839142, 0839059, 0838885, 0838855, 0838763, 0839107, 0838947, 0838854, 0838764, and 1142123) from the Division of Polar Programs. Partial support was provided by NSF-IGERT (0654336), Montana Space Grant Consortium and NSF-CDEBI (A. B. M.); American Association of University Women, Montana Institute on Ecosystems, Start-up funding from Michigan Technological University (T. J. V.-M.); NSF-GRFP (A. M. A.); Ser Cymru National Research Network for Low Carbon, Energy and the Environment Grant from the Welsh Government and Higher Education Funding Council for Wales (A. C. M.). We thank the WISSARD Science Team (wissard.org for list of members) for their assistance, B. Zook and J. Burnett (Deep SCINI) for GZ imagery, R. Scherer and R. Powell for sediment cores, and R. Vogt for comments. Logistics were provided by the 139th Expeditionary Airlift Squadron of the New York Air National Guard, Kenn Borek Air, and by the Antarctic Support Contractor, Lockheed-Martin. Hot water drill support was provided by the University of Nebraska-Lincoln, directed by F. Rack and D. Duling (chief driller), with D. Blythe, J. Burnett, C. Carpenter, D. Gibson, J. Lemery, A. Melby, and G. Roberts. The authors also thank two anonymous reviewers for constructive comments. The data generated and analyzed in this study are deposited in the mARS database (http://ipt.biodiversity.aq/resource.do? r=gbase) and in the OpenFluor database (openfluor.lablicate.come) under ID628.</t>
  </si>
  <si>
    <t>0886-6236</t>
  </si>
  <si>
    <t>1944-9224</t>
  </si>
  <si>
    <t>GLOBAL BIOGEOCHEM CY</t>
  </si>
  <si>
    <t>Glob. Biogeochem. Cycle</t>
  </si>
  <si>
    <t>e2019GB006446</t>
  </si>
  <si>
    <t>10.1029/2019GB006446</t>
  </si>
  <si>
    <t>KX7BE</t>
  </si>
  <si>
    <t>WOS:000522031600002</t>
  </si>
  <si>
    <t>Kim, Y; Lee, I; Oyungerel, S; Altanzul, C; Jargal, L; Kim, NK</t>
  </si>
  <si>
    <t>Kim, Yeongmin; Lee, Insung; Oyungerel, Sodnom; Altanzul, Chikalov; Jargal, Luvsanchultem; Kim, Nak Kyu</t>
  </si>
  <si>
    <t>Geology, mineralogy and stable isotope geochemistry of the Dzuunmod area in northern Mongolia: Constraints for gold ore genesis and sources</t>
  </si>
  <si>
    <t>ORE GEOLOGY REVIEWS</t>
  </si>
  <si>
    <t>Dzuunmod area; Orogenic gold; Stable isotope geochemistry; Ore genesis; Mongolia</t>
  </si>
  <si>
    <t>OROGENIC GOLD; SULFUR ISOTOPES; ARSENIAN PYRITE; FLUID EVOLUTION; INNER-MONGOLIA; OKHOTSK OCEAN; DEPOSIT; BELT; CHINA; MINERALIZATION</t>
  </si>
  <si>
    <t>The Dzuunmod area located in the North Khentii Gold belt (NKGB) of northern Mongolia includes lode gold deposits such as Gatsuurt, Sujigtei and Boroo with several minor gold deposits and occurrences. They show similar hydrothermal alteration assemblages (sericitic, siliceous and potassic) and ore mineral assemblages (pyrite and arsenopyrite with minor amount of galena, sphalerite and chalcopyrite). Gold occurs as native form and invisible gold in pyrite and arsenopyrite. The major sulfide minerals are separated into earlier non-auriferous stage and later auriferous grains containing invisible gold. Native gold postdates the major sulfide mineralization. Gold and arsenic content of pyrite grains indicates that gold exists mainly as solid solution form (Au+1) in the Gatsuurt and Boroo deposit whereas gold nanoparticle (Au-0) is present in the Sujigtei deposit. High Co/Ni and Mo/Ni ratios of pyrite grain suggest a post-sedimentary or hydrothermal origin and the ore-forming fluid was significantly affected by fluid-host rock interactions during mineralization processes. Large variation of delta S-34 values of pyrite and arsenopyrite from -2.6 parts per thousand to 17.2 parts per thousand, indicates that sulfur seems to be mainly derived from a source with heterogeneous sulfur isotope composition, even though the role of magmatic sulfur as one of possible sulfur sources cannot be ruled out. Consistent with geological evidence, relatively positive delta S-34 values suggest that sulfidation plays an important role for gold and sulfide precipitation. The calculated delta O-18 values of hydrothermal fluid from the measured delta O-18 values of quartz samples (from 14.7 parts per thousand to 17.7 parts per thousand indicate a metamorphic derivation of ore-forming fluid. Gold mineralization processes in the Dzuunmod area seem to occur several times by multiple input of hydrothermal fluid and fluid-host rock interactions. The gold deposits in the Dzuunmod area are considered to be orogenic gold type influenced by fluid-host rock interactions in the deposit area.</t>
  </si>
  <si>
    <t>[Kim, Yeongmin; Lee, Insung; Oyungerel, Sodnom] Seoul Natl Univ, Sch Earth &amp; Environm Sci, Seoul 08826, South Korea; [Oyungerel, Sodnom; Altanzul, Chikalov; Jargal, Luvsanchultem] Natl Univ Mongolia, Sch Arts &amp; Sci, Ulaanbaatar 14021, Mongolia; [Altanzul, Chikalov] Centerra Gold Mongolia, Ulaanbaatar, Mongolia; [Kim, Nak Kyu] Korea Polar Res Inst, Unit Antarctic K Route Expedit, Incheon 21990, South Korea; [Kim, Yeongmin] Korea Basic Sci Inst, Res Ctr Geochronol &amp; Isotope Anal, Ochang 28119, South Korea</t>
  </si>
  <si>
    <t>Seoul National University (SNU); National University of Mongolia; Korea Polar Research Institute (KOPRI); Korea Basic Science Institute (KBSI)</t>
  </si>
  <si>
    <t>Lee, I (corresponding author), Seoul Natl Univ, Sch Earth &amp; Environm Sci, Seoul 08826, South Korea.</t>
  </si>
  <si>
    <t>insung@snu.ac.kr</t>
  </si>
  <si>
    <t>Kim, Yeongmin/AAA-8569-2022</t>
  </si>
  <si>
    <t>Kim, Nak Kyu/0000-0002-2882-068X</t>
  </si>
  <si>
    <t>National Research Foundation of Korea [NRF-2014K1A3A1A08045036]; Ministry of Ocean and Fisheries, Korea [20140409, PM18030]; Mongolian Science and Technology Fund [COR_03/2015]</t>
  </si>
  <si>
    <t>National Research Foundation of Korea(National Research Foundation of Korea); Ministry of Ocean and Fisheries, Korea; Mongolian Science and Technology Fund</t>
  </si>
  <si>
    <t>This research is supported by projects NRF-2014K1A3A1A08045036 from the National Research Foundation of Korea, 20140409, PM18030 from the Ministry of Ocean and Fisheries, Korea and Korea-Mongolia joint research project COR_03/2015 from Mongolian Science and Technology Fund. The author Y.M. Kim thanks the BK 21 program of the School of Earth and Environmental Sciences, Seoul National University.</t>
  </si>
  <si>
    <t>0169-1368</t>
  </si>
  <si>
    <t>1872-7360</t>
  </si>
  <si>
    <t>ORE GEOL REV</t>
  </si>
  <si>
    <t>Ore Geol. Rev.</t>
  </si>
  <si>
    <t>10.1016/j.oregeorev.2019.103213</t>
  </si>
  <si>
    <t>Geology; Mineralogy; Mining &amp; Mineral Processing</t>
  </si>
  <si>
    <t>KT0OD</t>
  </si>
  <si>
    <t>WOS:000518709000023</t>
  </si>
  <si>
    <t>Das, I; Padman, L; Bell, RE; Fricker, HA; Tinto, KJ; Hulbe, CL; Siddoway, CS; Dhakal, T; Frearson, NP; Mosbeux, C; Cordero, SI; Siegfried, MR</t>
  </si>
  <si>
    <t>Das, Indrani; Padman, Laurie; Bell, Robin E.; Fricker, Helen A.; Tinto, Kirsty J.; Hulbe, Christina L.; Siddoway, Christine S.; Dhakal, Tejendra; Frearson, Nicholas P.; Mosbeux, Cyrille; Cordero, S. Isabel; Siegfried, Matthew R.</t>
  </si>
  <si>
    <t>Multidecadal Basal Melt Rates and Structure of the Ross Ice Shelf, Antarctica, Using Airborne Ice Penetrating Radar</t>
  </si>
  <si>
    <t>JOURNAL OF GEOPHYSICAL RESEARCH-EARTH SURFACE</t>
  </si>
  <si>
    <t>ice shelf; basal melt; strain rates; airborne radar; ELMER; ice model; RIGGS</t>
  </si>
  <si>
    <t>WEST ANTARCTICA; GROUNDING-LINE; MASS-BALANCE; BENEATH; FLOW; GLACIER; STREAM; MODEL; VARIABILITY; DRIVEN</t>
  </si>
  <si>
    <t>Basal melting of ice shelves is a major source of mass loss from the Antarctic Ice Sheet. In situ measurements of ice shelf basal melt rates are sparse, while the more extensive estimates from satellite altimetry require precise information about firn density and characteristics of near-surface layers. We describe a novel method for estimating multidecadal basal melt rates using airborne ice penetrating radar data acquired during a 3-year survey of the Ross Ice Shelf. These data revealed an ice column with distinct upper and lower units whose thicknesses change as ice flows from the grounding line toward the ice front. We interpret the lower unit as continental meteoric ice that has flowed across the grounding line and the upper unit as ice formed from snowfall onto the relatively flat ice shelf. We used the ice thickness difference and strain-induced thickness change of the lower unit between the survey lines, combined with ice velocities, to derive basal melt rates averaged over one to six decades. Our results are similar to satellite laser altimetry estimates for the period 2003-2009, suggesting that the Ross Ice Shelf melt rates have been fairly stable for several decades. We identify five sites of elevated basal melt rates, in the range 0.5-2 m a(-1), near the ice shelf front. These hot spots indicate pathways into the sub-ice-shelf ocean cavity for warm seawater, likely a combination of summer-warmed Antarctic Surface Water and modified Circumpolar Deep Water, and are potential areas of ice shelf weakening if the ocean warms.</t>
  </si>
  <si>
    <t>[Das, Indrani; Bell, Robin E.; Tinto, Kirsty J.; Dhakal, Tejendra; Frearson, Nicholas P.; Cordero, S. Isabel] Columbia Univ, Lamont Doherty Earth Observ, Palisades, NY 10964 USA; [Padman, Laurie] Earth &amp; Space Res, Corvallis, OR USA; [Fricker, Helen A.; Mosbeux, Cyrille] Scripps Inst Oceanog, San Diego, CA USA; [Hulbe, Christina L.] Univ Otago, Dunedin, New Zealand; [Siddoway, Christine S.] Colorado Coll, Colorado Springs, CO 80903 USA; [Siegfried, Matthew R.] Colorado Sch Mines, Golden, CO 80401 USA</t>
  </si>
  <si>
    <t>Columbia University; University of California System; University of California San Diego; Scripps Institution of Oceanography; University of Otago; Colorado College; Colorado School of Mines</t>
  </si>
  <si>
    <t>Das, I (corresponding author), Columbia Univ, Lamont Doherty Earth Observ, Palisades, NY 10964 USA.</t>
  </si>
  <si>
    <t>indrani@ldeo.columbia.edu</t>
  </si>
  <si>
    <t>Padman, Laurence/AAH-3808-2021; Siddoway, Christine/HKV-0895-2023</t>
  </si>
  <si>
    <t>Fricker, Helen Amanda/0000-0002-0921-1432; Mosbeux, Cyrille/0009-0005-3075-7754; Siddoway, Christine Smith/0000-0003-0478-6138; Hulbe, Christina/0000-0003-4765-7037; Cordero, Isabel/0000-0003-4187-3281; Padman, Laurence/0000-0003-2010-642X</t>
  </si>
  <si>
    <t>NSF [0958658, 1443543, 1443677, 1443497, TG-DPP170004]; Gordon and Betty Moore Foundation; Vetlesen Foundation [NSF-1643970]; NASA [NNX17AG63G]; New Zealand Antarctic Research Institute [NZARI 2014-11]; Directorate For Geosciences; Office of Polar Programs (OPP) [1443497, 0958658] Funding Source: National Science Foundation; Directorate For Geosciences; Office of Polar Programs (OPP) [1443677] Funding Source: National Science Foundation</t>
  </si>
  <si>
    <t>NSF(National Science Foundation (NSF)); Gordon and Betty Moore Foundation(Gordon and Betty Moore Foundation); Vetlesen Foundation; NASA(National Aeronautics &amp; Space Administration (NASA)); New Zealand Antarctic Research Institute; Directorate For Geosciences; Office of Polar Programs (OPP)(National Science Foundation (NSF)NSF - Directorate for Geosciences (GEO)); Directorate For Geosciences; Office of Polar Programs (OPP)(National Science Foundation (NSF)NSF - Directorate for Geosciences (GEO))</t>
  </si>
  <si>
    <t>The ROSETTA-Ice team acknowledges support from NSF Grants 0958658, 1443543, 1443677, and 1443497 and the Gordon and Betty Moore Foundation. I. D. also acknowledges additional support from the Vetlesen Foundation and NSF-1643970. L. P., H. A. F., C. M., and M. S. acknowledge additional support from NASA Grant NNX17AG63G. C. H. acknowledges the New Zealand Antarctic Research Institute (NZARI 2014-11) funded Aotearoa New Zealand Ross Ice Shelf Programme. This work used the Extreme Science and Engineering Environment (XSEDE), supported by NSF grant TG-DPP170004. The team acknowledges logistics support from the New York Air National Guard, United States Antarctic Program and the Support staff at McMurdo station. We acknowledge help from Skye Keeshin, Gina Jozef, Tristan White, Alec Lockett, Sara Lytle, Chris Bertinato, Jonny Kingslake, Martin Wearing, John Paden, Joanna Milstein, Joel Wilner, Winnie Chu, Sarah Starke, LingLing Dong, Caitlin Locke, Dave Porter, Susan Howard, Roger Buck, and Scott Springer. Satellite velocity data are from https://nsidc.org/data/nsidc0484/versions/2 website. IceBridge radar data were downloaded from the CReSIS website (https://data.cresis.ku.edu/#RDS).REMA data were downloaded from https://www.pgc.umn.edu/data/rema/website.We acknowledge all personnel responsible for the satellite velocity, IceBridge, and REMA data products. All data sets produced in this work are archived at the USAP-DC site (http://www.usap-dc.org/view/dataset/601242).</t>
  </si>
  <si>
    <t>2169-9003</t>
  </si>
  <si>
    <t>2169-9011</t>
  </si>
  <si>
    <t>J GEOPHYS RES-EARTH</t>
  </si>
  <si>
    <t>J. Geophys. Res.-Earth Surf.</t>
  </si>
  <si>
    <t>e2019JF005241</t>
  </si>
  <si>
    <t>10.1029/2019JF005241</t>
  </si>
  <si>
    <t>KX7QE</t>
  </si>
  <si>
    <t>WOS:000522071000006</t>
  </si>
  <si>
    <t>MacKie, EJ; Schroeder, DM; Caers, J; Siegfried, MR; Scheidt, C</t>
  </si>
  <si>
    <t>MacKie, E. J.; Schroeder, D. M.; Caers, J.; Siegfried, M. R.; Scheidt, C.</t>
  </si>
  <si>
    <t>Antarctic Topographic Realizations and Geostatistical Modeling Used to Map Subglacial Lakes</t>
  </si>
  <si>
    <t>subglacial lakes; subglacial topography; multiple-point geostatistics; logistic regression; uncertainty quantification</t>
  </si>
  <si>
    <t>BENEATH THWAITES GLACIER; CONDITIONAL SIMULATION; ICE-SHEET; WEST ANTARCTICA; WATER STORAGE; BED ROUGHNESS; SURFACE; INVENTORY; IDENTIFICATION; REGRESSION</t>
  </si>
  <si>
    <t>Antarctic subglacial lakes can play an important role in ice sheet dynamics, biology, geology, and oceanography, but it is difficult to definitively constrain their character and locations. Subglacial lake locations are related to factors including heat flux, ice surface slope, ice thickness, and bed topography, though these relationships are not fully quantified. Bed topography is particularly important for determining where water flows and accumulates, but digital elevation models of the ice sheet bed rely on interpolation and are unrealistically smooth, biasing estimates of subglacial lake location and surface area. To address this issue, we use geostatistical methods to simulate realistically rough bed topography. We use our simulated topography to predict subglacial lake distribution across the continent using a binomial logistic regression, which uses physical parameters and known lake locations to calculate the probabilities of lake occurrences. Our results suggest that topography models interpolated without appropriate geostatistics overestimate subglacial lake surface area and that total lake surface area is lower than previously predicted. We find that radar-detected lakes are more likely to occur in the interior of East Antarctica, while altimetry-detected (active) lakes are expected to be found in West Antarctica and near the grounding line. We observe that radar-detected lakes have a high correlation with heat flux and ice thickness, while active lakes are associated with higher ice velocity.</t>
  </si>
  <si>
    <t>[MacKie, E. J.; Schroeder, D. M.; Siegfried, M. R.] Stanford Univ, Dept Geophys, Stanford, CA 94305 USA; [Schroeder, D. M.] Stanford Univ, Dept Elect Engn, Stanford, CA 94305 USA; [Caers, J.] Stanford Univ, Dept Geol Sci, Stanford, CA 94305 USA; [Siegfried, M. R.] Colorado Sch Mines, Dept Geophys, Golden, CO 80401 USA; [Scheidt, C.] Stanford Univ, Dept Energy Resources Engn, Stanford, CA 94305 USA</t>
  </si>
  <si>
    <t>Stanford University; Stanford University; Stanford University; Colorado School of Mines; Stanford University</t>
  </si>
  <si>
    <t>MacKie, EJ (corresponding author), Stanford Univ, Dept Geophys, Stanford, CA 94305 USA.</t>
  </si>
  <si>
    <t>mackie3@stanford.edu</t>
  </si>
  <si>
    <t>Caers, Jef/B-1583-2012</t>
  </si>
  <si>
    <t>MacKie, Emma/0000-0002-6303-5249; Schroeder, Dustin/0000-0003-1916-3929</t>
  </si>
  <si>
    <t>NSF [1745137, ACI-1443054]; George Thompson Postdoctoral Fellowship; NASA [NNX17AI03G]; University of Kansas; NASA Operation IceBridge Grant [NNX16AH54G]; Lilly Endowment Incorporated; Indiana METACyt Initiative; Directorate For Geosciences; Office of Polar Programs (OPP) [1745137] Funding Source: National Science Foundation; NASA [NNX16AH54G, 901711] Funding Source: Federal RePORTER</t>
  </si>
  <si>
    <t>NSF(National Science Foundation (NSF)); George Thompson Postdoctoral Fellowship; NASA(National Aeronautics &amp; Space Administration (NASA)); University of Kansas; NASA Operation IceBridge Grant; Lilly Endowment Incorporated; Indiana METACyt Initiative; Directorate For Geosciences; Office of Polar Programs (OPP)(National Science Foundation (NSF)NSF - Directorate for Geosciences (GEO)); NASA(National Aeronautics &amp; Space Administration (NASA))</t>
  </si>
  <si>
    <t>This research was supported by NSF Award 1745137. M. R. S. was supported in part by the George Thompson Postdoctoral Fellowship and NASA Grant NNX17AI03G. We acknowledge the use of data and/or data products from CReSIS generated with support from the University of Kansas, NASA Operation IceBridge Grant NNX16AH54G, NSF Grant ACI-1443054, Lilly Endowment Incorporated, and Indiana METACyt Initiative. We thank Karen Alley for providing us with strain rate data. We appreciate the constructive reviews by John Goff and two anonymous reviewers. We would also like to thank the United States Antarctic Program for hosting our data in their repository. See http://www.usap-dc.org/view/dataset/601213 for data products generated by this study.</t>
  </si>
  <si>
    <t>e2019JF005420</t>
  </si>
  <si>
    <t>10.1029/2019JF005420</t>
  </si>
  <si>
    <t>WOS:000522071000007</t>
  </si>
  <si>
    <t>Han, L; Huang, RX</t>
  </si>
  <si>
    <t>Han, Lei; Huang, Rui Xin</t>
  </si>
  <si>
    <t>Using the Helmholtz Decomposition to Define the Indian Ocean Meridional Overturning Streamfunction</t>
  </si>
  <si>
    <t>JOURNAL OF PHYSICAL OCEANOGRAPHY</t>
  </si>
  <si>
    <t>Meridional overturning circulation; Ocean circulation; Streamfunction</t>
  </si>
  <si>
    <t>NORTH-ATLANTIC; HEAT-TRANSPORT; CIRCULATION; ASSIMILATION; OSCILLATIONS; CYCLES</t>
  </si>
  <si>
    <t>The zonally integrated flow in a basin can be separated into the divergent/nondivergent parts, and a uniquely defined meridional overturning circulation (MOC) can be calculated. For a basin with significant volume exchange at zonal open boundaries, this method is competent in removing the components associated with the nonzero source terms due to zonal transports at open boundaries. This method was applied to the zonally integrated flow in the Indian Ocean basin extended all the way to the Antarctic by virtue of the ECCO dataset. The contributions due to two major zonal flow systems at open boundaries, the Indonesian Throughflow (ITF) and the Antarctic Circumpolar Current (ACC), were well separated from the rotational flow component, and a nondivergent overturning circulation pattern was identified. Comparisons with previous studies on the MOC of the Indian Ocean in different seasons showed overall consistency but with refinements in details to the south of the entry of the ITF, reflecting the influence of ITF on the MOC pattern in the domain. Other options of decomposition are also examined.</t>
  </si>
  <si>
    <t>[Han, Lei] Shandong Univ, Inst Marine Sci &amp; Technol, Qingdao, Shandong, Peoples R China; [Han, Lei] Qingdao Natl Lab Marine Sci &amp; Technol, Lab Reg Oceanog &amp; Numer Modeling, Qingdao, Shandong, Peoples R China; [Huang, Rui Xin] Chinese Acad Sci, South China Sea Inst Oceanol, State Key Lab Trop Oceanog, Guangzhou, Peoples R China; [Huang, Rui Xin] Woods Hole Oceanog Inst, Woods Hole, MA 02543 USA</t>
  </si>
  <si>
    <t>Shandong University; Laoshan Laboratory; Chinese Academy of Sciences; South China Sea Institute of Oceanology, CAS; Woods Hole Oceanographic Institution</t>
  </si>
  <si>
    <t>Han, L (corresponding author), Shandong Univ, Inst Marine Sci &amp; Technol, Qingdao, Shandong, Peoples R China.;Han, L (corresponding author), Qingdao Natl Lab Marine Sci &amp; Technol, Lab Reg Oceanog &amp; Numer Modeling, Qingdao, Shandong, Peoples R China.</t>
  </si>
  <si>
    <t>lei.han@sdu.edu.cn</t>
  </si>
  <si>
    <t>huang, rui/JYP-3898-2024; Han, Lei/AAO-9014-2020</t>
  </si>
  <si>
    <t>Han, Lei/0000-0001-6470-4152</t>
  </si>
  <si>
    <t>National Basic Research Program of China [2019YFA0606703]; Fundamental Research Funds of Shandong University [2019GN051]</t>
  </si>
  <si>
    <t>National Basic Research Program of China(National Basic Research Program of China); Fundamental Research Funds of Shandong University</t>
  </si>
  <si>
    <t>LH was supported by the National Basic Research Program of China through Grant 2019YFA0606703 and The Fundamental Research Funds of Shandong University'' (2019GN051). The authors thank the anonymous reviewers and the editor for their constructive comments. Code availability: The Matlab code that performs the decomposition and produces some figures in this paper is available at https://github.com/lei-han-SDU/IMOC/.</t>
  </si>
  <si>
    <t>0022-3670</t>
  </si>
  <si>
    <t>1520-0485</t>
  </si>
  <si>
    <t>J PHYS OCEANOGR</t>
  </si>
  <si>
    <t>J. Phys. Oceanogr.</t>
  </si>
  <si>
    <t>10.1175/JPO-D-19-0218.1</t>
  </si>
  <si>
    <t>KY2JU</t>
  </si>
  <si>
    <t>WOS:000522399300002</t>
  </si>
  <si>
    <t>Siegelman, L</t>
  </si>
  <si>
    <t>Siegelman, Lia</t>
  </si>
  <si>
    <t>Energetic Submesoscale Dynamics in the Ocean Interior</t>
  </si>
  <si>
    <t>Ageostrophic circulations; Eddies; Frontogenesis; frontolysis; Mesoscale processes; Ocean dynamics; Potential vorticity</t>
  </si>
  <si>
    <t>INTERNAL GRAVITY-WAVES; COHERENT VORTICES; PART I; MESOSCALE; MODEL; PARAMETERIZATION; DISSIPATION; VARIABILITY; TRANSITION; TRANSPORT</t>
  </si>
  <si>
    <t>Submesoscale ocean processes, characterized by order-1 Rossby and Richardson numbers, are currently thought to be mainly confined to the ocean surface mixed layer, whereas the ocean interior is commonly assumed to be in quasigeostrophic equilibrium. Here, a realistic numerical simulation in the Antarctic Circumpolar Current, with a 1/48 degrees horizontal resolution and tidal forcing, is used to demonstrate that the ocean interior departs from the quasigeostrophic regime down to depths of 900 m, that is, well below the mixed layer. Results highlight that, contrary to the classical paradigm, the ocean interior is strongly ageostrophic, with a pronounced cyclone-anticyclone asymmetry and a dominance of frontogenesis over frontolysis. Numerous vortices and filaments, from the surface down to 900 m, are characterized by large Rossby and low Richardson numbers, strong lateral gradients of buoyancy, and vigorous ageostrophic frontogenesis. These deep submesoscales fronts are only weakly affected by internal gravity waves and drive intense upward vertical heat fluxes, consistent with recent observations in the Antarctic Circumpolar Current and the Gulf Stream. As such, deep submesoscale fronts are an efficient pathway for the transport of heat from the ocean interior to the surface, suggesting the presence of an intensified oceanic restratification at depth.</t>
  </si>
  <si>
    <t>[Siegelman, Lia] CALTECH, Environm Sci &amp; Engn, Pasadena, CA 91125 USA; [Siegelman, Lia] CALTECH, Jet Prop Lab, Pasadena, CA 91109 USA</t>
  </si>
  <si>
    <t>California Institute of Technology; California Institute of Technology; National Aeronautics &amp; Space Administration (NASA); NASA Jet Propulsion Laboratory (JPL)</t>
  </si>
  <si>
    <t>Siegelman, L (corresponding author), CALTECH, Environm Sci &amp; Engn, Pasadena, CA 91125 USA.;Siegelman, L (corresponding author), CALTECH, Jet Prop Lab, Pasadena, CA 91109 USA.</t>
  </si>
  <si>
    <t>lsiegelman@caltech.edu</t>
  </si>
  <si>
    <t>joint CNES-Region Bretagne doctoral fellowship</t>
  </si>
  <si>
    <t>Thanks are given to Patrice Klein for his wise and always inspiring advices and to Andrew F. Thompson for stimulating discussions. Thanks are also given to Hector S. Torres for his invaluable assistance in navigating the tricks of NASA Advanced Supercomputing (NAS), to Dimitris Menemenlis for running the LLC4320 simulation, to Christopher Henze at NASA Ames Hyperwall, and to the MITgcm developers and NAS scientists that made available the model outputs. This research was carried out, in part, at the Jet Propulsion Laboratory, California Institute of Technology, under a contract with NASA. Author Siegelman is a NASA-JVSRP affiliate and is supported by a joint CNES-Region Bretagne doctoral fellowship. High-end computing resources for the numerical simulation were provided by the NAS Division at the Ames Research Center.</t>
  </si>
  <si>
    <t>10.1175/JPO-D-19-0253.1</t>
  </si>
  <si>
    <t>Green Accepted, Bronze</t>
  </si>
  <si>
    <t>WOS:000522399300005</t>
  </si>
  <si>
    <t>Cusick, AM; Gilmore, R; Bombosch, A; Mascioni, M; Almandoz, GO; Vernet, M</t>
  </si>
  <si>
    <t>Cusick, Allison M.; Gilmore, Robert; Bombosch, Annette; Mascioni, Martina; Almandoz, Gaston O.; Vernet, Maria</t>
  </si>
  <si>
    <t>POLAR TOURISM AS AN EFFECTIVE RESEARCH TOOL Citizen Science in the Western Antarctic Peninsula</t>
  </si>
  <si>
    <t>The Antarctic Peninsula is one of the fastest warming regions in the world, with over 87% of its glaciers in retreat. The resulting influx of glacial meltwater to the coastal ecosystems may influence the succession patterns of primary producers. It is critical to document these dynamics, gathering time-series data throughout the seasonal growth period, because any shifts in primary production can affect higher trophic level organisms in the nearshore food web. The Antarctic tourism industry maintains a fleet of vessels that visit the peninsula's nearshore waters throughout the austral summer, November to March. We developed a citizen science (CS) program- FjordPhyto-to leverage these vessels as platforms for gathering data about the region. Trained staff and travelers collect environmental data and biological samples that are sent to researchers. Preliminary results include phytoplankton species identification, cell abundance determination, carbon biomass estimates, and euphotic depth measurement at multiple sites. We show that CS is a valid tool that can enhance research in Antarctica, while also providing an enriching experience to travelers interested in learning more about science in polar environments.</t>
  </si>
  <si>
    <t>Mascioni, Martina/ABE-4177-2020</t>
  </si>
  <si>
    <t>Mascioni, Martina/0000-0002-4994-5289; Almandoz, Gaston O./0000-0001-7931-582X; Cusick, Allison/0000-0002-1372-2016</t>
  </si>
  <si>
    <t>10.5670/oceanog.2020.101</t>
  </si>
  <si>
    <t>WOS:000521731800009</t>
  </si>
  <si>
    <t>Alnæs, J</t>
  </si>
  <si>
    <t>Alnaes, Jorgen</t>
  </si>
  <si>
    <t>The Global Antarctic: Map Assemblages and the Performing of Territory</t>
  </si>
  <si>
    <t>CARTOGRAPHICA</t>
  </si>
  <si>
    <t>map assemblage; news maps; territory; Antarctica; relevance theory; post-representational cartography</t>
  </si>
  <si>
    <t>To understand what maps do, it is necessary to scrutinize the relation between a map and its surroundings. In critical cartography there has been a tendency to denaturalize maps, but little research has been done on the relation between map and textual context. However, there is a need to scrutinize how maps work in textual and visual contexts, how the reader utilizes surrounding information to use and understand maps, and how the understanding of maps influences the understanding of the other elements. This article explores the interplay between different textual and visual elements that are supposed to be read together and in relation to each other. To do this, the article proposes the term map assemblages. The case chosen for discussion is the unsettled territories in Antarctica and three Norwegian news articles that refer to a Norwegian land claim in Antarctica. Furthermore, the article argues that through the interplay between maps, pictures, and text, the Norwegian territorial claim in Antarctica is reproduced and strengthened.</t>
  </si>
  <si>
    <t>[Alnaes, Jorgen] Oslo Metropolitan Univ, Dept Journalism &amp; Media Studies, Oslo, Norway</t>
  </si>
  <si>
    <t>Oslo Metropolitan University (OsloMet)</t>
  </si>
  <si>
    <t>Alnæs, J (corresponding author), Oslo Metropolitan Univ, Dept Journalism &amp; Media Studies, Oslo, Norway.</t>
  </si>
  <si>
    <t>jorgenal@oslomet.no</t>
  </si>
  <si>
    <t>UNIV TORONTO PRESS INC</t>
  </si>
  <si>
    <t>TORONTO</t>
  </si>
  <si>
    <t>JOURNALS DIVISION, 5201 DUFFERIN ST, DOWNSVIEW, TORONTO, ON M3H 5T8, CANADA</t>
  </si>
  <si>
    <t>0317-7173</t>
  </si>
  <si>
    <t>1911-9925</t>
  </si>
  <si>
    <t>Cartographica</t>
  </si>
  <si>
    <t>10.3138/cart-2019-0004</t>
  </si>
  <si>
    <t>Geography</t>
  </si>
  <si>
    <t>KW6QK</t>
  </si>
  <si>
    <t>WOS:000521292500004</t>
  </si>
  <si>
    <t>Li, L; Wang, CC; Jiang, S; Li, R; Zhang, TT; Xue, CH; Yanagita, T; Jiang, XM; Wang, YM</t>
  </si>
  <si>
    <t>Li, Lin; Wang, Chengcheng; Jiang, Shan; Li, Rong; Zhang, Tiantian; Xue, Changhu; Yanagita, Teruyoshi; Jiang, Xiaoming; Wang, Yuming</t>
  </si>
  <si>
    <t>The absorption kinetics of Antarctic krill oil phospholipid liposome in blood and the digestive tract of healthy mice by single gavage</t>
  </si>
  <si>
    <t>FOOD SCIENCE AND HUMAN WELLNESS</t>
  </si>
  <si>
    <t>Antarctic krill oil; Phospholipid; Liposome; Single gavage; Absorption kinetics</t>
  </si>
  <si>
    <t>DOCOSAHEXAENOIC ACID; LYMPHATIC TRANSPORT; FISH-OIL; DHA; PHOSPHATIDYLCHOLINE; TRIGLYCERIDE; CHOLESTEROL; METABOLISM; APOPTOSIS; PLASMA</t>
  </si>
  <si>
    <t>Antarctic krill (Euphausia superba) oil has been gaining increasing attention due to its nutritional and functional potentials. Krill oil usually contains a high concentration (about 50%) of phospholipids (AKOP) rich in DHA and EPA accompanied with 30%-40% triacylglycerols. Phospholipids can be made into liposomes without emulsifiers due to its amphiphilic characteristics. However, the absorption kinetics of AKOP liposome in vivo is not clear, which restrict the molecular mechanism analysis related to its distinct bioactivities. The lipid analysis in serum, small intestinal content and wall was carried out after oral administration of AKOP liposome to illustrate its absorption kinetics in blood and the digestive tract of healthy mice by single gavage. The major type of the obtained AKOP was phosphatidylcholine, and the total contents of the DHA and EPA were 29.31%. AKOP liposome was almost completely digested in the small intestine in 1 h and the hydrolysis products could be quickly absorbed by intestinal enterocytes. The DHA in serum peaked at 2 h after administration of AKOP liposome. AKOP liposome could be quickly digested and absorbed in vivo. The obtained results might provide a scientific basis for the molecular mechanism analysis related to distinct bioactivities of Antarctic krill oil phospholipid. (C) 2020 Society information. Production and hosting by Elsevier B.V. on behalf of KeAi Communications Co., Ltd.</t>
  </si>
  <si>
    <t>[Li, Lin; Wang, Chengcheng; Jiang, Shan; Li, Rong; Zhang, Tiantian; Xue, Changhu; Jiang, Xiaoming; Wang, Yuming] Ocean Univ China, Coll Food Sci &amp; Engn, 5 Yushan Rd, Qingdao 266003, Peoples R China; [Xue, Changhu; Wang, Yuming] Pilot Natl Lab Marine Sci &amp; Technol, Lab Marine Drugs &amp; Bioprod, Qingdao 266237, Shandong, Peoples R China; [Yanagita, Teruyoshi] Saga Univ, Dept Appl Biochem &amp; Food Sci, Lab Nutr Biochem, Saga 8408502, Japan</t>
  </si>
  <si>
    <t>Ocean University of China; Laoshan Laboratory; Saga University</t>
  </si>
  <si>
    <t>Jiang, XM; Wang, YM (corresponding author), Ocean Univ China, Coll Food Sci &amp; Engn, 5 Yushan Rd, Qingdao 266003, Peoples R China.</t>
  </si>
  <si>
    <t>jxm@ouc.edu.cn; wangyuming@ouc.edu.cn</t>
  </si>
  <si>
    <t>zhang, tian/GZK-6001-2022; yuming, wang/K-8179-2012; Jiang, Xiaoming/AES-5733-2022</t>
  </si>
  <si>
    <t>Jiang, Xiaoming/0000-0002-1444-6121; Wang, Chengcheng/0000-0002-3397-9900</t>
  </si>
  <si>
    <t>National Key R&amp;D Program of China [2018YFD0901103]; National Natural Science Foundation of China [31901688]; Natural Science Youth Foundation of Shandong Province [ZR2019QC004]; National Natural Science Foundation of China Shandong Joint Fund for Marine Science Research Centers [U1606403]; Laboratory for Marine Drugs and Bioproducts of Pilot National Laboratory for Marine Science and Technology (Qingdao) [LMDBKF201807]; [16K00890]</t>
  </si>
  <si>
    <t>National Key R&amp;D Program of China; National Natural Science Foundation of China(National Natural Science Foundation of China (NSFC)); Natural Science Youth Foundation of Shandong Province(Natural Science Foundation of Shandong Province); National Natural Science Foundation of China Shandong Joint Fund for Marine Science Research Centers; Laboratory for Marine Drugs and Bioproducts of Pilot National Laboratory for Marine Science and Technology (Qingdao);</t>
  </si>
  <si>
    <t>This work was supported by National Key R&amp;D Program of China (2018YFD0901103), National Natural Science Foundation of China (31901688), Natural Science Youth Foundation of Shandong Province (ZR2019QC004), National Natural Science Foundation of China Shandong Joint Fund for Marine Science Research Centers (U1606403), Laboratory for Marine Drugs and Bioproducts of Pilot National Laboratory for Marine Science and Technology (Qingdao, LMDBKF201807), Grant-in-Aid for Scientific Research (No. 16K00890).</t>
  </si>
  <si>
    <t>KEAI PUBLISHING LTD</t>
  </si>
  <si>
    <t>16 DONGHUANGCHENGGEN NORTH ST, BEIJING, DONGHENG DISTRICT 100717, PEOPLES R CHINA</t>
  </si>
  <si>
    <t>2213-4530</t>
  </si>
  <si>
    <t>FOOD SCI HUM WELL</t>
  </si>
  <si>
    <t>Food Sci. Human Wellness</t>
  </si>
  <si>
    <t>10.1016/j.fshw.2020.01.002</t>
  </si>
  <si>
    <t>Food Science &amp; Technology; Nutrition &amp; Dietetics</t>
  </si>
  <si>
    <t>KW0GO</t>
  </si>
  <si>
    <t>WOS:000520851800012</t>
  </si>
  <si>
    <t>Montelli, A; Gulick, SPS; Fernandez, R; Frederick, BC; Shevenell, AE; Leventer, A; Blankenship, DD</t>
  </si>
  <si>
    <t>Montelli, Aleksandr; Gulick, Sean P. S.; Fernandez, Rodrigo; Frederick, Bruce C.; Shevenell, Amelia E.; Leventer, Amy; Blankenship, Donald D.</t>
  </si>
  <si>
    <t>Seismic stratigraphy of the Sabrina Coast shelf, East Antarctica: Early history of dynamic meltwater-rich glaciations</t>
  </si>
  <si>
    <t>GEOLOGICAL SOCIETY OF AMERICA BULLETIN</t>
  </si>
  <si>
    <t>WILKES LAND MARGIN; ICE-SHEET DYNAMICS; PINE ISLAND BAY; TROUGH-MOUTH FAN; NORTH-SEA BASIN; TUNNEL-VALLEYS; ROSS SEA; CONTINENTAL-MARGIN; WEDDELL SEA; BELLINGSHAUSEN SEA</t>
  </si>
  <si>
    <t>High-resolution seismic data from the Sabrina Coast continental shelf, East Antarctica, elucidate the Cenozoic evolution of the East Antarctic Ice Sheet. Detailed seismic stratigraphic and facies analysis reveal the Paleogene to earliest Pliocene glacial evolution of the Aurora Basin catchment, including at least 12 glacial expansions across the shelf indicated by erosional surfaces and chaotic acoustic character of strata. Differences in facies composition and seismic architecture reveal several periods of ice-free conditions succeeded by glacial expansions across the shelf. A deep (similar to 100 m), undulating erosional surface suggests the initial appearance of grounded ice on the shelf. Following the initial ice expansion, the region experienced an interval of open-marine to ice-distal conditions, marked by an up to 200-m-thick sequence of stratified sediments. At least three stacked erosional surfaces reveal major cross-shelf glacial expansions of regional glaciers characterized by deep (up to similar to 120 m) channel systems associated with extensive subglacial meltwater. The seismic character of the sediments below the latest Miocene to earliest Pliocene regional unconformity indicates intervals of glacial retreat interrupted by advances of temperate, meltwater-rich glacial ice from the Aurora Basin catchment. Our results document the Paleogene to late Miocene glacial history of this climatically sensitive region of East Antarctica and provide an important paleoenvironmental context for future scientific drilling to constrain the regional climate and timing of Cenozoic glacial variability.</t>
  </si>
  <si>
    <t>[Montelli, Aleksandr; Gulick, Sean P. S.; Fernandez, Rodrigo; Frederick, Bruce C.; Blankenship, Donald D.] Univ Texas Austin, Jackson Sch Geosci, Inst Geophys, Austin, TX 78758 USA; [Shevenell, Amelia E.] Univ S Florida, Coll Marine Sci, St Petersburg, FL 33701 USA; [Leventer, Amy] Colgate Univ, Geol Dept, Hamilton, NY 13346 USA; [Montelli, Aleksandr] Univ Cambridge, Scott Polar Res Inst, Cambridge CB2 1ER, England; [Fernandez, Rodrigo] Univ Chile, Dept Geol, Chile Plaza Ercilla 803, Santiago, Region Metropol, Chile; [Frederick, Bruce C.] Univ Kansas, Lawrence, KS 66045 USA</t>
  </si>
  <si>
    <t>University of Texas System; University of Texas Austin; State University System of Florida; University of South Florida; Colgate University; University of Cambridge; Universidad de Chile; University of Kansas</t>
  </si>
  <si>
    <t>Montelli, A (corresponding author), Univ Texas Austin, Jackson Sch Geosci, Inst Geophys, Austin, TX 78758 USA.;Montelli, A (corresponding author), Univ Cambridge, Scott Polar Res Inst, Cambridge CB2 1ER, England.</t>
  </si>
  <si>
    <t>aim39@cam.ac.uk</t>
  </si>
  <si>
    <t>Fernandez, Rodrigo/ABC-8361-2020; Fernandez, Rodrigo/GRF-1350-2022; Shevenell, Amelia E/C-2757-2015; Gulick, Sean/GNH-2042-2022; Blankenship, Donald D./G-5935-2010</t>
  </si>
  <si>
    <t>Gulick, Sean/0000-0003-4740-9068; Fernandez, Rodrigo/0000-0003-4226-6010; Leventer, Amy/0000-0001-9401-0987</t>
  </si>
  <si>
    <t>National Science Foundation [PLR-1143836, PLR-1143837, PLR-1143843, PLR-1430550, PLR-1048343]; Fulbright Scholarship; Jackson School of Geosciences, University of Texas at Austin</t>
  </si>
  <si>
    <t>National Science Foundation(National Science Foundation (NSF)); Fulbright Scholarship; Jackson School of Geosciences, University of Texas at Austin</t>
  </si>
  <si>
    <t>We thank the NBP14-02 science party, and the crew, the captain, and the technical staff aboard the RV/IB N.B. Palmer. NBP14-02 was supported by the National Science Foundation (grants PLR-1143836, PLR-1143837, PLR-1143843, PLR-1430550, and PLR-1048343). Montelli was supported by Fulbright Scholarship and the Jackson School of Geosciences, University of Texas at Austin.</t>
  </si>
  <si>
    <t>GEOLOGICAL SOC AMER, INC</t>
  </si>
  <si>
    <t>BOULDER</t>
  </si>
  <si>
    <t>PO BOX 9140, BOULDER, CO 80301-9140 USA</t>
  </si>
  <si>
    <t>0016-7606</t>
  </si>
  <si>
    <t>1943-2674</t>
  </si>
  <si>
    <t>GEOL SOC AM BULL</t>
  </si>
  <si>
    <t>Geol. Soc. Am. Bull.</t>
  </si>
  <si>
    <t>MAR-APR</t>
  </si>
  <si>
    <t>3-4</t>
  </si>
  <si>
    <t>10.1130/B35100.1</t>
  </si>
  <si>
    <t>KT3KX</t>
  </si>
  <si>
    <t>WOS:000518916800005</t>
  </si>
  <si>
    <t>Schöllhorn, I; Houben, A; Gertsch, B; Adatte, T; Alexey, U; de Kaenel, E; Spangenberg, JE; Janssen, N; Schwennicke, T; Föllmi, KB</t>
  </si>
  <si>
    <t>Schollhorn, Iris; Houben, Alexander; Gertsch, Brian; Adatte, Thierry; Alexey, Ulianov; de Kaenel, Eric; Spangenberg, Jorge E.; Janssen, Nico; Schwennicke, Tobias; Follmi, Karl B.</t>
  </si>
  <si>
    <t>Enhanced upwelling and phosphorite formation in the northeastern Pacific during the late Oligocene: Depositional mechanisms, environmental conditions, and the impact of glacio-eustacy</t>
  </si>
  <si>
    <t>BAJA-CALIFORNIA-SUR; SAN-GREGORIO FORMATION; ROCK-EVAL PYROLYSIS; SEA-LEVEL; DOOMED PIONEERS; RICH SEDIMENTS; SOUTHERN-OCEAN; COMONDU GROUP; CAPE CANYON; U-PB</t>
  </si>
  <si>
    <t>The late Oligocene-early Miocene interval records a discernable episode of phosphorite formation, which is considered as the first of four main phosphogenic episodes during the late early and late Cenozoic. In order to better constrain the processes leading to widespread phosphorite formation we present new radiometric, geochemical, palynological, and sedimentological data from a drill core of the Roca Fosforica Mexicana phosphorite mine at San Juan de la Costa, Baja California Sur (Mexico). In this region, phosphogenesis was enabled by the combination of high productivity and low sediment-accumulation rates due to enhanced upwelling and low detrital input related to regionally dry climate conditions. Phosphatic particles were formed in a shallow and well-oxygenated setting, subsequently concentrated by winnowing, and transported by gravity currents, which were mostly triggered by seismic activity. Following their deposition in a deeper and less well oxygenated setting pervasive phosphogenesis contributed to cementing the accumulated phosphatic grains. Correlation with global paleoclimate records suggests that this phosphogenic episode was linked to the expansion of the Antarctic ice sheet. Glacial weathering and the establishment of large-amplitude glacio-eustatic variations enhanced phosphorus supply on a global scale. Both glacial and interglacial phases participated in enhancing primary productivity in oceans, increasing the phosphorus flux into sediments, and favoring phosphogenesis, with glaciation being the prime cause. In addition, radiometric ages obtained in this study (28.62, 28.1, 27.19, 27.08, and 26.94 Ma) indicate that the onset of the late Oligocene-early Miocene phosphogenic episode was diachronous on a global scale with 2-3 m.y. older ages in the eastern Pacific in comparison to the Mediterranean and central Atlantic. This delay is explained by regional differences in paleoenvironmental and paleoceanographic conditions.</t>
  </si>
  <si>
    <t>[Schollhorn, Iris; Adatte, Thierry; Alexey, Ulianov; Follmi, Karl B.] Univ Lausanne, Inst Earth Sci, Geopolis, CH-1015 Lausanne, Switzerland; [Houben, Alexander; Janssen, Nico] Netherlands Org Appl Sci Res, Geol Survey Netherlands, Princetonlaan 6, NL-3584 CB Utrecht, Netherlands; [Gertsch, Brian] Swiss Natl Sci Fdn, Wildhainweg 3, CH-3001 Bern, Switzerland; [de Kaenel, Eric] DeKaenel Paleo Res, CH-1185 Mont Sur Rolle, Switzerland; [Spangenberg, Jorge E.] Univ Lausanne, Inst Earth Surface Dynam, Geopolis, CH-1015 Lausanne, Switzerland; [Schwennicke, Tobias] Autonomous Univ Baja California Sur, Acad Dept Earth Sci, Carretera Sur Km 5-5, La Paz 23080, Baja California, Mexico</t>
  </si>
  <si>
    <t>University of Lausanne; Netherlands Organization Applied Science Research; University of Lausanne; Universidad Autonoma de Baja California</t>
  </si>
  <si>
    <t>Schöllhorn, I (corresponding author), Univ Lausanne, Inst Earth Sci, Geopolis, CH-1015 Lausanne, Switzerland.</t>
  </si>
  <si>
    <t>iris.schoellhorn@unil.ch; alexander.houben@tno.nl; briangertsch1@gmail.com; thierry.adatte@unil.ch; alexey.ulyanov@unil.ch; edekaenel@bluewin.ch; jorge.spangenberg@unil.ch; nico.janssen@tno.nl; tobias@uabcs.mx; karl.foellmi@unil.ch</t>
  </si>
  <si>
    <t>Schwennicke, Tobias/GQQ-7026-2022</t>
  </si>
  <si>
    <t>Schwennicke, Tobias/0000-0003-2075-7863; Spangenberg, Jorge E./0000-0001-8636-6414</t>
  </si>
  <si>
    <t>University of California (U.C.) Pacific Rim Research Program; U.C. Mexus Program; University of Lausanne</t>
  </si>
  <si>
    <t>We would like to thank the responsible geologists of Rofomex for providing core BS-343. Our initial work on the phosphorite occurrences in Baja California was supported by grants from the University of California (U.C.) Pacific Rim Research Program and the U.C. Mexus Program. We acknowledge the great help of Robert E. Garrison and Carlos Galli-Olivier, who oversaw the project from the USA and Mexican side and logistically supported us. We furthermore are grateful to Kurt Grimm and Maria Ledesma, who supported us in the field during the initial campaign. We also acknowl-edge the logistical and financial support of the University of Lausanne. We thank Tiffany Monnier, Benita Putlitz, Moeller Andrea, JeanClaude Lavanchy, Tanya Ewing, and Laurent Nicod for their assistance in the laboratories and their wise advice. Furthermore, we would like to acknowledge the reviewers John Compton and Gabriel Filippelli for their constructive advice that improved this study considerably.</t>
  </si>
  <si>
    <t>10.1130/B32061.1</t>
  </si>
  <si>
    <t>WOS:000518916800013</t>
  </si>
  <si>
    <t>Kim, JI; Kim, YJ; Nam, SW; So, JE; Hong, SG; Choi, HG; Shin, W</t>
  </si>
  <si>
    <t>Kim, Jong Im; Kim, Yong Jun; Nam, Seung Won; So, Jae Eun; Hong, Soon Gyu; Choi, Han-Gu; Shin, Woongghi</t>
  </si>
  <si>
    <t>Taxonomic study of three new Antarctic Asterochloris (Trebouxiophyceae) based on morphological and molecular data</t>
  </si>
  <si>
    <t>ALGAE</t>
  </si>
  <si>
    <t>Antarctica; Asterochloris; lichen; photobiont; phylogeny; taxonomy; Trebouxiophyceae</t>
  </si>
  <si>
    <t>GREEN LICHEN ALGAE; GENETIC DIVERSITY; PHYLOGENETIC ANALYSIS; PHOTOBIONT DIVERSITY; CANARY-ISLANDS; SP-NOV; TREBOUXIA; CHLOROPHYTA; GENUS; ULTRASTRUCTURE</t>
  </si>
  <si>
    <t>Asterochloris is one of the most common genera of lichen phycobionts in Trebouxiophyceae. Asterochloris phycobionts associated with the lichenized fungi Cladonia and Stereocaulon in King George Island (Antarctica) and Morro Chico (Chile), were isolated and then used to establish clonal cultures. To understand the phylogenetic relationships and species diversity of Antarctic Asterochloris species, molecular and morphological data were analyzed by using three microscopy techniques (light, confocal laser and transmission electron) and a multi-locus phylogeny with data from the nuclear-encoded internal transcribed spacer (ITS) rDNA and the actin and plastid-encoded ribulose bisphosphate carboxylase large chain (rbcL) coding genes. Morphological data of three Antarctic strains showed significant speciesspecific features in chloroplast while molecular data segregated the taxa into distinct three clades as well. Each species had unique molecular signatures that could be found in secondary structures of the ITS1 and ITS2. The species diversity of Antarctic Asterochloris was represented by six taxa, namely, A. glotnerata, A. italiana, A. sejongensis, and three new species (A. antarctica, A. pseudoirregularis, A. stereocaulonicola).</t>
  </si>
  <si>
    <t>[Kim, Jong Im; Kim, Yong Jun; Shin, Woongghi] Chungnam Natl Univ, Dept Biol, Daejeon 34134, South Korea; [Nam, Seung Won] Nakdonggang Natl Inst Biol Resources, Sangju 37242, South Korea; [So, Jae Eun; Hong, Soon Gyu; Choi, Han-Gu] Korea Polar Res Inst, Div Polar Life Sci, Incheon 21990, South Korea</t>
  </si>
  <si>
    <t>Chungnam National University; Korea Polar Research Institute (KOPRI)</t>
  </si>
  <si>
    <t>Shin, W (corresponding author), Chungnam Natl Univ, Dept Biol, Daejeon 34134, South Korea.</t>
  </si>
  <si>
    <t>shinw@cnu.ac.kr</t>
  </si>
  <si>
    <t>Shin, Woongghi/D-5677-2013; Kim, Jong Im/D-3688-2013</t>
  </si>
  <si>
    <t>Nam, Seung Won/0000-0002-8722-5223; Shin, Woongghi/0000-0001-7926-732X</t>
  </si>
  <si>
    <t>Korea Polar Research Institute [PE15020]; National Research Foundation (NRF) of Korea [2019R1I1A2A01063159]</t>
  </si>
  <si>
    <t>Korea Polar Research Institute(Korea Polar Research Institute of Marine Research Placement (KOPRI)); National Research Foundation (NRF) of Korea(National Research Foundation of Korea)</t>
  </si>
  <si>
    <t>This study was supported by the Korea Polar Research Institute (PE15020) and the National Research Foundation (NRF) of Korea (2019R1I1A2A01063159) to W. Shin.</t>
  </si>
  <si>
    <t>KOREAN SOC PHYCOLOGY</t>
  </si>
  <si>
    <t>SEOUL</t>
  </si>
  <si>
    <t>B1F, TRUST TOWER, 275-7 YANGJAE-DONG, SEOCHO-KU, SEOUL, 137-739, SOUTH KOREA</t>
  </si>
  <si>
    <t>1226-2617</t>
  </si>
  <si>
    <t>2093-0860</t>
  </si>
  <si>
    <t>ALGAE-SEOUL</t>
  </si>
  <si>
    <t>Algae</t>
  </si>
  <si>
    <t>10.4490/algae.2020.35.2.23</t>
  </si>
  <si>
    <t>Plant Sciences; Marine &amp; Freshwater Biology</t>
  </si>
  <si>
    <t>KW0KN</t>
  </si>
  <si>
    <t>WOS:000520862700002</t>
  </si>
  <si>
    <t>Borisova, AY; Jochum, KP; Gouy, S</t>
  </si>
  <si>
    <t>Borisova, Anastassia Y.; Jochum, Klaus Peter; Gouy, Sophie</t>
  </si>
  <si>
    <t>Mineralogical and geochemical features of the Allan Hills tephra, South Victoria Land: Implications for mid-Pleistocene volcanic activity in Antarctica</t>
  </si>
  <si>
    <t>POLAR SCIENCE</t>
  </si>
  <si>
    <t>Volcanic tephra; Antarctica; Allan Hills; Mantle plume; Pleistocene</t>
  </si>
  <si>
    <t>EXPERIMENTAL PHASE-EQUILIBRIUM; BLUE-ICE AREA; CRUSTAL ASSIMILATION; CALCIC AMPHIBOLE; EREBUS VOLCANO; MERAPI VOLCANO; ISLAND; LAYERS; MAGMAS; CORE</t>
  </si>
  <si>
    <t>More than 100 volcanoes have been discovered in Antarctica, however, the sources of many Antarctic tephras are not yet constrained. In this study, four tephra samples recovered from the environment of Site 27 on an area of blue ice at Allan Hills, South Victoria Land, provide information on magma and crustal sources for the tephra erupted in Antarctica. We report data on the chemistry of Antarctic tephra glasses and minerals analysed by electron microscopy, electron probe microanalysis and laser ablation inductively coupled plasma mass spectrometry. The tephra amphibole chemistry indicates magma residence at similar to 1 GPa and similar to 1100 degrees C. Abundant Ca-Al-Si-rich minerals imply that the magma ascended from a reservoir at 29.4 +/- 2.7 km depth was affected by the assimilation of talc-silicate crust. The high Fe and Ti contents in the magmatic minerals and the trace element patterns of the glasses typical of a hydmthermally altered oceanic crust suggest that the Allan Hills tephra originated from a mantle plume-derived magma. The fragmented morphology of the glasses implies that the magmatic activity was associated with explosive eruptions during the mid-Pleistocene. The chemistry of the glasses and the presence of rhOnite and Al-rich spinel minerals suggest that the magma might be genetically related to the currently active McMurdo volcanic group.</t>
  </si>
  <si>
    <t>[Borisova, Anastassia Y.; Gouy, Sophie] Univ Toulouse, Geosci Environm Toulouse, UPS OMP CNRS IRD, 14 Ave E Belin, F-31400 Toulouse, France; [Borisova, Anastassia Y.] Lomonosov Moscow State Univ, Geol Dept, Moscow 119899, Russia; [Jochum, Klaus Peter] Max Planck Inst Chem, Climate Geochem Dept, D-55020 Mainz, Germany</t>
  </si>
  <si>
    <t>Universite de Toulouse; Universite Toulouse III - Paul Sabatier; Institut de Recherche pour le Developpement (IRD); Lomonosov Moscow State University; Max Planck Society</t>
  </si>
  <si>
    <t>Borisova, AY (corresponding author), Univ Toulouse, Geosci Environm Toulouse, UPS OMP CNRS IRD, 14 Ave E Belin, F-31400 Toulouse, France.</t>
  </si>
  <si>
    <t>anastassia.borisova@get.omp.eu; k.jochum@mpic.de; sophie.gouy@get.omp.eu</t>
  </si>
  <si>
    <t>Borisova, Anastassia/G-6991-2018</t>
  </si>
  <si>
    <t>Borisova, Anastassia/0000-0001-6373-726X</t>
  </si>
  <si>
    <t>INSU Aleas (2014-2017) in France; INSU Cessur (2014-2017) in France</t>
  </si>
  <si>
    <t>Funding for this work was provided by INSU Aleas and Cessur (2014-2017) in France.</t>
  </si>
  <si>
    <t>1873-9652</t>
  </si>
  <si>
    <t>1876-4428</t>
  </si>
  <si>
    <t>POLAR SCI</t>
  </si>
  <si>
    <t>Polar Sci.</t>
  </si>
  <si>
    <t>10.1016/j.polar.2020.100505</t>
  </si>
  <si>
    <t>KU8TT</t>
  </si>
  <si>
    <t>WOS:000519985400006</t>
  </si>
  <si>
    <t>Lim, PP; Pearce, DA; Convey, P; Lee, LS; Chan, KG; Tan, GYA</t>
  </si>
  <si>
    <t>Lim, P. P.; Pearce, D. A.; Convey, P.; Lee, L. S.; Chan, K. G.; Tan, G. Y. A.</t>
  </si>
  <si>
    <t>Effects of freeze-thaw cycles on High Arctic soil bacterial communities</t>
  </si>
  <si>
    <t>7th Malaysian International Seminar on Antarctica (MISA) - Connectivity between Polar and Equatorial Climate and Biosphere - From the Poles to the Tropics</t>
  </si>
  <si>
    <t>AUG 15-17, 2017</t>
  </si>
  <si>
    <t>Kuala Terengganu, MALAYSIA</t>
  </si>
  <si>
    <t>Freeze-thaw; High throughput sequencing; Svalbard; Soil; Bacteria</t>
  </si>
  <si>
    <t>SEASONAL SNOW COVER; MICROBIAL COMMUNITIES; TUNDRA; DYNAMICS; TEMPERATURE; DIVERSITY; TOLERANCE; RESPONSES; PATTERNS; STRESS</t>
  </si>
  <si>
    <t>The projected increase in freeze-thaw frequency associated with warmer temperatures in the High Arctic could affect the dynamics of soil bacterial communities. We report here the effects of freeze-thaw (FT) cycles on High Arctic bacterial communities of soil samples collected from three sites with different depths of snow cover. Analysis of 16S rRNA gene amplicon sequences showed that bacterial diversity in soil sampled under high snow cover were significantly different from those under low snow cover and those with no snow cover, and showed little change in community diversity after nine consecutive FT cycles. Conversely, bacterial diversity in soil samples under low and with no snow cover decreased after the simulated FT cycles. It is therefore likely that reduced snow cover will influence soil bacterial community structure through an increased frequency of freezethaw cycling.</t>
  </si>
  <si>
    <t>[Lim, P. P.; Lee, L. S.; Chan, K. G.; Tan, G. Y. A.] Univ Malaya, Inst Biol Sci, Fac Sci, Kuala Lumpur 50603, Malaysia; [Pearce, D. A.] Northumbria Univ, Fac Hlth &amp; Life Sci, Dept Appl Sci, Newcastle Upon Tyne NE1 8ST, Tyne &amp; Wear, England; [Convey, P.] British Antarctic Survey, NERC, Madingley Rd, Cambridge CB3 0ET, England; [Tan, G. Y. A.] Univ Malaya, Natl Antarctic Res Ctr, IPS Bldg, Kuala Lumpur 50603, Malaysia</t>
  </si>
  <si>
    <t>Universiti Malaya; Northumbria University; UK Research &amp; Innovation (UKRI); Natural Environment Research Council (NERC); NERC British Antarctic Survey; Universiti Malaya</t>
  </si>
  <si>
    <t>Chan, KG; Tan, GYA (corresponding author), Univ Malaya, Inst Biol Sci, Fac Sci, Kuala Lumpur 50603, Malaysia.</t>
  </si>
  <si>
    <t>kokgan@um.edu.my; gyatan@um.edu.my</t>
  </si>
  <si>
    <t>Tan, Geok Yuan Annie/B-7996-2009; Convey, Peter/AAV-5728-2020; Chan, Kok-Gan/B-8347-2010</t>
  </si>
  <si>
    <t>Convey, Peter/0000-0001-8497-9903; Chan, Kok-Gan/0000-0002-1883-1115; Pearce, David/0000-0001-5292-4596</t>
  </si>
  <si>
    <t>Ministry of Science Technology and Innovation, Malaysia [FP0712E012]; University of Malaya, Malaysia [RP002E-13SUS, RP026C-18SUS]; NERC [bas0100036] Funding Source: UKRI</t>
  </si>
  <si>
    <t>Ministry of Science Technology and Innovation, Malaysia(Ministry of Energy, Science, Technology, Environment and Climate Change (MESTECC), Malaysia); University of Malaya, Malaysia(Universiti Malaya); NERC(UK Research &amp; Innovation (UKRI)Natural Environment Research Council (NERC))</t>
  </si>
  <si>
    <t>The authors thank S.J. George from University of Tromso and UNIS for assistance in soil sampling. The authors gratefully acknowledge grants from the Ministry of Science Technology and Innovation (FP0712E012 subproject 1), Malaysia and the University of Malaya (RP002E-13SUS and RP026C-18SUS), Malaysia.</t>
  </si>
  <si>
    <t>10.1016/j.polar.2019.100487</t>
  </si>
  <si>
    <t>WOS:000519985400008</t>
  </si>
  <si>
    <t>Zhou, XQ; Zhu, GP; Hu, S</t>
  </si>
  <si>
    <t>Zhou, Xiangqian; Zhu, Guoping; Hu, Song</t>
  </si>
  <si>
    <t>Influence of tides on mass transport in the Bransfield Strait and the adjacent areas, Antarctic</t>
  </si>
  <si>
    <t>Tidal transport; FVCOM; Passive tracer; Lagrangian tracking; Bransfield strait</t>
  </si>
  <si>
    <t>KRILL EUPHAUSIA-SUPERBA; KING GEORGE ISLAND; ELEPHANT ISLAND; SOUTHERN-OCEAN; DRAKE PASSAGE; PENINSULA; CURRENTS; MODEL; WEST; VARIABILITY</t>
  </si>
  <si>
    <t>The Bransfield Strait and the adjacent areas is a high-productivity region for polar biological resources in the Antarctic. Physical oceanographic processes produce strong ecosystem dynamics via mass transport and water exchange. However, few studies have focused on these processes from coast to shelf and across slopes by tidal dynamics. Therefore, a numerical model was implemented with a high resolution to simulate the influence of the tide on mass transport. The output of the model indicated that the tidal residual current produced by the diurnal tide is dominant and primarily distributed along with the shelf break and near the coast, and water stratification amplifies this residual current system. Water exchange processes were evaluated utilizing passive tracer dyes to demonstrate the influence of the tides on the channel and bay. The tracer residence time ranged from a few days to a week and was affected by the considered representative region's topography and area. Correspondingly, Lagrangian particles tracking method is also used to illustrate the mass transportation, which primarily move along the isobaths on the slope but spiral on the flat shelf. All experiments conducted herein indicate that tidal dynamics is indispensable in this region when studying cross-shelf mass transport.</t>
  </si>
  <si>
    <t>[Zhou, Xiangqian; Zhu, Guoping; Hu, Song] Shanghai Ocean Univ, Coll Marine Sci, Shanghai 201306, Peoples R China; [Zhou, Xiangqian; Zhu, Guoping; Hu, Song] Shanghai Ocean Univ, Ctr Polar Res, Shanghai 201306, Peoples R China; [Zhu, Guoping; Hu, Song] Shanghai Ocean Univ, Key Lab Sustainable Exploitat Ocean Fisheries Res, Minist Educ, Polar Marine Ecosyst Grp, Shanghai 201306, Peoples R China; [Zhu, Guoping; Hu, Song] Natl Engn Res Ctr Ocean Fisheries, Shanghai 201306, Peoples R China</t>
  </si>
  <si>
    <t>Shanghai Ocean University; Shanghai Ocean University; Shanghai Ocean University; National Engineering Research Center for Oceanic Fisheries</t>
  </si>
  <si>
    <t>Hu, S (corresponding author), Shanghai Ocean Univ, Coll Marine Sci, Shanghai 201306, Peoples R China.</t>
  </si>
  <si>
    <t>shu@shou.edu.cn</t>
  </si>
  <si>
    <t>ZHU, Guo-ping/D-1002-2010</t>
  </si>
  <si>
    <t>Zhu, Guoping/0000-0001-6081-7811</t>
  </si>
  <si>
    <t>National Key R&amp;D Program of China, China [2018YFC14106801]; National Natural Science Foundation of China, China [41776185]</t>
  </si>
  <si>
    <t>National Key R&amp;D Program of China, China; National Natural Science Foundation of China, China(National Natural Science Foundation of China (NSFC))</t>
  </si>
  <si>
    <t>This research was supported by the National Key R&amp;D Program of China (Grant No. 2018YFC14106801) and National Natural Science Foundation of China (Grant No. 41776185), China. Some of results in this paper were reported at the XMAS-IV in Xiamen, China. The spherical coordinate version of FVCOM and its modules were developed with originally by Chen Changsheng and his group. The topography data obtained from ETOPO1 dataset at https://www.ngdc.noaa.gov/mgg/global/global.html. Tidal constituents are obtained from TPXO8 dataset at http://volkov.oce.orst.edu/tides/tpxo8_atlas.html. Initial salinity and temperature data are obtained from SOSE at http://sose.ucsd.edu/BSOSE_iter105_solution.html. Tidal gauge data are obtained from ATG at https://www.esr.org/data-products/antarctic_tg_database/overview/.</t>
  </si>
  <si>
    <t>10.1016/j.polar.2020.100506</t>
  </si>
  <si>
    <t>WOS:000519985400007</t>
  </si>
  <si>
    <t>Li, CX; Sonke, JE; Le Roux, G; Van der Putten, N; Piotrowska, N; Jeandel, C; Mattielli, N; Benoit, M; Wiggs, GFS; De Vleeschouwer, F</t>
  </si>
  <si>
    <t>Li, Chuxian; Sonke, Jeroen E.; Le Roux, Gael; Van der Putten, Nathalie; Piotrowska, Natalia; Jeandel, Catherine; Mattielli, Nadine; Benoit, Mathieu; Wiggs, Giles F. S.; De Vleeschouwer, Francois</t>
  </si>
  <si>
    <t>Holocene dynamics of the southern westerly winds over the Indian Ocean inferred from a peat dust deposition record</t>
  </si>
  <si>
    <t>Southern westerly winds; Dust sources; Peat; Amsterdam Island; Anthropogenic activities</t>
  </si>
  <si>
    <t>CLIMATE-CHANGE; ENVIRONMENTAL-CHANGE; CENTRAL CHILE; 4.2 KA; AFRICA; PRECIPITATION; VARIABILITY; AMSTERDAM; SHIFTS; LAKE</t>
  </si>
  <si>
    <t>The southern westerly winds (SWW) play a major role in climate variability in Southern Hemisphere mid- and high-latitudes, regulating rainfall, ocean circulation, and the Southern Ocean carbon sink. Despite their importance, little is known about millennial scale changes in the SWW and how they have influenced the climate system in the past and interacted with the Earth's surface elements, such as dust, nutrients and carbon. Here we present a dust record from a 6.6 kyr old peat core in Amsterdam Island (AMS) situated at the northern edge of the SWW (37 degrees S) in the Southern Indian Ocean. Mineral dust flux was used to track atmospheric dust production, long-distance transport and subsequent deposition. Dust provenance was determined from rare earth element (REE) and Nd isotopic signatures (epsilon Nd) in the peat core, compared with a reference dataset of Southern Hemisphere dust sources. Using a multi-proxy mixing model, the eNd and REE ratios show a relatively uniform mixture of ca. 40% local, 15% Southern African and 45% Southern South American dust sources since 6.6 cal kyr BP. However, from 1910 AD onwards, there is a doubling in the contribution from Southern Africa (32%). Two mineral dust flux minima occur at 6.2-4.9 cal kyr BP and 3.9-2.7 cal kyr BP, interpreted as periods with equatorward-shifted and/or strengthened SWW at the northern edge of the wind belt. Conversely, periods of higher dust flux at 6.6-6.2 cal kyr BP, 4.9-3.9 cal kyr BP, and 1.4 cal kyr BP onwards are interpreted as poleward-shifted and/or weakened SWW. These interpretations are based on the findings that higher (lower) wind speeds lead to enhanced (less) removal of distal dust on the way to AMS, by wet deposition and turbulence. Published Holocene SWW records at the northern edge of the wind belt (33-41 degrees S) covering South-America, Southern-Africa and Australia, show much variability over the last 6.6 kyr. We suggest this reflects complex regional climate variability in the different SH longitudinal sectors, indicating that SWW are not zonally homogeneous at the northern edge of the wind belt. The recent shift in dust provenance is not accompanied by enhanced total dust deposition at AMS. We therefore suggest that human impact (e.g., land use changes) and drier climate conditions in Southern Africa have led to enhanced dust mobilization. (C) 2020 Elsevier Ltd. All rights reserved.</t>
  </si>
  <si>
    <t>[Li, Chuxian; Le Roux, Gael; De Vleeschouwer, Francois] Univ Toulouse, EcoLab, CNRS, INPT,UPS, Toulouse, France; [Li, Chuxian; Sonke, Jeroen E.; Benoit, Mathieu] Univ Toulouse, Lab Geosci Environm Toulouse, CNRS, IRD,UPS, Toulouse, France; [Van der Putten, Nathalie] Vrije Univ Amsterdam, Fac Sci Earth Sci Cluster Earth &amp; Climate, Amsterdam, Netherlands; [Piotrowska, Natalia] Silesian Tech Univ, Inst Phys, CSE, Gliwice, Poland; [Jeandel, Catherine] Univ Toulouse, LEGOS, CNRS, CNES,IRD,UPS, Toulouse, France; [Mattielli, Nadine] ULB, DGES, Lab G Time, Brussels, Belgium; [Wiggs, Giles F. S.] Univ Oxford, Oxford Univ Ctr Environm, Sch Geog &amp; Environm, South Parks Rd, Oxford OX1 3QY, England; [De Vleeschouwer, Francois] Univ Buenos Aires, IFAECI, UMI 3351, CNRS,CONICET, Buenos Aires, DF, Argentina</t>
  </si>
  <si>
    <t>Universite de Toulouse; Universite Federale Toulouse Midi-Pyrenees (ComUE); Universite Toulouse III - Paul Sabatier; Institut National Polytechnique de Toulouse; Centre National de la Recherche Scientifique (CNRS); Universite de Toulouse; Universite Toulouse III - Paul Sabatier; Centre National de la Recherche Scientifique (CNRS); Institut de Recherche pour le Developpement (IRD); Vrije Universiteit Amsterdam; Silesian University of Technology; Universite de Toulouse; Universite Toulouse III - Paul Sabatier; Centre National de la Recherche Scientifique (CNRS); Institut de Recherche pour le Developpement (IRD); Laboratoire d'Etudes en Geophysique et oceanographie spatiales; Universite Libre de Bruxelles; University of Oxford; Consejo Nacional de Investigaciones Cientificas y Tecnicas (CONICET); University of Buenos Aires</t>
  </si>
  <si>
    <t>Li, CX (corresponding author), EcoLab, Campus Ensat,Ave Agrobiopole, F-31326 Castanet Tolosan, France.</t>
  </si>
  <si>
    <t>chuxian.li@ensat.fr</t>
  </si>
  <si>
    <t>Sonke, Jeroen E/A-2444-2010; Le Roux, Gael/K-1154-2012</t>
  </si>
  <si>
    <t>Le Roux, Gael/0000-0002-1579-0178; Benoit, Mathieu/0000-0002-0134-4863; LI, Chuxian/0000-0002-5458-3171; Van der Putten, Nathalie/0000-0002-0271-9321; Wiggs, Giles/0000-0002-2131-0724; Mattielli, Nadine/0000-0002-7170-1520</t>
  </si>
  <si>
    <t>French Polar Institute (IPEV, Brest, France) through the IPEV Programme 1066 PARAD; French Polar Institute (IPEV, Brest, France) through the IPEV Programme 1065 PALATIO; Chinese Scholarship Council</t>
  </si>
  <si>
    <t>French Polar Institute (IPEV, Brest, France) through the IPEV Programme 1066 PARAD; French Polar Institute (IPEV, Brest, France) through the IPEV Programme 1065 PALATIO; Chinese Scholarship Council(China Scholarship Council)</t>
  </si>
  <si>
    <t>Many thanks for the support of the Mission 66 of Amsterdam Island, without which the field trip could not have been possible. We are grateful to Svante Bjorck (Lund University, Sweden), Bart Klink and Elisabeth Michel (both Laboratoire des sciences du climat et de l'environnement, LSCE, France) for their valuable assistance during fieldwork. A very special thanks to Alain Quivoron and Hubert Launay for their continuous directive and logistical support during and after fieldwork on Amsterdam Island. Combined fieldwork was funded by the French Polar Institute (IPEV, Brest, France) through the IPEV Programmes 1066 PARAD (to F. De Vleeschouwer) and 1065 PALATIO (to N. Van der Putten and E. Michel). We are grateful to Nina Marchand (IPEV) for the logistical support, Cedric Marteau for access to protected areas of the TAAF Nature Reserve, and Olivier Magand and Isabelle Jouvie (Institut de Geosciences et de l'Environnement in Grenoble, France) for collecting the local soil samples. We thank the members of the Dust Observations for Models (D04) team for access to field samples from southern Africa. We are grateful to Dominic Hodgson (British Antarctic Survey) for his very helpful discussions and comments on the draft. Thanks to Jan-Berend Stuut (Royal Netherlands Institute for Sea Research, NIOZ, the Netherlands) for the Australian samples (shown in supplementary information) and his comments on the draft. We are grateful to Marie-Jose Tavella, David Baque, Camille Duquenoy, Aurelie Marquet, and Stephanie Mounic (Observatoire Midi-Pyrenees, France) for their help with sample analysis. Some of the radiocarbon ages were obtained as part of the ldex Peat3 project of the University of Toulouse and through the national service support: Artemis-INSU-CNRS (to G. Le Roux). Chuxian Li's PhD is supported by a scholarship from the Chinese Scholarship Council.</t>
  </si>
  <si>
    <t>1873-457X</t>
  </si>
  <si>
    <t>10.1016/j.quascirev.2020.106169</t>
  </si>
  <si>
    <t>KU4GL</t>
  </si>
  <si>
    <t>WOS:000519667900002</t>
  </si>
  <si>
    <t>Rudolph, EM; Hedding, DW; Fabel, D; Hodgson, DA; Gheorghiu, DM; Shanks, R; Nel, W</t>
  </si>
  <si>
    <t>Rudolph, Elizabeth M.; Hedding, David W.; Fabel, Derek; Hodgson, Dominic A.; Gheorghiu, Delia M.; Shanks, Richard; Nel, Werner</t>
  </si>
  <si>
    <t>Early glacial maximum and deglaciation at sub-Antarctic Marion Island from cosmogenic 36Cl exposure dating</t>
  </si>
  <si>
    <t>Marion island; Sub-Antarctic; Cosmogenic isotopes; Chlorine-36; Last glacial maximum; MIS 3; Pleistocene; Geomorphology; Glacial; Glaciation; Southern ocean</t>
  </si>
  <si>
    <t>SOUTH GEORGIA; CLIMATE-CHANGE; HISTORY; OCEAN; CHRONOLOGY; EXTENT; RECONSTRUCTION; GEOMORPHOLOGY; INSOLATION; PATAGONIA</t>
  </si>
  <si>
    <t>Southern Hemisphere glacial chronologies can provide valuable insights into interactions between glaciation and past climate changes, but are not well constrained on most sub-Antarctic islands. We present the first cosmogenic Cl-36 exposure ages of deglaciated bedrock surfaces and moraine deposits from sub-Antarctic Marion Island in the southern Indian Ocean. Results show that the ice reached a local Last Glacial Maximum before 34 ka and retreated, with no re-advances, but possibly minor stand stills, until similar to 17 ka. This early deglaciation left island surfaces below 850 m a.s.l. ice-free after similar to 19 ka, and any subsequent advances during the Antarctic Cold Reversal or Holocene cooling periods would have been restricted to the interior. This glacial chronology is similar to that of some other sub-Antarctic Islands (e.g. the Kerguelen archipelago, Auckland and Campbell islands, and possibly South Georgia) and a number of other Southern Hemisphere glaciers (e.g. in Patagonia and New Zealand) and adds to evidence that suggest the Southern Hemisphere was in a glacial maxima earlier than the global LGM. We suggest a combination of declining temperatures, a northward migration of oceanic fronts and the Southern Hemisphere westerly winds (causing precipitation changes), as well as the physiography of Marion Island, created optimal conditions for glacier growth during Marine Isotope Stage (MIS) 3 instead of MIS 2. Our findings redefine the glacial history of Marion Island, and have implications for future investigations on post-glacial landscape development and ecological succession. (C) 2020 Elsevier Ltd. All rights reserved.</t>
  </si>
  <si>
    <t>[Rudolph, Elizabeth M.; Nel, Werner] Univ Ft Hare, Dept Geog &amp; Environm Sci, 1 King Williamstown Rd, ZA-5700 Alice, South Africa; [Hedding, David W.] Univ South Africa, Dept Geog, Unisa, POB 392, ZA-0003 Florida, South Africa; [Fabel, Derek; Gheorghiu, Delia M.; Shanks, Richard] Scottish Univ Environm Res Ctr, Rankine Ave, E Kilbride G75 0QF, Lanark, Scotland; [Hodgson, Dominic A.] British Antarctic Survey, Madingley Rd, Cambridge CB3 0ET, England</t>
  </si>
  <si>
    <t>University of Fort Hare; University of South Africa; Scottish Universities Research &amp; Reactor Center; UK Research &amp; Innovation (UKRI); Natural Environment Research Council (NERC); NERC British Antarctic Survey</t>
  </si>
  <si>
    <t>Rudolph, EM (corresponding author), Univ Free State, Dept Geog, Bldg 53,205 Nelson Mandela Ave,Pk West, ZA-9300 Bloemfontein, South Africa.</t>
  </si>
  <si>
    <t>rudolphem@ufs.ac.za</t>
  </si>
  <si>
    <t>Rudolph, Elizabeth M/GOJ-7266-2022; Hedding, David William/F-3044-2011; Fabel, Derek/A-2999-2010</t>
  </si>
  <si>
    <t>Rudolph, Elizabeth M/0000-0002-3823-3278; Hedding, David William/0000-0002-9748-4499; Gheorghiu, Delia M./0000-0001-9812-4762; Nel, Werner/0000-0002-3769-4937</t>
  </si>
  <si>
    <t>National Research Foundation [SANAP-NRF: 110723]; NERC [bas0100030] Funding Source: UKRI</t>
  </si>
  <si>
    <t>National Research Foundation; NERC(UK Research &amp; Innovation (UKRI)Natural Environment Research Council (NERC))</t>
  </si>
  <si>
    <t>The South African National Antarctic Programme and the Department of Environmental Affairs for logistical support, and the National Research Foundation for financial support (SANAP-NRF: 110723). We are grateful for the endurance of our field assistants, the expertise of the staff at SUERC, and the use of the facilities at the Departments of Geography and Geology at the University of the Free State. Lastly, we are grateful for the reviewers whose input added great value to the improvement of this manuscript.</t>
  </si>
  <si>
    <t>10.1016/j.quascirev.2020.106208</t>
  </si>
  <si>
    <t>WOS:000519667900016</t>
  </si>
  <si>
    <t>Ravindra, R; Rajan, S</t>
  </si>
  <si>
    <t>Ravindra, Rasik; Rajan, S.</t>
  </si>
  <si>
    <t>Advances in Antarctic geoscience studies: Indian contributions</t>
  </si>
  <si>
    <t>EPISODES</t>
  </si>
  <si>
    <t>DRONNING MAUD LAND; EAST-AFRICAN OROGEN; ZIRCON U-PB; SCHIRMACHER HILLS; TEMPERATURE METAMORPHISM; WOHLTHAT MOUNTAINS; REACTION TEXTURES; LARSEMANN HILLS; GHATS BELT; PETROLOGY</t>
  </si>
  <si>
    <t>Indian contributions to Antarctic geosciences have been growing at a steady pace since last four decades or so, especially after the establishment of a national centre dedicated to polar studies (National Centre for Polar and Ocean Research, NCPOR). Several national organizations, laboratories and universities have contributed to the country's endeavors in Polar geosciences in varied fields such as structure and tectonics, metamorphism, geochronology, palaeo-climatology, sedimentology, seismo-tectonics, palaeomagnetism, and other related branches to generate a wealth of scientific data. The area of operations has been spread over parts of Central Dronning Maud land and the Larsemann Hills of Prydz Bay in East Antarctica, that expose poly-metamorphic deformed terrain with imprints of both the Grenville and Pan African orogeny. The geoscientific studies have focused on crustal evolution and geodynamics of the Antarctic continent and best fit model for India and Antarctic prior to the Gondwana amalgamation and split. Deep seismic profiles and related studies have revealed the subsurface nature of crust while other geophysical studies include geomagnetism and movement of Antarctic plate, ground penetrating radar surveys. The limnological studies, nature of surface sediments, sediments from melt water lakes, their provenance and microtextures etc, have been covered in another paper in this volume.</t>
  </si>
  <si>
    <t>[Ravindra, Rasik; Rajan, S.] Natl Ctr Polar &amp; Ocean Res, Vasco Da Gama 403804, Goa, India</t>
  </si>
  <si>
    <t>Ministry of Earth Sciences (MoES) - India; National Centre for Polar and Ocean Research (NCPOR)</t>
  </si>
  <si>
    <t>rasikravindra@gmail.com; rajan.ncaor@gmail.com</t>
  </si>
  <si>
    <t>GEOLOGICAL SOC KOREA</t>
  </si>
  <si>
    <t>KOREA SCIENCE &amp; TECHNOLOGY CTR, RM 813, 7 GIL 22, TEHERAN- RO, GANGNAM-GUNA, SEOUL, 06130, SOUTH KOREA</t>
  </si>
  <si>
    <t>0705-3797</t>
  </si>
  <si>
    <t>Episodes</t>
  </si>
  <si>
    <t>10.18814/epiiugs/2020/020037</t>
  </si>
  <si>
    <t>KU4SM</t>
  </si>
  <si>
    <t>WOS:000519700500038</t>
  </si>
  <si>
    <t>Thamban, M</t>
  </si>
  <si>
    <t>Thamban, Meloth</t>
  </si>
  <si>
    <t>Palaeoclimatic records from Antarctica and Southern Ocean: A review of Indian contributions</t>
  </si>
  <si>
    <t>DRONNING MAUD LAND; DISSOLVED ORGANIC-MATTER; INGRID CHRISTENSEN COAST; FRESH-WATER LAKE; EAST ANTARCTICA; ICE CORE; SCHIRMACHER OASIS; LATE QUATERNARY; CLIMATIC CHANGES; ATMOSPHERIC CO2</t>
  </si>
  <si>
    <t>Polar regions are highly sensitive to climate change and are crucial for regulating the Earth's climate. While the past climatic changes were forced differently than the ongoing and future anthropogenic changes, such periods may provide insights into potential future climate impacts and ecosystem feedbacks, especially over centennial-to-millennial timescales that are often not covered by climate model simulations. As part of the initiatives to better understand the polar climate system and its global linkages, Indian scientists have been undertaking palaeoclimatic studies, mainly from the Antarctica, its margins and the surrounding Southern Ocean. Antarctic palaeoclimate records come primarily from proxy records of ice cores or marine and lake sediment cores. Among ice core records, the Indian contributions have been focussing on a network of annually resolved shallow depth ice cores to reconstruct the Antarctic climate variability and its regional and global climatic teleconnections, especially during the past few centuries. Compared to this, the Antarctic lake sediment records have focussed on long-term climate variability, especially during the late Quaternary. Recently, as part of the collaborative initiatives under the International Ocean Discovery Program, Indian scientists have been studying longer sedimentary records from the Antarctic continental margin that offer opportunity to study the evolution and dynamics of the Antarctic ice sheets since their formation during the Cenozoic.</t>
  </si>
  <si>
    <t>[Thamban, Meloth] Natl Ctr Polar &amp; Ocean Res, ESSO, Vasco Da Gama 403804, Goa, India</t>
  </si>
  <si>
    <t>Ministry of Earth Sciences (MoES) - India; National Centre for Polar and Ocean Research (NCPOR); Earth System Science Organization (ESSO)</t>
  </si>
  <si>
    <t>Thamban, M (corresponding author), Natl Ctr Polar &amp; Ocean Res, ESSO, Vasco Da Gama 403804, Goa, India.</t>
  </si>
  <si>
    <t>meloth@ncpor.res.in</t>
  </si>
  <si>
    <t>Thamban, Meloth/0000-0003-3379-8189</t>
  </si>
  <si>
    <t>Ministry of Earth Sciences; National Centre for Polar and Ocean Research</t>
  </si>
  <si>
    <t>The paper has attempted to review a large number of contributions made by various Indian researchers. Special thanks Drs. Rahul Mohan, C. M. Laluraj, Waliur Rahman, M.C. Manoj, Mahesh Badanal and Abhilash Nair. Ministry of Earth Sciences and the National Centre for Polar and Ocean Research are acknowledged for sustained support under various research grants. This is the NCAOR contribution No. J-60/2019-20.</t>
  </si>
  <si>
    <t>10.18814/epiiugs/2020/020038</t>
  </si>
  <si>
    <t>WOS:000519700500039</t>
  </si>
  <si>
    <t>Coleine, C; Albanese, D; Onofri, S; Tringe, SG; Pennacchio, C; Donati, C; Stajich, JE; Selbmann, L</t>
  </si>
  <si>
    <t>Coleine, Claudia; Albanese, Davide; Onofri, Silvano; Tringe, Susannah G.; Pennacchio, Christa; Donati, Claudio; Stajich, Jason E.; Selbmann, Laura</t>
  </si>
  <si>
    <t>Metagenomes in the Borderline Ecosystems of the Antarctic Cryptoendolithic Communities</t>
  </si>
  <si>
    <t>Antarctic cryptoendolithic communities are microbial ecosystems dwelling inside rocks of the Antarctic desert. We present the first 18 shotgun meta-genomes from these communities to further characterize their composition, biodiversity, functionality, and adaptation. Future studies will integrate taxonomic and functional annotations to examine the pathways necessary for life to evolve in the extremes.</t>
  </si>
  <si>
    <t>[Coleine, Claudia; Onofri, Silvano; Selbmann, Laura] Univ Tuscia, Dept Ecol &amp; Biol Sci, Viterbo, Italy; [Albanese, Davide; Donati, Claudio] Fdn Edmund Mach, Res &amp; Innovat Ctr, San Michele All Adige, Italy; [Tringe, Susannah G.; Pennacchio, Christa] Dept Energy Joint Genome Inst, Walnut Creek, CA USA; [Stajich, Jason E.] Univ Calif Riverside, Dept Microbiol &amp; Plant Pathol, Riverside, CA 92521 USA; [Stajich, Jason E.] Univ Calif Riverside, Inst Integrat Genome Biol, Riverside, CA 92521 USA; [Selbmann, Laura] Italian Antarctic Natl Museum, Mycol Sect, Genoa, Italy</t>
  </si>
  <si>
    <t>Tuscia University; Fondazione Edmund Mach; United States Department of Energy (DOE); Lawrence Berkeley National Laboratory; University of California System; University of California Riverside; University of California System; University of California Riverside</t>
  </si>
  <si>
    <t>Donati, C (corresponding author), Fdn Edmund Mach, Res &amp; Innovat Ctr, San Michele All Adige, Italy.;Stajich, JE (corresponding author), Univ Calif Riverside, Dept Microbiol &amp; Plant Pathol, Riverside, CA 92521 USA.;Stajich, JE (corresponding author), Univ Calif Riverside, Inst Integrat Genome Biol, Riverside, CA 92521 USA.</t>
  </si>
  <si>
    <t>claudio.donati@fmach.it; jason.stajich@ucr.edu</t>
  </si>
  <si>
    <t>Stajich, Jason Eric/C-7297-2008; Donati, Claudio/AAF-1246-2020; Tringe, Susannah Green/T-9431-2019; Albanese, Davide/AAA-7295-2021; Selbmann, Laura/L-3056-2013; Coleine, Claudia/AAE-1889-2020</t>
  </si>
  <si>
    <t>Stajich, Jason Eric/0000-0002-7591-0020; Tringe, Susannah Green/0000-0001-6479-8427; Albanese, Davide/0000-0002-9493-3850; Selbmann, Laura/0000-0002-8967-3329; Coleine, Claudia/0000-0002-9289-6179</t>
  </si>
  <si>
    <t>Italian Antarctic National Museum (MNA); Italian National Program for Antarctic Researches (PNRA); Office of Science of the U.S. DOE [DE-AC02-05CH11231]; NSF [DBI-1429826]; NIH [S10-OD016290]; JGI Community Sequencing Project [503708]</t>
  </si>
  <si>
    <t>Italian Antarctic National Museum (MNA); Italian National Program for Antarctic Researches (PNRA); Office of Science of the U.S. DOE(United States Department of Energy (DOE)); NSF(National Science Foundation (NSF)); NIH(United States Department of Health &amp; Human ServicesNational Institutes of Health (NIH) - USA); JGI Community Sequencing Project</t>
  </si>
  <si>
    <t>The Italian Antarctic National Museum (MNA) is gratefully acknowledged for financial support to the Mycological Section of the MNA for preserving Antarctic rock samples analyzed in this study and stored in the Culture Collection of Fungi from Extreme Environments, University of Tuscia, Italy. C.C. and L.S. thank the Italian National Program for Antarctic Researches (PNRA) for funding sampling campaigns and research activities in Italy in the frame of PNRA projects. J.E.S. is a CIFAR fellow in the program Fungal Kingdom: Threats and Opportunities. The work conducted by the U.S. DOE JGI, a DOE Office of Science User Facility, is supported by the Office of Science of the U.S. DOE under contract DE-AC02-05CH11231. Data analyses performed at the HighPerformance Computing Cluster at the University of California, Riverside in the Institute of Integrative Genome Biology were supported by NSF grant DBI-1429826 and NIH grant S10-OD016290.; J.E.S. and L.S. are the co-principal investigator and principal investigator, respectively, of JGI Community Sequencing Project 503708. S.G.T. and C.P. supported the project as leader and project manager, respectively, of the metagenomic group. Samples were collected by L.S. during the XXXI Italian Antarctic Expedition (2015 to 2016). C.C., J.E.S., and L.S. designed the research, C.C. performed DNA extraction and quality control checks, and C.C., D.A., J.E.S., and L.S. wrote the paper, with input from S.O., S.G.T., C.P., and C.D.</t>
  </si>
  <si>
    <t>e01599-19</t>
  </si>
  <si>
    <t>10.1128/MRA.01599-19</t>
  </si>
  <si>
    <t>KU2EP</t>
  </si>
  <si>
    <t>Green Published, gold, Green Submitted</t>
  </si>
  <si>
    <t>WOS:000519521800027</t>
  </si>
  <si>
    <t>Tribelli, PM; Pezzoni, M; Brito, MG; Montesinos, NV; Costa, CS; Lopez, NI</t>
  </si>
  <si>
    <t>Tribelli, Paula M.; Pezzoni, Magdalena; Gabriela Brito, Maria; Montesinos, Nahuel, V; Costa, Cristina S.; Lopez, Nancy, I</t>
  </si>
  <si>
    <t>Response to lethal UVA radiation in the Antarctic bacterium Pseudomonas extremaustralis: polyhydroxybutyrate and cold adaptation as protective factors</t>
  </si>
  <si>
    <t>EXTREMOPHILES</t>
  </si>
  <si>
    <t>Ultraviolet radiation; Polyhydrohydroxyalkanoates; PHB; Cold adaptation; Pseudomonas extremaustralis; Antarctica</t>
  </si>
  <si>
    <t>POLY-BETA-HYDROXYBUTYRATE; GENE-EXPRESSION; ESCHERICHIA-COLI; OXIDATIVE DAMAGE; LOW-TEMPERATURE; ULTRAVIOLET-A; RPOS GENE; NEAR-UV; STRESS; POLY(3-HYDROXYBUTYRATE)</t>
  </si>
  <si>
    <t>Pseudomonas extremaustralis is an Antarctic bacterium with high stress resistance, able to grow under cold conditions. It is capable to produce polyhydroxyalkanoates (PHAs) mainly as polyhydroxybutyrate (PHB) and, to a lesser extent, medium-chain length polyhydroxyalkanoates (mclPHAs). In this work, we analyzed the role of PHAs and cold adaptation in the survival of P. extremaustralis after lethal UVA exposure. P. extremaustralis presented higher radiation resistance under polymer accumulation conditions. This result was also observed in the derivative mutant strain PHA(-), deficient for mclPHAs production. On the contrary, the PHB- derivative mutant, deficient for PHB production, showed high sensitivity to UVA exposure. Complementation of the PHB- strain restored the wild-type resistance level, indicating that the UVA-sensitive phenotype is due to the lack of PHB. All strains exhibited high sensitivity to radiation when cultured under PHAs non-accumulation conditions. A slight decrease in PHB content was observed after UVA exposure in association with increased survival. The scattering of UVA radiation by intracellular PHAs granules could also result in bacterial cell protection. In addition, cold conditions improved UVA tolerance, probably depending on PHB mobilization. Results showed that PHB accumulation is crucial in the resistance to UVA in P. extremaustralis. Mechanisms involved probably entail depolymerization and light scattering acting as a screen, both conferring protection against oxidative stress.</t>
  </si>
  <si>
    <t>[Tribelli, Paula M.; Gabriela Brito, Maria; Lopez, Nancy, I] Univ Buenos Aires, Dept Quim Biol, Fac Ciencias Exactas &amp; Nat, 1428EGA, Buenos Aires, DF, Argentina; [Tribelli, Paula M.; Gabriela Brito, Maria; Lopez, Nancy, I] IQUIBICEN CONICET, Buenos Aires, DF, Argentina; [Pezzoni, Magdalena; Costa, Cristina S.] Comis Nacl Energia Atom, Dept Radiobiol, Av Gral Paz 1499, RA-1650 San Martin, Buenos Aires, Argentina; [Montesinos, Nahuel, V] Comis Nacl Energia Atom, Div Quim Remediac Ambiental, Av Gral Paz 1499, RA-1650 San Martin, Buenos Aires, Argentina; [Montesinos, Nahuel, V] UTN FRA, Ctr Tecnol Quim, Av Medrano 951, RA-1179 Buenos Aires, DF, Argentina</t>
  </si>
  <si>
    <t>University of Buenos Aires; Comision Nacional de Energia Atomica (CNEA); Comision Nacional de Energia Atomica (CNEA)</t>
  </si>
  <si>
    <t>Lopez, NI (corresponding author), Univ Buenos Aires, Dept Quim Biol, Fac Ciencias Exactas &amp; Nat, 1428EGA, Buenos Aires, DF, Argentina.;Lopez, NI (corresponding author), IQUIBICEN CONICET, Buenos Aires, DF, Argentina.</t>
  </si>
  <si>
    <t>nan@qb.fcen.uba.ar</t>
  </si>
  <si>
    <t>Montesinos, Nahuel/0000-0002-8057-5191</t>
  </si>
  <si>
    <t>SPRINGER JAPAN KK</t>
  </si>
  <si>
    <t>TOKYO</t>
  </si>
  <si>
    <t>SHIROYAMA TRUST TOWER 5F, 4-3-1 TORANOMON, MINATO-KU, TOKYO, 105-6005, JAPAN</t>
  </si>
  <si>
    <t>1431-0651</t>
  </si>
  <si>
    <t>1433-4909</t>
  </si>
  <si>
    <t>Extremophiles</t>
  </si>
  <si>
    <t>10.1007/s00792-019-01152-1</t>
  </si>
  <si>
    <t>Biochemistry &amp; Molecular Biology; Microbiology</t>
  </si>
  <si>
    <t>KT9ZF</t>
  </si>
  <si>
    <t>WOS:000519371100008</t>
  </si>
  <si>
    <t>Uesugi, M; Hirahara, K; Uesugi, K; Takeuchi, A; Karouji, Y; Shirai, N; Ito, M; Tomioka, N; Ohigashi, T; Yamaguchi, A; Imae, N; Yada, T; Abe, M</t>
  </si>
  <si>
    <t>Uesugi, Masayuki; Hirahara, Kaori; Uesugi, Kentaro; Takeuchi, Akihisa; Karouji, Yuzuru; Shirai, Naoki; Ito, Motoo; Tomioka, Naotaka; Ohigashi, Takuji; Yamaguchi, Akira; Imae, Naoya; Yada, Toru; Abe, Masanao</t>
  </si>
  <si>
    <t>Development of a sample holder for synchrotron radiation-based computed tomography and diffraction analysis of extraterrestrial materials</t>
  </si>
  <si>
    <t>QUANTITATIVE-ANALYSIS; MICROTOMOGRAPHY; CHONDRITE; GRAINS</t>
  </si>
  <si>
    <t>A sample holder for a suite of synchrotron radiation measurements on extraterrestrial materials, which are fragile and irregularly shaped, was developed using carbon nanotubes and polyimide. The holder enables investigation of such samples with multiple analytical instruments, which means that we can reduce the number of sample transfers between holders. The holder developed in our study also enables investigation of such samples without exposure to the terrestrial atmosphere, which contains abundant contaminants, such as water vapor and organic substances. The stability of the samples in the holder during the measurements and disturbance of the analysis result by the holder were evaluated, which showed that sample drift motion and image disturbance due to x-ray attenuation and scattering of the holder materials are insignificant. Published under license by AIP Publishing.</t>
  </si>
  <si>
    <t>[Uesugi, Masayuki; Uesugi, Kentaro; Takeuchi, Akihisa] Japan Synchrotron Radiat Res Inst JASRI SPring 8, 1-1-1 Kouto, Sayo, Hyogo 6795198, Japan; [Hirahara, Kaori] Osaka Univ, Dept Mech Engn, 2-1 Yamadaoka, Suita, Osaka 5650871, Japan; [Hirahara, Kaori] Osaka Univ, Ctr Atom &amp; Mol Technol, 2-1 Yamadaoka, Suita, Osaka 5650871, Japan; [Karouji, Yuzuru] Japan Aerosp Explorat Agcy JAXA, JAXA Space Explorat Ctr, 3-1-1 Yoshinodai, Sagamihara, Kanagawa 2525210, Japan; [Shirai, Naoki] Tokyo Metropolitan Univ, Dept Chem, Grad Sch Sci, Hachioji, Tokyo 1920397, Japan; [Ito, Motoo; Tomioka, Naotaka] Japan Agcy Marine Earth Sci Technol JAMSTEC, Kochi Inst Core Sample Res, Nanko Ku, 200 Monobe Otsu, Nankoku, Kochi 7838502, Japan; [Ohigashi, Takuji] Inst Mol Sci, UVSOR Facil, 38 Nishigo Naka, Okazaki, Aichi 4448585, Japan; [Yamaguchi, Akira; Imae, Naoya] Natl Inst Polar Res, Antarctic Meteorite Res Ctr, Tokyo 1738515, Japan; [Yada, Toru; Abe, Masanao] Japan Aerosp Explorat Agcy JAXA, Inst Space &amp; Astronaut Sci, 3-1-1 Yoshinodai, Sagamihara, Kanagawa 2525210, Japan</t>
  </si>
  <si>
    <t>Japan Synchrotron Radiation Research Institute; Osaka University; Osaka University; Japan Aerospace Exploration Agency (JAXA); Tokyo Metropolitan University; Japan Agency for Marine-Earth Science &amp; Technology (JAMSTEC); National Institutes of Natural Sciences (NINS) - Japan; Institute for Molecular Science (IMS); Research Organization of Information &amp; Systems (ROIS); National Institute of Polar Research (NIPR) - Japan; Japan Aerospace Exploration Agency (JAXA); Institute of Space &amp; Astronautical Science (ISAS)</t>
  </si>
  <si>
    <t>Uesugi, M (corresponding author), Japan Synchrotron Radiat Res Inst JASRI SPring 8, 1-1-1 Kouto, Sayo, Hyogo 6795198, Japan.</t>
  </si>
  <si>
    <t>uesugi@spring8.or.jp</t>
  </si>
  <si>
    <t>Tomioka, Naotaka/AID-3472-2022; Tomioka, Naotaka/B-1888-2011; Hirahara, Kaori/C-5286-2014</t>
  </si>
  <si>
    <t>Tomioka, Naotaka/0000-0001-5725-9513; Hirahara, Kaori/0000-0002-7776-4493; Uesugi, Kentaro/0000-0003-2579-513X; da dong, zuo zhi/0000-0003-4778-5645</t>
  </si>
  <si>
    <t>JSPS KAKENHI [JP15H03755, JP18H05479]; JSPS [JP18H04468, JP18K18795]; NIPR, Research Project Fund [KP307]</t>
  </si>
  <si>
    <t>JSPS KAKENHI(Ministry of Education, Culture, Sports, Science and Technology, Japan (MEXT)Japan Society for the Promotion of ScienceGrants-in-Aid for Scientific Research (KAKENHI)); JSPS(Ministry of Education, Culture, Sports, Science and Technology, Japan (MEXT)Japan Society for the Promotion of Science); NIPR, Research Project Fund</t>
  </si>
  <si>
    <t>The authors thank RSI for constructive feedback and are grateful to Kohei Tsujita for technical support on development and improvement of the VACNT holder. M.U. was supported by JSPS KAKENHI (Grant Nos. JP15H03755 and JP18H05479). M.I. was partly supported by JSPS Grants-in-Aid for Scientific Research (Grant Nos. JP18H04468 and JP18K18795). A.Y. was partly supported by NIPR, Research Project Fund (Grant No. KP307). The synchrotron radiation measurements were performed at BL20XU and BL47XU in SPring-8 with the approval of the Japan Synchrotron Radiation Research Institute (JASRI) (Proposal Nos. 2014A1387, 2014A1498, 2014B1359, 2014B1418, 2014B1535, 2015B1460, 2015A1445, 2016A1208, 2016B1361, 2017A1254, 2017B1227, 2017B1234, 2018A1216, 2018A1218, 2018A1219, 2018B1271, 2019A0162, and 2019A1165).</t>
  </si>
  <si>
    <t>10.1063/1.5122672</t>
  </si>
  <si>
    <t>KU8AO</t>
  </si>
  <si>
    <t>WOS:000519934400001</t>
  </si>
  <si>
    <t>Gargiulo, GM; Vilardo, I; Gemelli, F; Cambrea, G; Crosca, A</t>
  </si>
  <si>
    <t>Gargiulo, G. M.; Vilardo, I; Gemelli, F.; Cambrea, G.; Crosca, A.</t>
  </si>
  <si>
    <t>Aneusomaty and polysomaty in Cymodocea nodosa (Ucria) Ascherson from Mediterranean Sea (Sicily, Italy)</t>
  </si>
  <si>
    <t>AQUATIC BOTANY</t>
  </si>
  <si>
    <t>Aneusomaty; Chromosomes; Cymodocea; Endopolyploidy; Polysomaty; Seagrasses</t>
  </si>
  <si>
    <t>CHROMOSOME-NUMBERS; GENOME SIZE; ANGIOSPERMS; SEAGRASSES; EVOLUTION; CELL</t>
  </si>
  <si>
    <t>Basic cytogenetic knowledge and genome size data on marine phanerogams are essentially limited, although they are indispensable to plan correct experimental designs and for the right interpretation of genetic data, particularly those requiring detailed analyses of genome structure and evolution. Observations on mitotic divisions and chromosomal behaviours as well as DNA measurements have been carried out on five Cymodocea nodosa populations from Sicilian coasts. Standard chromosome counting and Image Cytometric analyses were used to determine the chromosome number and the ploidy of each population. High chromosome number variation was detected in individuals from all the studied populations, even in a single root (aneusomaty). The numbers varied according to the cell position. Near the apical meristem, it was lower, while far from the apex the majority of dividing cells showed higher chromosome numbers. Mitotic anomalies were also detected. The relative DNA value of nuclei confirmed that all of the studied populations presented polysomaty. Cytological and cytometric data clearly indicated that the combined action of endopolyploidy and mitotic anomalies were involved in this uncommon cytogenetic behavior. The data reported represent the first contribution to understanding the basic cytogenetics in this genus.</t>
  </si>
  <si>
    <t>[Gargiulo, G. M.; Vilardo, I; Cambrea, G.; Crosca, A.] Univ Messina, Dept Chem Pharmaceut &amp; Environm Sci, Via F Stagno DAlcontres 31, I-98166 Messina, Italy; [Gemelli, F.] Univ Tasmania, Inst Marine &amp; Antarctic Studies, Hobart, Tas 7004, Australia</t>
  </si>
  <si>
    <t>University of Messina; University of Tasmania</t>
  </si>
  <si>
    <t>Gargiulo, GM (corresponding author), Univ Messina, Dept Chem Pharmaceut &amp; Environm Sci, Via F Stagno DAlcontres 31, I-98166 Messina, Italy.</t>
  </si>
  <si>
    <t>ggargiulo@unime.it</t>
  </si>
  <si>
    <t>RADARWEG 29a, 1043 NX AMSTERDAM, NETHERLANDS</t>
  </si>
  <si>
    <t>0304-3770</t>
  </si>
  <si>
    <t>1879-1522</t>
  </si>
  <si>
    <t>AQUAT BOT</t>
  </si>
  <si>
    <t>Aquat. Bot.</t>
  </si>
  <si>
    <t>10.1016/j.aquabot.2020.103206</t>
  </si>
  <si>
    <t>KS8WQ</t>
  </si>
  <si>
    <t>WOS:000518589600009</t>
  </si>
  <si>
    <t>van der Wurff, ISM; von Schacky, C; Bergeland, T; Leontjevas, R; Zeegers, MP; Kirschner, PA; de Groot, RHM</t>
  </si>
  <si>
    <t>van der Wurff, I. S. M.; von Schacky, C.; Bergeland, T.; Leontjevas, R.; Zeegers, M. P.; Kirschner, P. A.; de Groot, R. H. M.</t>
  </si>
  <si>
    <t>Exploring the association between whole blood Omega-3 Index, DHA, EPA, DPA, AA and n-6 DPA, and depression and self-esteem in adolescents of lower general secondary education (vol 58, pg 1429, 2019)</t>
  </si>
  <si>
    <t>EUROPEAN JOURNAL OF NUTRITION</t>
  </si>
  <si>
    <t>[van der Wurff, I. S. M.; Kirschner, P. A.; de Groot, R. H. M.] Open Univ Netherlands, Res Ctr Learning Teaching &amp; Technol, Welten Inst, Valkenburgerweg 177,POB 2960, NL-6419 AT Heerlen, Netherlands; [von Schacky, C.] Omegametrix, D-82152 Martinsried, Germany; [von Schacky, C.] Ludwig Maximilians Univ Munchen, Med Clin &amp; Policlin 1, Prevent Cardiol, Munich, Germany; [Bergeland, T.] Aker BioMarine Antarctic AS, N-1327 Lysaker, Norway; [Leontjevas, R.] Open Univ Netherlands, Fac Psychol &amp; Educ Sci, NL-6419 AT Heerlen, Netherlands; [Zeegers, M. P.; de Groot, R. H. M.] Maastricht Univ, Sch NUTRIM, Nutr &amp; Translat Res Metab, NL-6200 MD Maastricht, Netherlands; [Zeegers, M. P.] Maastricht Univ, Care &amp; Publ Hlth Res Inst, Sch CAPHRI, NL-6200 MD Maastricht, Netherlands; [Kirschner, P. A.] Univ Oulu, Oulu, Finland</t>
  </si>
  <si>
    <t>Open University Netherlands; University of Munich; Open University Netherlands; Maastricht University; Maastricht University; Maastricht University Medical Centre (MUMC); University of Oulu</t>
  </si>
  <si>
    <t>van der Wurff, ISM (corresponding author), Open Univ Netherlands, Res Ctr Learning Teaching &amp; Technol, Welten Inst, Valkenburgerweg 177,POB 2960, NL-6419 AT Heerlen, Netherlands.</t>
  </si>
  <si>
    <t>inge.vanderwurff@ou.nl</t>
  </si>
  <si>
    <t>Kirschner, Paul/KBC-4463-2024</t>
  </si>
  <si>
    <t>1436-6207</t>
  </si>
  <si>
    <t>1436-6215</t>
  </si>
  <si>
    <t>EUR J NUTR</t>
  </si>
  <si>
    <t>Eur. J. Nutr.</t>
  </si>
  <si>
    <t>10.1007/s00394-019-02175-2</t>
  </si>
  <si>
    <t>Nutrition &amp; Dietetics</t>
  </si>
  <si>
    <t>KS7LG</t>
  </si>
  <si>
    <t>WOS:000518487600037</t>
  </si>
  <si>
    <t>Clay, P; Joy, KH; O'Driscoll, B; Busemann, H; Ruzie-Hamilton, L; Burgess, R; Fellowes, J; Joachim-Mrosko, B; Pernet-Fisher, J; Strekopytov, S; Ballentine, CJ</t>
  </si>
  <si>
    <t>Clay, Patricia; Joy, Katherine H.; O'Driscoll, Brian; Busemann, Henner; Ruzie-Hamilton, Lorraine; Burgess, Ray; Fellowes, Jonathan; Joachim-Mrosko, Bastian; Pernet-Fisher, John; Strekopytov, Stanislav; Ballentine, Christopher J.</t>
  </si>
  <si>
    <t>Heavy halogen geochemistry of martian shergottite meteorites and implications for the halogen composition of the depleted shergottite mantle source</t>
  </si>
  <si>
    <t>AMERICAN MINERALOGIST</t>
  </si>
  <si>
    <t>Mars; shergottites; meteorites; halogens; noble gas; volatile; geochemistry; planetary habitability; Halogens in Planetary Systems</t>
  </si>
  <si>
    <t>RAY EXPOSURE AGES; NOBLE-GASES; GUSEV CRATER; ISOTOPIC SYSTEMATICS; OLIVINE; CHEMISTRY; MARS; TISSINT; HISTORY; SURFACE</t>
  </si>
  <si>
    <t>Volatile elements (e.g., H, C, N) have a strong influence on the physical and chemical evolution of planets and are essential for the development of habitable conditions. Measurement of the volatile and incompatible heavy halogens, Cl, Br, and I, can provide insight into volatile distribution and transport processes, due to their hydrophilic nature. However, information on the bulk halogen composition of martian meteorites is limited, particularly for Br and I, largely due to the difficulty in measuring ppb-level Br and I abundances in small samples. In this study, we address this challenge by using the neutron irradiation noble gas mass spectrometry (NI-NGMS) method to measure the heavy halogen composition of five olivine-phyric shergottite meteorites, including the enriched (Larkman Nunatak LAR 06319 and LAR 12011) and depleted (LAR 12095, LAR 12240, and Tissint) compositional end-members. Distinct differences in the absolute abundances and halogen ratios exist between enriched (74 to 136 ppm Cl, 1303 to 3061 ppb Br, and 4 to 1423 ppb I) and depleted (10 to 26 ppm Cl, 46 to 136 ppb Br, and 3 to 329 ppb I) samples. All halogen measurements are within the ranges previously reported for martian shergottite, nakhlite, and chassignite (SNC) meteorites. Enriched shergottites show variable and generally high Br and I absolute abundances. Halogen ratios (Br/Cl and I/Cl) are in proportions that exceed those of both carbonaceous chondrites and the martian surface. This may be linked to a volatile-rich martian mantle source, be related to shock processes or could represent a small degree of heavy halogen contamination (a feature of some Antarctic meteorites, for example). The differences observed in halogen abundances and ratios between enriched and depleted compositions, however, are consistent with previous suggestions of a heterogeneous distribution of volatiles in the martian mantle. Depleted shergottites have lower halogen abundances and Br and Cl in similar proportions to bulk silicate Earth and carbonaceous chondrites. Tissint in particular, as an uncontaminated fall, allows an estimate of the depleted shergottite mantle source composition to be made: 1.2 ppm Cl, 7.0 ppb Br, and 0.2 ppb I. The resultant bulk silicate Mars (BSM) estimate (22 ppm Cl, 74 ppb Br, and 6 ppb I), including the martian crust and depleted shergottite mantle, is similar to estimates of the bulk silicate earth (BSE) halogen composition.</t>
  </si>
  <si>
    <t>[Clay, Patricia; Joy, Katherine H.; O'Driscoll, Brian; Ruzie-Hamilton, Lorraine; Burgess, Ray; Fellowes, Jonathan; Pernet-Fisher, John] Univ Manchester, Dept Earth &amp; Environm Sci, Manchester M13 9PL, Lancs, England; [Busemann, Henner] Swiss Fed Inst Technol, Inst Geochem &amp; Petrol, Clausiusstr 25, CH-8092 Zurich, Switzerland; [Joachim-Mrosko, Bastian] Univ Innsbruck, Inst Mineral &amp; Petrog, Innrain 52f, A-6020 Innsbruck, Austria; [Strekopytov, Stanislav] Nat Hist Museum, Imaging &amp; Anal Ctr, Cromwell Rd, London SW7 5BD, England; [Ballentine, Christopher J.] Univ Oxford, Dept Earth Sci, South Parks Rd, Oxford OX1 3AN, England; [Strekopytov, Stanislav] LGC Ltd, Natl Measurement Lab, Queens Rd, Teddington TW11 0LY, Middx, England</t>
  </si>
  <si>
    <t>University of Manchester; Swiss Federal Institutes of Technology Domain; ETH Zurich; University of Innsbruck; Natural History Museum London; University of Oxford; LGC Genomics</t>
  </si>
  <si>
    <t>Clay, P (corresponding author), Univ Manchester, Dept Earth &amp; Environm Sci, Manchester M13 9PL, Lancs, England.</t>
  </si>
  <si>
    <t>patricia.clay@manchester.ac.uk</t>
  </si>
  <si>
    <t>Strekopytov, Stanislav/ABI-2251-2020; Ruzie-Hamilton, Lorraine/GXZ-4903-2022; Joachim-Mrosko, Bastian/AAQ-9868-2020; Ruzie, Lorraine/G-2416-2018; Strekopytov, Stanislav/A-8863-2011</t>
  </si>
  <si>
    <t>Joachim-Mrosko, Bastian/0000-0003-2134-004X; Busemann, Henner/0000-0002-0867-6908; Ballentine, Chris/0000-0001-9382-070X; Ruzie, Lorraine/0000-0002-2802-8123; Strekopytov, Stanislav/0000-0001-5129-9880; Burgess, Ray/0000-0001-7674-8718</t>
  </si>
  <si>
    <t>EPSRC [EP/M028097/1]; European Research Council (ERC) FP7 NOBLE grant [267692]; Royal Society [RS/UF140190]; STFC [ST/R000751/1]; NCCR Planet S - Swiss SNF; EPSRC [EP/M028097/1, EP/P025021/1, EP/S019367/1] Funding Source: UKRI; STFC [ST/R000751/1] Funding Source: UKRI; European Research Council (ERC) [267692] Funding Source: European Research Council (ERC)</t>
  </si>
  <si>
    <t>EPSRC(UK Research &amp; Innovation (UKRI)Engineering &amp; Physical Sciences Research Council (EPSRC)); European Research Council (ERC) FP7 NOBLE grant(European Research Council (ERC)); Royal Society(Royal Society); STFC(UK Research &amp; Innovation (UKRI)Science &amp; Technology Facilities Council (STFC)); NCCR Planet S - Swiss SNF; EPSRC(UK Research &amp; Innovation (UKRI)Engineering &amp; Physical Sciences Research Council (EPSRC)); STFC(UK Research &amp; Innovation (UKRI)Science &amp; Technology Facilities Council (STFC)); European Research Council (ERC)(European Research Council (ERC)Spanish Government)</t>
  </si>
  <si>
    <t>We acknowledge the NASA Antarctic Meteorite Working Group for providing shergottite samples: LAR 06319,64, LAR 12011,6, LAR 12095,8, and LAR 12240,6 (bulk) and LAR 06319,46, LAR 12011,22, LAR 12095,28, and LAR 12240,17 (thin sections). We acknowledge funding by EPSRC, award EP/M028097/1, which supports the JEOL JXA-8530F FEG-EPMA. This work was in parts supported by the European Research Council (ERC) FP7 NOBLE grant no. 267692 (C.J.B), Royal Society (grant RS/UF140190) and STFC (grant ST/R000751/1) (K.H.J., R.B.), and partially by the NCCR Planet S, funded by the Swiss SNF (H.B.).</t>
  </si>
  <si>
    <t>MINERALOGICAL SOC AMER</t>
  </si>
  <si>
    <t>CHANTILLY</t>
  </si>
  <si>
    <t>3635 CONCORDE PKWY STE 500, CHANTILLY, VA 20151-1125 USA</t>
  </si>
  <si>
    <t>0003-004X</t>
  </si>
  <si>
    <t>1945-3027</t>
  </si>
  <si>
    <t>AM MINERAL</t>
  </si>
  <si>
    <t>Am. Miner.</t>
  </si>
  <si>
    <t>10.2138/am-2020-7237</t>
  </si>
  <si>
    <t>Geochemistry &amp; Geophysics; Mineralogy</t>
  </si>
  <si>
    <t>KS5TI</t>
  </si>
  <si>
    <t>WOS:000518370300001</t>
  </si>
  <si>
    <t>Sibert, EC; Zill, ME; Frigyik, ET; Norris, RD</t>
  </si>
  <si>
    <t>Sibert, Elizabeth C.; Zill, Michelle E.; Frigyik, Ella T.; Norris, Richard D.</t>
  </si>
  <si>
    <t>No state change in pelagic fish production and biodiversity during the Eocene-Oligocene transition</t>
  </si>
  <si>
    <t>SIZE-BASED DYNAMICS; PLANKTON FOOD WEBS; SOUTHERN-OCEAN; CLIMATE-CHANGE; EVOLUTION; HISTORY; EXPANSION; CARBON; OXYGEN; RISE</t>
  </si>
  <si>
    <t>The Eocene/Oligocene (E/O) boundary (~33.9 million years ago) has been described as a state change in the Earth system marked by the permanent glaciation of Antarctica and a proposed increase in oceanic productivity. Here we quantified the response of fish production and biodiversity to this event using microfossil fish teeth (ichthyoliths) in seven deep-sea sediment cores from around the world. Ichthyolith accumulation rate (a proxy for fish biomass production) shows no synchronous trends across the E/O. Ichthyolith accumulation in the Southern Ocean and Pacific gyre sites is an order of magnitude lower than that in the equatorial and Atlantic sites, demonstrating that the Southern Ocean was not a highly productive ecosystem for fish before or after the E/O. Further, tooth morphotype diversity and assemblage composition remained stable across the interval, indicating little change in the biodiversity or ecological role of open-ocean fish. While the E/O boundary was a major global climate-change event, its impact on pelagic fish was relatively muted. Our results support recent findings of whale and krill diversification suggesting that the pelagic ecosystem restructuring commonly attributed to the E/O transition probably occurred much later, in the late Oligocene or Miocene. Marine fish biomass and diversity did not change during the Eocene-Oligocene transition despite widespread cooling and Antarctic ice sheet expansion, according to microfossil fish teeth records from a set of deep-sea cores.</t>
  </si>
  <si>
    <t>[Sibert, Elizabeth C.] Harvard Univ, Harvard Soc Fellows, Cambridge, MA USA; [Sibert, Elizabeth C.; Frigyik, Ella T.] Harvard Univ, Dept Organism, Evolutionary Biol, Cambridge, MA USA; [Sibert, Elizabeth C.; Zill, Michelle E.; Norris, Richard D.] Univ Calif San Diego, Scripps Institut Oceanog, La Jolla, CA USA; [Zill, Michelle E.] Univ Calif Riverside, Dept Earth, Planetary Sciences, Riverside, CA USA</t>
  </si>
  <si>
    <t>Harvard University; Harvard University; University of California System; University of California San Diego; Scripps Institution of Oceanography; University of California System; University of California Riverside</t>
  </si>
  <si>
    <t>Sibert, EC (corresponding author), Harvard Univ, Harvard Soc Fellows, Cambridge, MA USA.;Sibert, EC (corresponding author), Harvard Univ, Dept Organism, Evolutionary Biol, Cambridge, MA USA.;Sibert, EC (corresponding author), Univ Calif San Diego, Scripps Institut Oceanog, La Jolla, CA USA.</t>
  </si>
  <si>
    <t>esibert@fas.harvard.edu</t>
  </si>
  <si>
    <t>Sibert, Elizabeth C./JXL-7472-2024</t>
  </si>
  <si>
    <t>Sibert, Elizabeth C./0000-0003-0577-864X; Frigyik, Ella/0000-0002-9884-1419; Zill, Michelle/0000-0001-7177-6533</t>
  </si>
  <si>
    <t>10.1038/s41561-020-0540-2</t>
  </si>
  <si>
    <t>KS3CY</t>
  </si>
  <si>
    <t>WOS:000518188600013</t>
  </si>
  <si>
    <t>Farías-Barahona, D; Sommer, C; Sauter, T; Bannister, D; Seehaus, TC; Malz, P; Casassa, G; Mayewski, PA; Turton, JV; Braun, MH</t>
  </si>
  <si>
    <t>Farias-Barahona, David; Sommer, Christian; Sauter, Tobias; Bannister, Daniel; Seehaus, Thorsten C.; Malz, Philipp; Casassa, Gino; Mayewski, Paul A.; Turton, Jenny, V; Braun, Matthias H.</t>
  </si>
  <si>
    <t>Detailed quantification of glacier elevation and mass changes in South Georgia</t>
  </si>
  <si>
    <t>glacier mass balance; elevation changes; InSAR; sub-antarctic glaciers</t>
  </si>
  <si>
    <t>NORTHERN PATAGONIAN ICEFIELD; SEA-LEVEL RISE; TANDEM-X; ICE CAP; BALANCE; ANTARCTICA</t>
  </si>
  <si>
    <t>Most glaciers in South America and on the Antarctic Peninsula are retreating and thinning. They are considered strong contributors to global sea level rise. However, there is a lack of glacier mass balance studies in other areas of the Southern Hemisphere, such as the surrounding Antarctic Islands. Here, we present a detailed quantification of the 21st century glacier elevation and mass changes for the entire South Georgia Island using bi-static synthetic aperture radar interferometry between 2000 and 2013. The results suggest a significant mass loss since the beginning of the present century. We calculate an average glacier mass balance of -1.04 0.09 m w.e.a(-1) and a mass loss rate of 2.28 0.19 Gt a(-1) (2000-2013), contributing 0.006 0.001 mm a(-1) to sea-level rise. Additionally, we calculate a subaqueous mass loss of 0.77 0.04 Gt a(-1) (2003-2016), with an area change at the marine and lake-terminating glacier fronts of -6.58 0.33 km(2) a(-1), corresponding to similar to 4% of the total glacier area. Overall, we observe negative mass balance rates in South Georgia, with the highest thinning and retreat rates at the large outlet glaciers located at the north-east coast. Although the spaceborne remote sensing dataset analysed in this research is a key contribution to better understanding of the glacier changes in South Georgia, more detailed field measurements, glacier dynamics studies or further long-term analysis with high-resolution regional climate models are required to precisely identify the forcing factors.</t>
  </si>
  <si>
    <t>[Farias-Barahona, David; Sommer, Christian; Sauter, Tobias; Seehaus, Thorsten C.; Malz, Philipp; Turton, Jenny, V; Braun, Matthias H.] Friedrich Alexander Univ Erlangen Nurnberg, Inst Geog, Erlangen, Germany; [Bannister, Daniel] British Antarctic Survey, Cambridge, England; [Bannister, Daniel] SATAVIA LTD, Cambridge, England; [Casassa, Gino] Direcc Gen Aguas, Santiago, Chile; [Casassa, Gino] Univ Magallanes, Punta Arenas, Chile; [Mayewski, Paul A.] Univ Maine, Climate Change Inst, Orono, ME USA</t>
  </si>
  <si>
    <t>University of Erlangen Nuremberg; UK Research &amp; Innovation (UKRI); Natural Environment Research Council (NERC); NERC British Antarctic Survey; Universidad de Magallanes; University of Maine System; University of Maine Orono</t>
  </si>
  <si>
    <t>Farías-Barahona, D (corresponding author), Friedrich Alexander Univ Erlangen Nurnberg, Inst Geog, Erlangen, Germany.</t>
  </si>
  <si>
    <t>david.farias@fau.de</t>
  </si>
  <si>
    <t>sauter, tobias/AAI-7313-2020; Casassa, Gino/AAX-6142-2020; Farias, David/AAA-2955-2021; Braun, Matthias H/S-4693-2016; sauter, tobias/HSD-8208-2023; Mayewski, Paul Andrew/HRD-6969-2023; Braun, Matthias/A-4968-2009</t>
  </si>
  <si>
    <t>sauter, tobias/0000-0002-2232-8096; Farias, David/0009-0002-2385-7923; sauter, tobias/0000-0002-2232-8096; Malz, Philipp/0000-0001-7787-2948; Turton, Jenny/0000-0003-0581-8293; Sommer, Christian/0000-0002-6641-0681; Seehaus, Thorsten/0000-0001-5055-8959; Braun, Matthias/0000-0001-5169-1567</t>
  </si>
  <si>
    <t>TanDEM-X data [DLR AO mabra_XTI_GLAC0264]; CONICYT through the Chilean scholarship programme; DFG [BR 2105/14-1]; German Space Agency and Ministry of Economy [FKZ 50EE1514]; NERC; Friedrich-Alexander-Universitat Erlangen-Nurnberg; NERC [bas0100032] Funding Source: UKRI</t>
  </si>
  <si>
    <t>TanDEM-X data; CONICYT through the Chilean scholarship programme; DFG(German Research Foundation (DFG)); German Space Agency and Ministry of Economy; NERC(UK Research &amp; Innovation (UKRI)Natural Environment Research Council (NERC)); Friedrich-Alexander-Universitat Erlangen-Nurnberg; NERC(UK Research &amp; Innovation (UKRI)Natural Environment Research Council (NERC))</t>
  </si>
  <si>
    <t>This study was kindly supported with TanDEM-X data under DLR AO mabra_XTI_GLAC0264. Landsat TM and SRTM-C were provided by USGS. ETH Zurich provided the ice thickness data set. We thank the team from U of Maine and U of Magallanes for the 2017 GNSS data. D F-B acknowledges the support from CONICYT through the Chilean scholarship programme. We further acknowledge support for method development by DFG within the Priority Program 'Regional Sea Level Change and Society' (BR 2105/14-1), the project FKZ 50EE1514 funded by the German Space Agency and Ministry of Economy. D B acknowledge the NERC PhD funding. The Friedrich-Alexander-Universitat Erlangen-Nurnberg provided funding within their program Open Access Publishing fund. Finally, we thank the editor, as well Julia Neelmeijer and two anonymous reviewers for their very useful comments and suggestions that substantially improved this manuscript.</t>
  </si>
  <si>
    <t>10.1088/1748-9326/ab6b32</t>
  </si>
  <si>
    <t>KS9QF</t>
  </si>
  <si>
    <t>WOS:000518644200001</t>
  </si>
  <si>
    <t>Haas, B; McGee, J; Fleming, A; Haward, M</t>
  </si>
  <si>
    <t>Haas, Bianca; McGee, Jeffrey; Fleming, Aysha; Haward, Marcus</t>
  </si>
  <si>
    <t>Factors influencing the performance of regional fisheries management organizations</t>
  </si>
  <si>
    <t>MARINE POLICY</t>
  </si>
  <si>
    <t>Conservation; Fisheries management; Precautionary approach; Sustainable Development Goals</t>
  </si>
  <si>
    <t>NATIONAL JURISDICTION; MARINE BIODIVERSITY; SCIENTIFIC ADVICE; AREAS; IMPLEMENTATION; TRANSPARENCY; CONVENTION; AGREEMENT; RFMOS</t>
  </si>
  <si>
    <t>A key challenge for humanity is to conserve and sustainably use the earth's oceans and marine resources as millions of people rely on fish for food, income, and well-being. Regional fisheries management organizations (RFMOs) are key players in international fisheries management. However, despite their importance, the ability of these institutions to manage fisheries in a sustainable way and to prevent overfishing has often been questioned. This article aims to provide an overview of issues which impact the RFMOs performance. We conducted an extensive literature review to summarize issues which were mentioned in the peer-reviewed literature. Moreover, we also discuss the impact of new international agreements and processes, such as the Sustainable Development Goals and the currently negotiated agreement for biodiversity beyond national jurisdiction, due to the overlap of themes such as biodiversity protection and sustainable fisheries management We identified 17 issues which were mentioned in the literature, with the most frequent ones being precautionary and ecosystem approach and decision-making. RFMOs are slowly making progress regarding these issues and some organizations are already applying good practices. This highlights the importance of RFMOs to learn from each other. While the agreement for biodiversity beyond national jurisdiction might potentially impact RFMOs and speed up to the process of applying best practices, the sustainable development goals are less likely to influence RFMOs.</t>
  </si>
  <si>
    <t>[Haas, Bianca; McGee, Jeffrey; Haward, Marcus] Inst Marine &amp; Antarctic Studies, Private Bag 129, Hobart, Tas 7001, Australia; [McGee, Jeffrey] Univ Tasmania, Fac Law, Private Bag 89, Hobart, Tas 7001, Australia; [Fleming, Aysha] CSIRO, Land &amp; Water, Battery Point, Tas 7004, Australia; [Haas, Bianca; McGee, Jeffrey; Fleming, Aysha; Haward, Marcus] Univ Tasmania, Ctr Marine Socioecol, Private Bag 129, Hobart, Tas 7001, Australia</t>
  </si>
  <si>
    <t>University of Tasmania; University of Tasmania; Commonwealth Scientific &amp; Industrial Research Organisation (CSIRO); University of Tasmania</t>
  </si>
  <si>
    <t>Haas, B (corresponding author), Inst Marine &amp; Antarctic Studies, Private Bag 129, Hobart, Tas 7001, Australia.</t>
  </si>
  <si>
    <t>Bianca.Haas@utas.edu.au</t>
  </si>
  <si>
    <t>Fleming, Aysha/E-8753-2011; Haward, Marcus/G-3369-2014; McGee, Jeffrey/K-7322-2015</t>
  </si>
  <si>
    <t>Fleming, Aysha/0000-0001-9895-1928; Haward, Marcus/0000-0003-4775-0864; Haas, Bianca/0000-0002-7322-2929; McGee, Jeffrey/0000-0002-2093-5896</t>
  </si>
  <si>
    <t>ELSEVIER SCI LTD</t>
  </si>
  <si>
    <t>THE BOULEVARD, LANGFORD LANE, KIDLINGTON, OXFORD OX5 1GB, OXON, ENGLAND</t>
  </si>
  <si>
    <t>0308-597X</t>
  </si>
  <si>
    <t>1872-9460</t>
  </si>
  <si>
    <t>MAR POLICY</t>
  </si>
  <si>
    <t>Mar. Pol.</t>
  </si>
  <si>
    <t>10.1016/j.marpol.2019.103787</t>
  </si>
  <si>
    <t>Environmental Studies; International Relations</t>
  </si>
  <si>
    <t>Environmental Sciences &amp; Ecology; International Relations</t>
  </si>
  <si>
    <t>KR0ZK</t>
  </si>
  <si>
    <t>WOS:000517348900009</t>
  </si>
  <si>
    <t>Benkort, D; Lavoie, D; Plourde, S; Dufresne, C; Maps, F</t>
  </si>
  <si>
    <t>Benkort, Deborah; Lavoie, Diane; Plourde, Stephane; Dufresne, Christiane; Maps, Frederic</t>
  </si>
  <si>
    <t>Arctic and Nordic krill circuits of production revealed by the interactions between their physiology, swimming behaviour and circulation</t>
  </si>
  <si>
    <t>PROGRESS IN OCEANOGRAPHY</t>
  </si>
  <si>
    <t>Krill; Thysanoessa raschii; Meganyctiphanes norvegica; Productive areas; Numerical modelling; Estuary and Gulf of St Lawrence</t>
  </si>
  <si>
    <t>DIEL VERTICAL MIGRATION; ST-LAWRENCE ESTUARY; MEGANYCTIPHANES-NORVEGICA; NORTHERN KRILL; THYSANOESSA-RASCHII; ANTARCTIC KRILL; SCOTIA SEA; GULF; AGGREGATION; TRANSPORT</t>
  </si>
  <si>
    <t>The two species Thysanoessa raschii and Meganyctiphanes norvegica dominate the krill biomass of the Estuary and Gulf of St. Lawrence (EGSL) ecosystem. The EGSL is the southernmost limit of seasonal sea-ice cover in the North Atlantic and constitutes a dynamic frontier between Arctic and Atlantic water masses. In order to better understand the complex mechanisms underpinning the spatio-temporal dynamics of the production and distribution of these keystone forage species in the EGSL, we coupled in a Lagrangian framework an individual-based model (IBM) of krill physiology to a three-dimensional regional circulation model and a NPZD-type biogeochemical model. Our results show that the spatio-temporal production dynamics of both krill species was principally controlled by their food dynamics. Our numerical analyses highlighted the potential areas of krill production within the EGSL during spring and summer. We confirmed that the St. Lawrence Estuary was the most productive area, and we show that it subsidizes the central and southern Gulf during most of the growing season. The Estuary is part of a larger cyclonic circuit of krill production and transport that runs along the shores of most of the EGSL and the slope of the Laurentian Channel.</t>
  </si>
  <si>
    <t>[Benkort, Deborah] Helmholtz Zentrum Geesthacht, Ctr Mat &amp; Coastal Res, Max Planck Str 1,Bldg 38, D-21502 Geesthacht, Germany; [Lavoie, Diane; Plourde, Stephane] Fisheries &amp; Oceans Canada, Maurice Lamontagne Inst, Mont Joli, PQ G5H 3Z4, Canada; [Dufresne, Christiane] Univ Quebec Rimouski, Inst Sci Mer Rimouski, Rimouski, PQ G5H 3A1, Canada; [Maps, Frederic] Univ Laval, Takuvik Joint Int Lab, CNRS France Quebec Ocean Dept Biol, Quebec City, PQ G1V 0A6, Canada</t>
  </si>
  <si>
    <t>Helmholtz Association; Helmholtz-Zentrum Hereon; Max Planck Society; Fisheries &amp; Oceans Canada; University of Quebec; Universite du Quebec a Rimouski; Laval University</t>
  </si>
  <si>
    <t>Benkort, D (corresponding author), Helmholtz Zentrum Geesthacht, Ctr Mat &amp; Coastal Res, Max Planck Str 1,Bldg 38, D-21502 Geesthacht, Germany.</t>
  </si>
  <si>
    <t>deborah.benkort@hzg.de; Diane.Lavoie@dfo-mpo.gc.ca; Stephane.Plourde@dfo-mpo.gc.ca; christiane_dufresne@uqar.ca; frederic.maps@bio.ulaval.ca</t>
  </si>
  <si>
    <t>Maps, Frederic/L-4546-2013</t>
  </si>
  <si>
    <t>Maps, Frederic/0000-0001-7115-2464</t>
  </si>
  <si>
    <t>Natural Sciences and Engineering Research Council of Canada (NSERC) [447363]; Fisheries and Ocean Canada</t>
  </si>
  <si>
    <t>Natural Sciences and Engineering Research Council of Canada (NSERC)(Natural Sciences and Engineering Research Council of Canada (NSERC)); Fisheries and Ocean Canada</t>
  </si>
  <si>
    <t>We gratefully thank the Krill Project member's and the Maurice Lamontagne Institute that provided data critical to the completion of this modeling project. We also thank Debra Christiansen-Stowe for this editorial help. This work was supported by the strategic partnership grant [STPGP #447363] from the Natural Sciences and Engineering Research Council of Canada (NSERC) awarded to FM, and Fisheries and Ocean Canada. This is a contribution to the research programs of Quebec-Ocean and Takuvik (UMI 3376).</t>
  </si>
  <si>
    <t>0079-6611</t>
  </si>
  <si>
    <t>PROG OCEANOGR</t>
  </si>
  <si>
    <t>Prog. Oceanogr.</t>
  </si>
  <si>
    <t>10.1016/j.pocean.2020.102270</t>
  </si>
  <si>
    <t>KR5KX</t>
  </si>
  <si>
    <t>WOS:000517658400009</t>
  </si>
  <si>
    <t>Gwyther, DE; Kusahara, K; Asay-Davis, XS; Dinniman, MS; Galton-Fenzi, BK</t>
  </si>
  <si>
    <t>Gwyther, David E.; Kusahara, Kazuya; Asay-Davis, Xylar S.; Dinniman, Michael S.; Galton-Fenzi, Benjamin K.</t>
  </si>
  <si>
    <t>Vertical processes and resolution impact ice shelf basal melting: A multi-model study</t>
  </si>
  <si>
    <t>OCEAN MODELLING</t>
  </si>
  <si>
    <t>COORDINATE OCEAN MODEL; FREE-SURFACE; HEAT-FLUX; CIRCULATION; SEA; ANTARCTICA; TOPOGRAPHY; SIMULATION; DYNAMICS; RATES</t>
  </si>
  <si>
    <t>Understanding ice shelf-ocean interaction is fundamental to projecting the Antarctic ice sheet response to a warming climate. Numerical ice shelf-ocean models are a powerful tool for simulating this interaction, yet are limited by inherent model weaknesses and scarce observations, leading to parameterisations that are unverified and unvalidated below ice shelves. We explore how different models simulate ice shelf-ocean interaction using the 2nd Ice Shelf-Ocean Model Intercomparison Project (ISOMIP+) framework. Vertical discretisation and resolution of the ocean model are shown to have a significant effect on ice shelf basal melt rate, through differences in the distribution of meltwater fluxes and the calculation of thermal driving. Z-coordinate models, which generally have coarser vertical resolution in ice shelf cavities, may simulate higher melt rates compared to terrain-following coordinate models. This is due to the typically higher resolution of the ice-ocean boundary layer region in terrain following models, which allows better representation of a thin meltwater layer, increased stratification, and as a result, better insulation of the ice from water below. We show that a terrain-following model, a z-level coordinate model and a hybrid approach give similar results when the effective vertical resolution adjacent to the ice shelf base is similar, despite each model employing different paradigms for distributing meltwater fluxes and sampling tracers for melting. We provide a benchmark for thermodynamic ice shelf-ocean interaction with different model vertical coordinates and vertical resolutions, and suggest a framework for any future ice shelf-ocean thermodynamic parameterisations.</t>
  </si>
  <si>
    <t>[Gwyther, David E.] Univ Tasmania, Inst Marine &amp; Antarct Studies, Private Bag 129, Hobart, Tas 7001, Australia; [Kusahara, Kazuya; Galton-Fenzi, Benjamin K.] Univ Tasmania, Antarctic Climate &amp; Ecosyst Cooperat Res Ctr, Private Bag 129, Hobart, Tas 7001, Australia; [Kusahara, Kazuya] Japan Agcy Marine Earth Sci &amp; Technol JAMSTEC, Yokohama, Kanagawa, Japan; [Asay-Davis, Xylar S.] Los Alamos Natl Lab, Los Alamos, NM USA; [Asay-Davis, Xylar S.] Potsdam Inst Climate Impact Res PIK, Potsdam, Germany; [Dinniman, Michael S.] Old Dominion Univ, Ctr Coastal Phys Oceanog, Norfolk, VA USA; [Galton-Fenzi, Benjamin K.] Australian Antarctic Div, Channel Highway, Kingston, Tas 7050, Australia</t>
  </si>
  <si>
    <t>University of Tasmania; University of Tasmania; Antarctic Climate &amp; Ecosystems Cooperative Research Centre (ACE CRC); Japan Agency for Marine-Earth Science &amp; Technology (JAMSTEC); United States Department of Energy (DOE); Los Alamos National Laboratory; Potsdam Institut fur Klimafolgenforschung; Old Dominion University; Australian Antarctic Division</t>
  </si>
  <si>
    <t>Gwyther, DE (corresponding author), Univ Tasmania, Inst Marine &amp; Antarct Studies, Private Bag 129, Hobart, Tas 7001, Australia.</t>
  </si>
  <si>
    <t>david.gwyther@gmail.com</t>
  </si>
  <si>
    <t>Gwyther, David E/Q-2987-2018</t>
  </si>
  <si>
    <t>Gwyther, David E/0000-0002-7218-2785; Kusahara, Kazuya/0000-0003-4067-7959; Dinniman, Michael/0000-0001-7519-9278</t>
  </si>
  <si>
    <t>Australian Research Council's Special Research Initiative for Antarctic Gateway Partnership [SR140300001]; Australian Government; Scientific Discovery through Advanced Computing (SciDAC) program - US Department of Energy (DOE), Office of Science, Advanced Scientific Computing Research (ASCR) Program; Scientific Discovery through Advanced Computing (SciDAC) program - US Department of Energy (DOE), Office of Science, Biological and Environmental Research (BER) Program; National Energy Research Scientific Computing Center [DE-AC05-00OR22725]; BER award [DE-SC0013038]; U.S. Department of Energy (DOE) [DE-SC0013038] Funding Source: U.S. Department of Energy (DOE)</t>
  </si>
  <si>
    <t>Australian Research Council's Special Research Initiative for Antarctic Gateway Partnership(Australian Research Council); Australian Government(Australian Government); Scientific Discovery through Advanced Computing (SciDAC) program - US Department of Energy (DOE), Office of Science, Advanced Scientific Computing Research (ASCR) Program; Scientific Discovery through Advanced Computing (SciDAC) program - US Department of Energy (DOE), Office of Science, Biological and Environmental Research (BER) Program(United States Department of Energy (DOE)); National Energy Research Scientific Computing Center; BER award; U.S. Department of Energy (DOE)(United States Department of Energy (DOE))</t>
  </si>
  <si>
    <t>The authors thank 3 anonymous reviewers and Stefanie Mack for insightful critique that improved this manuscript. Research was supported by the Australian Research Council's Special Research Initiative for Antarctic Gateway Partnership (Project ID SR140300001). This research was undertaken with the assistance of computing resource grants gh9 and nk1 from the National Computational Infrastructure (NCI), which is supported by the Australian Government. Support for Xylar Asay-Davis was provided through the Scientific Discovery through Advanced Computing (SciDAC) program funded by the US Department of Energy (DOE), Office of Science, Advanced Scientific Computing Research (ASCR) and Biological and Environmental Research (BER) Programs as well as BER award No. DE-SC0013038. MPAS-O simulations were conducted at the National Energy Research Scientific Computing Center (DE-AC05-00OR22725).</t>
  </si>
  <si>
    <t>1463-5003</t>
  </si>
  <si>
    <t>1463-5011</t>
  </si>
  <si>
    <t>OCEAN MODEL</t>
  </si>
  <si>
    <t>Ocean Model.</t>
  </si>
  <si>
    <t>10.1016/j.ocemod.2020.101569</t>
  </si>
  <si>
    <t>KN9KZ</t>
  </si>
  <si>
    <t>WOS:000515167800011</t>
  </si>
  <si>
    <t>Jiang, MS; Pan, CD; Barbero, L; Reed, J; Salisbury, JE; VanZwieten, JH; Wanninkhof, R</t>
  </si>
  <si>
    <t>Jiang, Mingshun; Pan, Chudong; Barbero, Leticia; Reed, John; Salisbury, Joseph E.; VanZwieten, James H.; Wanninkhof, Rik</t>
  </si>
  <si>
    <t>Variability of bottom carbonate chemistry over the deep coral reefs in the Florida Straits and the impacts of mesoscale processes</t>
  </si>
  <si>
    <t>Coupled physical-biogeochemical model; Mesoscale eddies; Upwelling; Aragonite saturation state; Deep corals; Florida straits</t>
  </si>
  <si>
    <t>NORTH-ATLANTIC OCEAN; GULF-OF-MEXICO; LOPHELIA-PERTUSA; WATER PROPERTIES; SOUTHWARD FLOW; ACIDIFICATION; HABITAT; GROWTH; MODEL; CALCIFICATION</t>
  </si>
  <si>
    <t>Abundant and diverse cold-water coral and fish communities can be found in the deep waters of the Florida Straits, which are believed to be living under suboptimal conditions impacted by increasing oceanic CO, levels. Yet, little is known regarding the spatial-temporal variability of bottom carbonate chemistry parameters and their dynamic drivers in this area. To address this issue, we present results from numerical simulations of a coupled physical-biogeochemical model for the south Florida shelf and Florida Straits. Our exploratory analysis focuses on two well-known deep-coral habitats: Pourtales Terrace (200-450 m) and Miami Terrace (270-600 m). Results suggest that bottom waters along the northern/western slope of the Straits are comprised primarily of the North Atlantic Central Water (NWCW) and Antarctic Intermediate Water (AAIW), driven by upwelling associated with the bottom Ekman transport of the Florida Current. Over the Pourtales Terrace, both the meandering of the Florida Current and mesoscale eddies modulate the upwelling (downwelling) of cold (warm) waters. In contrast, Florida Current makes a sharp turn at the southern end of the Miami Terrace leading to persistent island wakes, frequent occurrences of a transient eddy, and strong upwelling of deep waters toward the platform of the terrace. Passage of the transient eddy often accompanies strong downwelling of warm waters and a return (southward) flow on top of the platform. Overall, bottom water properties including temperature (T), dissolved inorganic carbon (DIC) and total alkalinity (TA) show strong variability on weekly to monthly time-scales over entire Pourtales Terrace and on the platform of Miami Terrac, mostly driven by physics. In deeper areas (&gt;400 m), bottom water properties are fairly stable with both DIC and TA showing narrow ranges. Interestingly, waters over the southeastern portion of the Pourtales Terrace show consistently warmer temperature, lower DIC, and higher TA than those on top of this terrace. The aragonite saturation state (Omega) ranges 1.2-2 on top of the Pourtales Terrace and 1.2-1.7 both on top of Miami Terrace and on the upper slope of Pourtales Terrace. In the deeper slope areas (&gt;400 m), it is nearly constant at 1.2-1.3. This modeling effort suggests that remote forcing and biogeochemical processes along the transport paths, from the Gulf of Mexico to the Straits, are significant but second-order contributors to the variability of bottom carbonate chemistry. The impacts of benthic biogeochemical processes along the transit paths are not resolved.</t>
  </si>
  <si>
    <t>[Jiang, Mingshun; Pan, Chudong; Reed, John; Salisbury, Joseph E.] Florida Atlantic Univ, Harbor Branch Oceanog Inst, Boca Raton, FL 33431 USA; [Barbero, Leticia; Wanninkhof, Rik] NOAA, Atlantic Oceanog &amp; Meteorol Lab, Silver Spring, MD USA; [Salisbury, Joseph E.] Univ New Hampshire, Ocean Proc &amp; Anal Lab, Durham, NH 03824 USA; [VanZwieten, James H.] Florida Atlantic Univ, Dept Civil Environm &amp; Geomat Engn, Boca Raton, FL 33431 USA; [Pan, Chudong] NOAA, Natl Ocean Serv, Silver Spring, MD 20910 USA</t>
  </si>
  <si>
    <t>State University System of Florida; Florida Atlantic University; Harbor Branch Oceanographic Institute Foundation; National Oceanic Atmospheric Admin (NOAA) - USA; Atlantic Oceanographic &amp; Meteorological Laboratory (AOML); University System Of New Hampshire; University of New Hampshire; State University System of Florida; Florida Atlantic University; National Oceanic Atmospheric Admin (NOAA) - USA; National Ocean Service, NOAA</t>
  </si>
  <si>
    <t>Jiang, MS (corresponding author), Florida Atlantic Univ, Harbor Branch Oceanog Inst, Boca Raton, FL 33431 USA.</t>
  </si>
  <si>
    <t>jiangm@fau.edu</t>
  </si>
  <si>
    <t>Pan, Chudong/P-1504-2015; Barbero, Leticia/B-5237-2011</t>
  </si>
  <si>
    <t>Harbor Branch Oceanographic Institute (HBOI) Foundation, USA; Florida Atlantic University startup fund, USA; NOAA Ocean Acidification Program; NOAA Office of Ocean Exploration and Research, USA [NA090AR4320073]; NOAA Deep Sea Coral Research and Technology Program, USA (DSCRTP) [II-CO-DCE-6]; NOAA Office of Marine and Aviation Operationss (OMAO), USA; Department of Energy, USA [DE-EE0000319]</t>
  </si>
  <si>
    <t>Harbor Branch Oceanographic Institute (HBOI) Foundation, USA; Florida Atlantic University startup fund, USA; NOAA Ocean Acidification Program(National Oceanic Atmospheric Admin (NOAA) - USA); NOAA Office of Ocean Exploration and Research, USA(National Oceanic Atmospheric Admin (NOAA) - USA); NOAA Deep Sea Coral Research and Technology Program, USA (DSCRTP)(National Oceanic Atmospheric Admin (NOAA) - USA); NOAA Office of Marine and Aviation Operationss (OMAO), USA(National Oceanic Atmospheric Admin (NOAA) - USA); Department of Energy, USA(United States Department of Energy (DOE))</t>
  </si>
  <si>
    <t>MJ is funded by the Harbor Branch Oceanographic Institute (HBOI) Foundation, USA and Florida Atlantic University startup fund, USA for this work. This is HBOI contribution #2265. The HYCOM model output was downloaded from https://hycom.org/data/gomu0pt04/expt50pt1.We thank Dr. Chai at the University of Maine for providing the CoSINE model output. The data from the GOMECC cruises were obtained through funds of the NOAA Ocean Acidification Program awarded to LB and RW. Cooperative Institute of Ocean Research, Exploration and Technology (CIOERT) at HBOI gratefully acknowledges funding provided by NOAA Office of Ocean Exploration and Research, USA (OER Grant #: NA090AR4320073), NOAA Deep Sea Coral Research and Technology Program, USA (DSCRTP; CIOERT Project #: II-CO-DCE-6), and NOAA Office of Marine and Aviation Operations (OMAO), USA in support of the research, ship time, and ROV time. The ADCP measurements used for this project were conducted by the Southeast National Marine Renewable Energy Center with support from the Department of Energy, USA under award DE-EE0000319. Three anonymous reviewers provided thoughtful comments and suggestions that greatly improved the manuscript.</t>
  </si>
  <si>
    <t>10.1016/j.ocemod.2019.101555</t>
  </si>
  <si>
    <t>WOS:000515167800010</t>
  </si>
  <si>
    <t>Gillespie, MAK; Alfredsson, M; Barrio, IC; Bowden, J; Convey, P; Coulson, SJ; Culler, LE; Dahl, MT; Daly, KM; Koponen, S; Loboda, S; Marusik, Y; Sandstrom, JP; Sikes, DS; Slowik, J; Hoye, TT</t>
  </si>
  <si>
    <t>Gillespie, Mark A. K.; Alfredsson, Matthias; Barrio, Isabel C.; Bowden, Joe; Convey, Peter; Coulson, Stephen J.; Culler, Lauren E.; Dahl, Martin T.; Daly, Kathryn M.; Koponen, Seppo; Loboda, Sarah; Marusik, Yuri; Sandstrom, Jonas P.; Sikes, Derek S.; Slowik, Jozef; Hoye, Toke T.</t>
  </si>
  <si>
    <t>Circumpolar terrestrial arthropod monitoring: A review of ongoing activities, opportunities and challenges, with a focus on spiders</t>
  </si>
  <si>
    <t>AMBIO</t>
  </si>
  <si>
    <t>Bioindicators; Climate change drivers; Community composition; Surrogates for biodiversity</t>
  </si>
  <si>
    <t>YUKON-TERRITORY; CLIMATE-CHANGE; TOOLIK LAKE; ARANEAE; INVERTEBRATES; ASSEMBLAGES; TUNDRA; BIODIVERSITY; DIVERSITY; PHENOLOGY</t>
  </si>
  <si>
    <t>The terrestrial chapter of the Circumpolar Biodiversity Monitoring Programme (CBMP) has the potential to bring international multi-taxon, long-term monitoring together, but detailed fundamental species information for Arctic arthropods lags far behind that for vertebrates and plants. In this paper, we demonstrate this major challenge to the CBMP by focussing on spiders (Order: Araneae) as an example group. We collate available circumpolar data on the distribution of spiders and highlight the current monitoring opportunities and identify the key knowledge gaps to address before monitoring can become efficient. We found spider data to be more complete than data for other taxa, but still variable in quality and availability between Arctic regions, highlighting the need for greater international co-operation for baseline studies and data sharing. There is also a dearth of long-term datasets for spiders and other arthropod groups from which to assess status and trends of biodiversity. Therefore, baseline studies should be conducted at all monitoring stations and we make recommendations for the development of the CBMP in relation to terrestrial arthropods more generally.</t>
  </si>
  <si>
    <t>[Gillespie, Mark A. K.] Western Norway Univ Appl Sci, Dept Environm Sci, Sogndal Campus, N-6851 Sogndal, Norway; [Alfredsson, Matthias] Iceland Inst Nat Hist, Urridaholtsstraeti 6-8, IS-210 Gardabaer, Iceland; [Barrio, Isabel C.] Univ Iceland, Dept Life &amp; Environm Sci, Sturlugata 7, IS-101 Reykjavik, Iceland; [Barrio, Isabel C.] Agr Univ Iceland, Dept Nat Resources &amp; Environm Sci, Arleyni 22, IS-112 Reykjavik, Iceland; [Bowden, Joe; Hoye, Toke T.] Aarhus Univ, Arctic Res Ctr, Ny Munkegade 114,Bldg 1540, DK-8000 Aarhus C, Denmark; [Bowden, Joe] Canadian Forest Serv, Atlantic Forestry Ctr, 26 Univ Dr,POB 960, Corner Brook, NF A2H 6J3, Canada; [Convey, Peter] NERC, British Antarctic Survey, Madingley Rd, Cambridge CB3 0ET, England; [Coulson, Stephen J.; Sandstrom, Jonas P.] Swedish Univ Agr Sci, Swedish Species Informat Ctr, S-75007 Uppsala, Sweden; [Culler, Lauren E.] Dartmouth Coll, Environm Studies Program, 113 Steele Hall, Hanover, NH 03755 USA; [Culler, Lauren E.] Dartmouth Coll, Inst Arct Studies, 6214 Haldeman Ctr, Hanover, NH 03755 USA; [Dahl, Martin T.] Fram Ctr, Akvaplan Niva, N-9296 Tromso, Norway; [Daly, Kathryn M.; Sikes, Derek S.; Slowik, Jozef] Univ Alaska Fairbanks, Univ Alaska Museum, Fairbanks, AK 99775 USA; [Koponen, Seppo] Univ Turku, Biodivers Unit, Zool Museum, Turku 20014, Finland; [Loboda, Sarah] McGill Univ, Dept Nat Resource Sci, Ste Anne De Bellevue, PQ, Canada; [Marusik, Yuri] RAS, Inst Biol Problems North, Portovaya Str 18, Magadan 685000, Russia; [Marusik, Yuri] Univ Free State, Dept Zool &amp; Entomol, ZA-9300 Bloemfontein, South Africa; [Hoye, Toke T.] Aarhus Univ, Dept Biosci, Grenavej 14, DK-8410 Ronde, Denmark</t>
  </si>
  <si>
    <t>Western Norway University of Applied Sciences; University of Iceland; Aarhus University; Natural Resources Canada; Canadian Forest Service; UK Research &amp; Innovation (UKRI); Natural Environment Research Council (NERC); NERC British Antarctic Survey; Swedish University of Agricultural Sciences; Dartmouth College; Dartmouth College; Akvaplan-niva; University of Alaska System; University of Alaska Fairbanks; University of Turku; McGill University; Russian Academy of Sciences; Institute of Biological Problems of the North; University of the Free State; Aarhus University</t>
  </si>
  <si>
    <t>Gillespie, MAK (corresponding author), Western Norway Univ Appl Sci, Dept Environm Sci, Sogndal Campus, N-6851 Sogndal, Norway.</t>
  </si>
  <si>
    <t>markg@hvl.no; matti@ni.is; isabel@lbhi.is; joseph.bowden@canada.ca; pcon@bas.ac.uk; stephen.coulson@slu.se; lauren.e.culler@dartmouth.edu; MA_TO_DA@hotmail.com; kmdaly@alaska.edu; sepkopo@utu.fi; sarah.loboda@gmail.com; yurmar@mail.ru; Jonas.Sandstrom@slu.se; dssikes@alaska.edu; slowspider@gmail.com; tth@bios.au.dk</t>
  </si>
  <si>
    <t>Culler, Lauren E/W-5244-2019; Barrio, Isabel C/F-8566-2010; Marusik, Yuri/D-5701-2018; Convey, Peter/AAV-5728-2020; Hoye, Toke T./A-7701-2008</t>
  </si>
  <si>
    <t>Barrio, Isabel C/0000-0002-8120-5248; Marusik, Yuri/0000-0002-4499-5148; Convey, Peter/0000-0001-8497-9903; Coulson, Stephen James/0000-0003-0935-959X; Daly, K. M./0000-0003-0513-4377; Hoye, Toke T./0000-0001-5387-3284</t>
  </si>
  <si>
    <t>NERC [bas0100036] Funding Source: UKRI</t>
  </si>
  <si>
    <t>0044-7447</t>
  </si>
  <si>
    <t>1654-7209</t>
  </si>
  <si>
    <t>Ambio</t>
  </si>
  <si>
    <t>10.1007/s13280-019-01185-y</t>
  </si>
  <si>
    <t>KJ5OD</t>
  </si>
  <si>
    <t>WOS:000512109100005</t>
  </si>
  <si>
    <t>Gillespie, MAK; Alfredsson, M; Barrio, IC; Bowden, JJ; Convey, P; Culler, LE; Coulson, SJ; Krogh, PH; Koltz, AM; Koponen, S; Loboda, S; Marusik, Y; Sandstrom, JP; Sikes, DS; Hoye, TT</t>
  </si>
  <si>
    <t>Gillespie, Mark A. K.; Alfredsson, Matthias; Barrio, Isabel C.; Bowden, Joseph J.; Convey, Peter; Culler, Lauren E.; Coulson, Stephen J.; Krogh, Paul Henning; Koltz, Amanda M.; Koponen, Seppo; Loboda, Sarah; Marusik, Yuri; Sandstrom, Jonas P.; Sikes, Derek S.; Hoye, Toke T.</t>
  </si>
  <si>
    <t>Status and trends of terrestrial arthropod abundance and diversity in the North Atlantic region of the Arctic</t>
  </si>
  <si>
    <t>Blood feeding insects; Decomposers; Herbivores; Invertebrate prey; Pollinators; Predators</t>
  </si>
  <si>
    <t>BIODIVERSITY; TEMPERATURE; HERBIVORES; MORTALITY</t>
  </si>
  <si>
    <t>The Circumpolar Biodiversity Monitoring Programme (CBMP) provides an opportunity to improve our knowledge of Arctic arthropod diversity, but initial baseline studies are required to summarise the status and trends of planned target groups of species known as Focal Ecosystem Components (FECs). We begin this process by collating available data for a relatively well-studied region in the Arctic, the North Atlantic region, summarising the diversity of key terrestrial arthropod FECs, and compiling trends for some representative species. We found the FEC classification system to be challenging to implement, but identified some key groups to target in the initial phases of the programme. Long-term data are scarce and exhibit high levels of spatial and temporal variability. Nevertheless, we found that a number of species and groups are in decline, mirroring patterns in other regions of the world. We emphasise that terrestrial arthropods require higher priority within future Arctic monitoring programmes.</t>
  </si>
  <si>
    <t>[Gillespie, Mark A. K.] Western Norway Univ Appl Sci, Dept Environm Sci, Sogndal Campus, N-6851 Sogndal, Norway; [Alfredsson, Matthias] Iceland Inst Nat Hist, Urridaholtsstraeti 6-8, IS-212 Gardabaer, Iceland; [Barrio, Isabel C.] Agr Univ Iceland, Dept Nat Resources &amp; Environm Sci, Arleyni 22, IS-112 Reykjavik, Iceland; [Barrio, Isabel C.] Univ Iceland, Dept Life &amp; Environm Sci, Sturlugata 7, IS-101 Reykjavik, Iceland; [Bowden, Joseph J.; Krogh, Paul Henning; Hoye, Toke T.] Aarhus Univ, Arctic Res Ctr, Ny Munkegade 114,Bldg 1540, DK-8000 Aarhus C, Denmark; [Bowden, Joseph J.] Canadian Forest Serv, Atlantic Forestry Ctr, 26 Univ Dr,POB 960, Corner Brook, NF A2H 6J3, Canada; [Convey, Peter] NERC, British Antarctic Survey, Madingley Rd, Cambridge CB3 0ET, England; [Culler, Lauren E.] Dartmouth Coll, Environm Studies Program, 113 Steele Hall, Hanover, NH 03755 USA; [Culler, Lauren E.] Dartmouth Coll, Inst Arctic Studies, 6214 Haldeman Ctr, Hanover, NH 03755 USA; [Coulson, Stephen J.; Sandstrom, Jonas P.] Swedish Univ Agr Sci, Swedish Species Informat Ctr, S-75007 Uppsala, Sweden; [Krogh, Paul Henning] Aarhus Univ, Dept Biosci, Vejlsovej 25,POB 314, DK-8600 Silkeborg, Denmark; [Koltz, Amanda M.] Washington Univ, Dept Biol, St Louis, MO 63130 USA; [Koponen, Seppo] Univ Turku, Biodivers Unit, Zool Museum, Turku 20014, Finland; [Loboda, Sarah] McGill Univ, Dept Nat Resource Sci, Ste Anne De Bellevue, PQ, Canada; [Marusik, Yuri] RAS, Inst Biol Problems North, Portovaya Str 18, Magadan 685000, Russia; [Marusik, Yuri] Univ Free State, Dept Zool &amp; Entomol, ZA-9300 Bloemfontein, South Africa; [Sikes, Derek S.] Univ Alaska Fairbanks, Univ Alaska Museum, Fairbanks, AK 99775 USA; [Hoye, Toke T.] Aarhus Univ, Dept Biosci, Grenavej 14, DK-8410 Ronde, Denmark</t>
  </si>
  <si>
    <t>Western Norway University of Applied Sciences; University of Iceland; Aarhus University; Natural Resources Canada; Canadian Forest Service; UK Research &amp; Innovation (UKRI); Natural Environment Research Council (NERC); NERC British Antarctic Survey; Dartmouth College; Dartmouth College; Swedish University of Agricultural Sciences; Aarhus University; Washington University (WUSTL); University of Turku; McGill University; Russian Academy of Sciences; Institute of Biological Problems of the North; University of the Free State; University of Alaska System; University of Alaska Fairbanks; Aarhus University</t>
  </si>
  <si>
    <t>markg@hvl.no; matti@ni.is; isabel@lbhi.is; joseph.bowden@canada.ca; pcon@bas.ac.uk; lauren.e.culler@dartmouth.edu; stephen.coulson@slu.se; phk@bios.au.dk; amanda.koltz@gmail.com; sepkopo@utu.fi; sarah.loboda@gmail.com; yurmar@mail.ru; Jonas.Sandstrom@slu.se; dssikes@alaska.edu; tth@bios.au.dk</t>
  </si>
  <si>
    <t>Culler, Lauren E/W-5244-2019; Marusik, Yuri/D-5701-2018; Barrio, Isabel C/F-8566-2010; Krogh, Paul Henning/B-3566-2009; Convey, Peter/AAV-5728-2020; Hoye, Toke T./A-7701-2008</t>
  </si>
  <si>
    <t>Marusik, Yuri/0000-0002-4499-5148; Barrio, Isabel C/0000-0002-8120-5248; Krogh, Paul Henning/0000-0003-2033-553X; Convey, Peter/0000-0001-8497-9903; Hoye, Toke T./0000-0001-5387-3284; Coulson, Stephen James/0000-0003-0935-959X</t>
  </si>
  <si>
    <t>10.1007/s13280-019-01162-5</t>
  </si>
  <si>
    <t>WOS:000512109100006</t>
  </si>
  <si>
    <t>Cheon, WG; Kug, JS</t>
  </si>
  <si>
    <t>Cheon, Woo Geun; Kug, Jong-Seong</t>
  </si>
  <si>
    <t>The Role of Oscillating Southern Hemisphere Westerly Winds: Global Ocean Circulation</t>
  </si>
  <si>
    <t>JOURNAL OF CLIMATE</t>
  </si>
  <si>
    <t>Ocean; Abyssal circulation; Ocean circulation; Atmosphere-ocean interaction; Boundary currents</t>
  </si>
  <si>
    <t>ANTARCTIC BOTTOM WATER; MERIDIONAL OVERTURNING CIRCULATION; ATLANTIC DEEP-WATER; CIRCUMPOLAR CURRENT; WEDDELL POLYNYA; DRAKE PASSAGE; CONVECTION; TRANSPORT; MODEL; VARIABILITY</t>
  </si>
  <si>
    <t>In the framework of a sea ice-ocean general circulation model coupled to an energy balance atmospheric model, an intensity oscillation of Southern Hemisphere (SH) westerly winds affects the global ocean circulation via not only the buoyancy-driven teleconnection (BDT) mode but also the Ekman-driven teleconnection (EDT) mode. The BDT mode is activated by the SH air-sea ice-ocean interactions such as polynyas and oceanic convection. The ensuing variation in the Antarctic meridional overturning circulation (MOC) that is indicative of the Antarctic Bottom Water (AABW) formation exerts a significant influence on the abyssal circulation of the globe, particularly the Pacific. This controls the bipolar seesaw balance between deep and bottom waters at the equator. The EDT mode controlled by northward Ekman transport under the oscillating SH westerly winds generates a signal that propagates northward along the upper ocean and passes through the equator. The variation in the western boundary current (WBC) is much stronger in the North Atlantic than in the North Pacific, which appears to be associated with the relatively strong and persistent Mindanao Current (i.e., the southward flowing WBC of the North Pacific tropical gyre). The North Atlantic Deep Water (NADW) formation is controlled by salt advected northward by the North Atlantic WBC.</t>
  </si>
  <si>
    <t>[Cheon, Woo Geun] Agcy Def Dev, Maritime Technol Res Inst, Chang Won, South Korea; [Kug, Jong-Seong] Pohang Univ Sci &amp; Technol POSTECH, Sch Environm Sci &amp; Engn, Pohang, South Korea</t>
  </si>
  <si>
    <t>Agency of Defense Development (ADD), Republic of Korea; Pohang University of Science &amp; Technology (POSTECH)</t>
  </si>
  <si>
    <t>Cheon, WG (corresponding author), Agcy Def Dev, Maritime Technol Res Inst, Chang Won, South Korea.</t>
  </si>
  <si>
    <t>wgcheon@gmail.com</t>
  </si>
  <si>
    <t>KUG, JONG-SEONG/A-8053-2013</t>
  </si>
  <si>
    <t>KUG, JONG-SEONG/0000-0003-2251-2579</t>
  </si>
  <si>
    <t>Korean Ministry of Oceans and Fisheries [KIMST20190361, PM19020]</t>
  </si>
  <si>
    <t>Korean Ministry of Oceans and Fisheries</t>
  </si>
  <si>
    <t>We thank the editor and four anonymous reviewers for their critical constructive comments and suggestions that helped improve this study greatly. The contribution of Jong-Seong Kug was sponsored by a research grant from the Korean Ministry of Oceans and Fisheries (KIMST20190361; PM19020).</t>
  </si>
  <si>
    <t>0894-8755</t>
  </si>
  <si>
    <t>1520-0442</t>
  </si>
  <si>
    <t>J CLIMATE</t>
  </si>
  <si>
    <t>J. Clim.</t>
  </si>
  <si>
    <t>10.1175/JCLI-D-19-0364.1</t>
  </si>
  <si>
    <t>KM2LS</t>
  </si>
  <si>
    <t>WOS:000513954900002</t>
  </si>
  <si>
    <t>Ling, SD; Reeves, SE; Kriegisch, N</t>
  </si>
  <si>
    <t>Ling, S. D.; Reeves, S. E.; Kriegisch, N.</t>
  </si>
  <si>
    <t>Octocoral barrier to grazing sea urchins allows macroalgal recovery on barrens ground</t>
  </si>
  <si>
    <t>JOURNAL OF EXPERIMENTAL MARINE BIOLOGY AND ECOLOGY</t>
  </si>
  <si>
    <t>Gorgonian coral; Erythropodium; Herbivory; Biological control; Seaweed; Kelp bed communities; Temperate reef; grazing; octocoral growth</t>
  </si>
  <si>
    <t>KELP BEDS; PATTERNS; COMMUNITIES; POPULATIONS; HERBIVORES; DYNAMICS; PREDATOR; CORAL</t>
  </si>
  <si>
    <t>Experimental exclusion of marine herbivores is a powerful approach to reveal their effects on the structure and function of ecosystems. However, such manipulations can be logistically challenging, particularly for subtidal reef systems. Here we report novel observations of a natural barrier to grazing sea urchins formed by the octocoral Erythropodium hicksoni (Family: Anthothelidae, Utinomi, 1971), which allowed localised growth of standing macroalgae on barrens ground despite sea urchin (Heliocidaris erythrogramma) densities locally exceeding 40 individuals m(-2). Effectiveness of the octocoral barrier was experimentally tested by cutting 200 mm by 200 mm plots within the centre of octocoral colonies (providing clean reef surfaces completely enclosed by octocoral), which were otherwise surrounded by sea urchin barrens. Within 1 month, macroalgae completely colonised reef surfaces inside octocoral plots, which continued to proliferate over 12 months relative to background barren ground plots. Furthermore, a procedurally-controlled experiment (whereby barren control plots were also scraped clean of all biota to the same dimensions as octocoral plots), revealed octocoral-barriers to again exclude urchins and enable greater recovery of macroalgae relative to the procedural-control. In all octocoral plots, algae grew to the octocoral edge, indicating a lack of allelopathic/shading effects by octocoral, which forms a thin encrusting veneer over reef surfaces &lt; 20 mm height. However, octocoral regrew to infill the excised portion of the colony at a mean rate of 0.23 mm +/- 0.01SE day(-1), which was routinely trimmed to maintain original plot dimensions. Competition for space between octocoral and macroalgae was also evident when recovered macroalgae overhung octocoral barriers and scoured surrounding octocoral. Results demonstrate the existence of natural biological barriers to grazing urchins, which can be utilized to efficiently replicate experimental exclusions, taking only similar to 10 min to construct per plot. While bio-chemical/physical mechanism(s) of the barrier were not determined, the potential for such biological barriers to form important local refugia for macroalgae and applications over larger scales remains largely unexplored.</t>
  </si>
  <si>
    <t>[Ling, S. D.; Reeves, S. E.; Kriegisch, N.] Univ Tasmania, Inst Marine &amp; Antarctic Studies, 20 Castray Esplanade, Battery Point, Tas 7004, Australia</t>
  </si>
  <si>
    <t>University of Tasmania</t>
  </si>
  <si>
    <t>Ling, SD (corresponding author), Univ Tasmania, Inst Marine &amp; Antarctic Studies, 20 Castray Esplanade, Battery Point, Tas 7004, Australia.</t>
  </si>
  <si>
    <t>Scott.Ling@utas.edu.au</t>
  </si>
  <si>
    <t>Reeves, Simon E/AAJ-3379-2021</t>
  </si>
  <si>
    <t>Reeves, Simon/0000-0001-6715-466X</t>
  </si>
  <si>
    <t>Victorian State Government Department of Environment Land Water and Planning grant (The Reef Ecosystem Evaluation Framework); Holsworth Wildlife Endowments [104121, 104624]; Australian Research Council [DP170104668]; Australian Postgraduate Awards</t>
  </si>
  <si>
    <t>Victorian State Government Department of Environment Land Water and Planning grant (The Reef Ecosystem Evaluation Framework); Holsworth Wildlife Endowments; Australian Research Council(Australian Research Council); Australian Postgraduate Awards(Australian Government)</t>
  </si>
  <si>
    <t>This study was supported by a Victorian State Government Department of Environment Land Water and Planning grant (The Reef Ecosystem Evaluation Framework), plus Australian Postgraduate Awards, Holsworth Wildlife Endowments (104121 and 104624) and the Australian Research Council (DP170104668). SDL developed the experimental methods, designed the research and wrote the manuscript. SDL, NK and SER undertook experimental fieldwork and data collection. SDL analysed data, NK and SER edited the manuscript. Thanks to C. R. Johnson for providing feedback on the manuscript.</t>
  </si>
  <si>
    <t>0022-0981</t>
  </si>
  <si>
    <t>1879-1697</t>
  </si>
  <si>
    <t>J EXP MAR BIOL ECOL</t>
  </si>
  <si>
    <t>J. Exp. Mar. Biol. Ecol.</t>
  </si>
  <si>
    <t>10.1016/j.jembe.2019.151292</t>
  </si>
  <si>
    <t>Ecology; Marine &amp; Freshwater Biology</t>
  </si>
  <si>
    <t>KM3KC</t>
  </si>
  <si>
    <t>WOS:000514018900013</t>
  </si>
  <si>
    <t>Sleight, VA; Antczak, P; Falciani, F; Clark, MS</t>
  </si>
  <si>
    <t>Sleight, Victoria A.; Antczak, Philipp; Falciani, Francesco; Clark, Melody S.</t>
  </si>
  <si>
    <t>Computationally predicted gene regulatory networks in molluscan biomineralization identify extracellular matrix production and ion transportation pathways</t>
  </si>
  <si>
    <t>BIOINFORMATICS</t>
  </si>
  <si>
    <t>DIFFERENTIAL EXPRESSION; MANTLE TRANSCRIPTOME; KEY MACROMOLECULE; PROTEIN; IDENTIFICATION; EVOLUTION; LAYER; CLAM</t>
  </si>
  <si>
    <t>Motivation: The molecular processes regulating molluscan shell production remain relatively uncharacterized, despite the clear evolutionary and societal importance of biomineralization. Results: Here we built the first computationally predicted gene regulatory network (GRN) for molluscan biomineralization using Antarctic clam (Laternula elliptica) mantle gene expression data produced over an age-categorized shell damage-repair time-course. We used previously published in vivo in situ hybridization expression data to ground truth gene interactions predicted by the GRN and show that candidate biomineralization genes from different shell layers, and hence microstructures, were connected in unique modules. We characterized two biomineralization modules of the GRN and hypothesize that one module is responsible for translating the extracellular proteins required for growing, repairing or remodelling the nacreous shell layer, whereas the second module orchestrates the transport of both ions and proteins to the shell secretion site, which are required during normal shell growth, and repair. Our findings demonstrate that unbiased computational methods are particularly valuable for studying fundamental biological processes and gene interactions in non-model species where rich sources of gene expression data exist, but annotation rates are poor and the ability to carry out true functional tests are still lacking.</t>
  </si>
  <si>
    <t>[Sleight, Victoria A.] Univ Cambridge, Dept Zool, Cambridge, England; [Sleight, Victoria A.; Clark, Melody S.] British Antarctic Survey, Biodivers Evolut &amp; Adaptat Team, Cambridge, England; [Antczak, Philipp; Falciani, Francesco] Univ Liverpool, Dept Funct &amp; Comparat Genom, Inst Integrat Biol, Liverpool, Merseyside, England</t>
  </si>
  <si>
    <t>University of Cambridge; UK Research &amp; Innovation (UKRI); Natural Environment Research Council (NERC); NERC British Antarctic Survey; University of Liverpool</t>
  </si>
  <si>
    <t>Sleight, VA (corresponding author), Univ Cambridge, Dept Zool, Cambridge, England.;Sleight, VA (corresponding author), British Antarctic Survey, Biodivers Evolut &amp; Adaptat Team, Cambridge, England.</t>
  </si>
  <si>
    <t>vas45@cam.ac.uk</t>
  </si>
  <si>
    <t>Antczak, Philipp/L-5879-2019; Sleight, Victoria A./AHE-7337-2022; Clark, Melody/D-7371-2014</t>
  </si>
  <si>
    <t>Antczak, Philipp/0000-0001-9600-7757; Sleight, Victoria A./0000-0003-0550-8500; Clark, Melody/0000-0002-3442-3824</t>
  </si>
  <si>
    <t>Natural Environment Research Council; DTG Studentship [NE/J500173/1]; Wolfson College, University of Cambridge; NERC [bas0100036, NE/M01939X/1] Funding Source: UKRI</t>
  </si>
  <si>
    <t>Natural Environment Research Council(UK Research &amp; Innovation (UKRI)Natural Environment Research Council (NERC)); DTG Studentship; Wolfson College, University of Cambridge(University of Cambridge); NERC(UK Research &amp; Innovation (UKRI)Natural Environment Research Council (NERC))</t>
  </si>
  <si>
    <t>This work was supported by the Natural Environment Research Council Core Funding to the British Antarctic Survey, a DTG Studentship (Project Reference: NE/J500173/1) to V.A.S. and a Junior Research Fellowship to V.A.S from Wolfson College, University of Cambridge.</t>
  </si>
  <si>
    <t>1367-4803</t>
  </si>
  <si>
    <t>1367-4811</t>
  </si>
  <si>
    <t>Bioinformatics</t>
  </si>
  <si>
    <t>10.1093/bioinformatics/btz754</t>
  </si>
  <si>
    <t>Biochemical Research Methods; Biotechnology &amp; Applied Microbiology; Computer Science, Interdisciplinary Applications; Mathematical &amp; Computational Biology; Statistics &amp; Probability</t>
  </si>
  <si>
    <t>Biochemistry &amp; Molecular Biology; Biotechnology &amp; Applied Microbiology; Computer Science; Mathematical &amp; Computational Biology; Mathematics</t>
  </si>
  <si>
    <t>LR4HC</t>
  </si>
  <si>
    <t>WOS:000535656600002</t>
  </si>
  <si>
    <t>Lu, WY; Rickaby, REM; Hoogakker, BAA; Rathburn, AE; Burkett, AM; Dickson, AJ; Martinez-Mendez, G; Hillenbrand, CD; Zhou, XL; Thomas, E; Lu, ZL</t>
  </si>
  <si>
    <t>Lu, Wanyi; Rickaby, Rosalind E. M.; Hoogakker, Babette A. A.; Rathburn, Anthony E.; Burkett, Ashley M.; Dickson, Alexander J.; Martinez-Mendez, Gema; Hillenbrand, Claus-Dieter; Zhou, Xiaoli; Thomas, Ellen; Lu, Zunli</t>
  </si>
  <si>
    <t>I/Ca in epifaunal benthic foraminifera: A semi-quantitative proxy for bottom water oxygen in a multi-proxy compilation for glacial ocean deoxygenation</t>
  </si>
  <si>
    <t>I/Ca; benthic foraminifera; Cibicidoides spp.; bottom water oxygen; glacial-interglacial cycles</t>
  </si>
  <si>
    <t>EASTERN EQUATORIAL PACIFIC; DEEP SOUTHERN-OCEAN; ANTARCTIC SEA-ICE; IRON FERTILIZATION; RESPIRED CARBON; ATMOSPHERIC CO2; GLOBAL-OCEAN; MARINE; PRODUCTIVITY; IODINE</t>
  </si>
  <si>
    <t>The decline in dissolved oxygen in global oceans (ocean deoxygenation) is a potential consequence of global warming which may have important impacts on ocean biogeochemistry and marine ecosystems. Current climate models do not agree on the trajectory of future deoxygenation on different timescales, in part due to uncertainties in the complex, linked effects of changes in ocean circulation, productivity and organic matter respiration. More (semi-)quantitative reconstructions of oceanic oxygen levels over the Pleistocene glacial cycles may provide a critical test of our mechanistic understanding of the response of oceanic oxygenation to climate change. Even the most promising proxies for bottom water oxygen (BWO) have limitations, which calls for new proxy development and a multi-proxy compilation to evaluate glacial ocean oxygenation. We use Holocene benthic foraminifera to explore I/Ca in Cibicidoides spp. as a BWO proxy. We propose that low I/Ca (e.g., &lt;3 mu mol/mol) in conjunction with benthic foraminiferal carbon isotope gradients and/or the surface pore area percentages in foraminiferal tests (e.g., &gt;15%) may provide semi-quantitative estimates of low BWO in past oceans (e.g.,</t>
  </si>
  <si>
    <t>[Lu, Wanyi; Lu, Zunli] Syracuse Univ, Dept Earth Sci, Syracuse, NY 13244 USA; [Rickaby, Rosalind E. M.] Univ Oxford, Dept Earth Sci, Oxford, England; [Hoogakker, Babette A. A.] Heriot Watt Univ, Lyell Ctr, Edinburgh, Midlothian, Scotland; [Rathburn, Anthony E.] Calif State Univ, Dept Geol Sci, Bakersfield, CA USA; [Burkett, Ashley M.] Oklahoma State Univ, Boone Pickens Sch Geol, Stillwater, OK 74078 USA; [Dickson, Alexander J.] Royal Holloway Univ London, Dept Earth Sci, Egham, Surrey, England; [Martinez-Mendez, Gema] Univ Bremen, MARUM Ctr Marine Environm Sci, Bremen, Germany; [Martinez-Mendez, Gema] Helmholtz Ctr Polar &amp; Marine Res, Alfred Wegener Inst, Bremerhaven, Germany; [Hillenbrand, Claus-Dieter] British Antarctic Survey, Cambridge, England; [Zhou, Xiaoli] Rutgers State Univ, Dept Marine &amp; Coastal Sci, New Brunswick, NJ USA; [Thomas, Ellen] Yale Univ, Dept Geol &amp; Geophys, New Haven, CT USA; [Thomas, Ellen] Wesleyan Univ, Dept Earth &amp; Environm Sci, Middletown, CT USA</t>
  </si>
  <si>
    <t>Syracuse University; University of Oxford; Heriot Watt University; California State University System; California State University Bakersfield; Oklahoma State University System; Oklahoma State University - Stillwater; University of London; Royal Holloway University London; University of Bremen; Helmholtz Association; Alfred Wegener Institute, Helmholtz Centre for Polar &amp; Marine Research; UK Research &amp; Innovation (UKRI); Natural Environment Research Council (NERC); NERC British Antarctic Survey; Rutgers University System; Rutgers University New Brunswick; Yale University; Wesleyan University</t>
  </si>
  <si>
    <t>Lu, ZL (corresponding author), Syracuse Univ, Dept Earth Sci, Syracuse, NY 13244 USA.</t>
  </si>
  <si>
    <t>zunlilu@syr.edu</t>
  </si>
  <si>
    <t>Thomas, Ellen/JVO-1734-2024; Lu, Wanyi/AFS-2639-2022</t>
  </si>
  <si>
    <t>Thomas, Ellen/0000-0002-7141-9904; Rickaby, Rosalind/0000-0002-6095-8419; Burkett, Ashley/0000-0003-0688-265X; Lu, Wanyi/0000-0002-2837-654X; Rathburn, Anthony/0000-0001-8091-1311; Dickson, Alexander/0000-0001-8928-4799; Hoogakker, Babette/0000-0002-8171-9679</t>
  </si>
  <si>
    <t>NSF [OCE-1232620, OCE-1736542, EAR-1349252, OCE 1736538, OCE 10-60992]; NERC [NE/I020563/1]; ERC [681746]; Syracuse University; NERC [NE/I020563/1, bas0100030] Funding Source: UKRI; European Research Council (ERC) [681746] Funding Source: European Research Council (ERC)</t>
  </si>
  <si>
    <t>NSF(National Science Foundation (NSF)); NERC(UK Research &amp; Innovation (UKRI)Natural Environment Research Council (NERC)); ERC(European Research Council (ERC)); Syracuse University; NERC(UK Research &amp; Innovation (UKRI)Natural Environment Research Council (NERC)); European Research Council (ERC)(European Research Council (ERC)Spanish Government)</t>
  </si>
  <si>
    <t>We thank Lamont-Doherty Core Repository for providing core top materials, the Bremen GeoB core repository for curating and providing material from core GeoB1720-2. Enqing Huang and Jun Tian provided samples from GeoB9532-9535. We also thank Simona Nicoara at Open University for the 8180 analysis at core GeoB1720-2. This study benefited from discussions with Robert F. Anderson. This work is supported by NSF grants OCE-1232620, OCE-1736542 and EAR-1349252 (to ZL), OCE 1736538 (to ET), OCE 10-60992 (to AR), NERC grant NE/I020563/1 (to BH), ERC Consolidator grant no: 681746 (to RR), and Syracuse University Graduate Fellowship and Research Excellence Doctoral Funding Fellowship (to WL).</t>
  </si>
  <si>
    <t>10.1016/j.epsl.2019.116055</t>
  </si>
  <si>
    <t>KH9CH</t>
  </si>
  <si>
    <t>WOS:000510946200009</t>
  </si>
  <si>
    <t>Crame, JA</t>
  </si>
  <si>
    <t>Crame, J. Alistair</t>
  </si>
  <si>
    <t>Early Cenozoic evolution of the latitudinal diversity gradient</t>
  </si>
  <si>
    <t>Early Cenozoic; Greenhouse world; Latitudinal diversity gradients; Polar generalists; Primary productivity; Evolutionary rates</t>
  </si>
  <si>
    <t>SEYMOUR MARAMBIO ISLAND; CLIMATE-CHANGE; MARINE BIODIVERSITY; NOTOTHENIOID FISHES; NICHE CONSERVATISM; GLOBAL PATTERNS; PARIS BASIN; MONTE BOLCA; EOCENE; ORIGIN</t>
  </si>
  <si>
    <t>We are beginning to appreciate that the huge radiations of both marine and terrestrial taxa in the aftermath of the K/Pg mass extinction event were concentrated largely, but not exclusively, in the low-latitude and tropical regions. This in turn means that significant latitudinal diversity gradients were developed well before the onset of global cooling at the Eocene/Oligocene boundary. Net rates of evolutionary radiations were significantly higher through the Early Paleocene - Middle Eocene interval (i.e. similar to 62-42 Ma) in the tropics than at the poles but this may be due as much to their retardation in the latter regions as to their acceleration in the former. At least in the marine realm, polar assemblages are characterised by the phenomenon of high dominance/low evenness, and it is thought likely that this is due to the extreme seasonality of primary production at the base of the food chain. Many modern polar marine organisms are de facto trophic generalists and occupy significantly broader ecological niches than their tropical counterparts. Although we cannot dismiss the roles of both temperature and area in promoting tropical diversity, it could well be that LDGs are just as much the product of a latitudinal gradient in the seasonality of primary productivity. Such a gradient would have operated in both greenhouse and icehouse worlds.</t>
  </si>
  <si>
    <t>[Crame, J. Alistair] British Antarctic Survey, Madingley Rd, Cambridge CB3 0ET, England</t>
  </si>
  <si>
    <t>Crame, JA (corresponding author), British Antarctic Survey, Madingley Rd, Cambridge CB3 0ET, England.</t>
  </si>
  <si>
    <t>jacr@bas.ac.uk</t>
  </si>
  <si>
    <t>British Antarctic Survey, Natural Environment Research Council; [NE/I005803/1]; NERC [bas0100036, NE/I005803/1, NE/I00582X/2] Funding Source: UKRI</t>
  </si>
  <si>
    <t>British Antarctic Survey, Natural Environment Research Council; ; NERC(UK Research &amp; Innovation (UKRI)Natural Environment Research Council (NERC))</t>
  </si>
  <si>
    <t>The pioneering studies of both J.D. Taylor and J.W. Valentine into the possible links between primary productivity and LDGs have greatly influenced my thinking, as did the fundamental insights into the seasonality of primary productivity by my BAS colleague, A. Clarke. I am grateful to all of them for showing me a potential way forward with their thought-provoking studies. Many BAS, UK, and international collaborators have contributed to the establishment of the Early Cenozoic biostratigraphy and palaeontology of Seymour Island; the work of W.J. Zinsmeister and his associates has been particularly important in this respect. Financial support from the British Antarctic Survey, Natural Environment Research Council, and NE/I005803/1 is gratefully acknowledged. I would also like to thank two reviewers and A. Negri for their helpful comments on the manuscript.</t>
  </si>
  <si>
    <t>10.1016/j.earscirev.2020.103090</t>
  </si>
  <si>
    <t>WOS:000526786000010</t>
  </si>
  <si>
    <t>Ryan, PG; Suaria, G; Perold, V; Pierucci, A; Bornman, TG; Aliani, S</t>
  </si>
  <si>
    <t>Ryan, Peter G.; Suaria, Giuseppe; Perold, Vonica; Pierucci, Andrea; Bornman, Thomas G.; Aliani, Stefano</t>
  </si>
  <si>
    <t>Sampling microfibres at the sea surface: The effects of mesh size, sample volume and water depth</t>
  </si>
  <si>
    <t>ENVIRONMENTAL POLLUTION</t>
  </si>
  <si>
    <t>Microplastics; Fibres; Bulk water sampling; Repeatability; Sample design; Water depth</t>
  </si>
  <si>
    <t>MARINE-ENVIRONMENT; BALTIC SEA; ANTHROPOGENIC FIBERS; PLASTIC DEBRIS; MICROPLASTICS; ATLANTIC; INGESTION; POLLUTION; CONTAMINATION; ACCUMULATION</t>
  </si>
  <si>
    <t>Microfibres are one of the most ubiquitous particulate pollutants, occurring in all environmental compartments. They are often assumed to be microplastics, but include natural as well as synthetic textile fibres and are perhaps best treated as a separate class of pollutants given the challenges they pose in terms of identification and contamination. Microfibres have been largely ignored by traditional methods used to sample floating microplastics at sea, which use 300-500 mu m mesh nets that are too coarse to sample most textile fibres. There is thus a need for a consistent set of methods for sampling microfibres in seawater. We processed bulk water samples through 0.7-63 mu m filters to collect microfibres in three ocean basins. Fibre density increased as mesh size decreased: 20 mu m mesh sampled 41% more fibres than 63 mu m, and 0.7 mu m filters sampled 44% more fibres than 25 mu m mesh, but mesh size (20-63 mu m) had little effect on the size of fibres retained. Fibre density decreased with sample volume when processed through larger mesh filters, presumably because more fibres were flushed through the filters. Microfibres averaged 2.5 times more abundant at the sea surface than in water sampled 5 m sub-surface. However, the data were noisy; counts of replicate 10-L samples had low repeatability (0.15-0.36; CV = 56%), suggesting that single samples provide only a rough estimate of microfibre abundance. We propose that sampling for microfibres should use a combination of &lt;1 mu m and 20-25 mu m filters and process multiple samples to offset high within-site variability in microfibre densities. (C) 2019 Elsevier Ltd. All rights reserved.</t>
  </si>
  <si>
    <t>[Ryan, Peter G.; Perold, Vonica] Univ Cape Town, DST NRF Ctr Excellence, Fitzpatrick Inst African Ornithol, ZA-7701 Rondebosch, South Africa; [Suaria, Giuseppe; Aliani, Stefano] Italian Res Council, CNR, ISMAR, Inst Marine Sci, I-19032 Forte S Teresa, La Spezia, Italy; [Pierucci, Andrea] Univ Cagliari, Dept Life &amp; Environm Sci, Via T Fiorelli 1, I-09126 Cagliari, Italy; [Bornman, Thomas G.] Nelson Mandela Univ, SAEON Elwandle Coastal Node, ZA-6031 Port Elizabeth, South Africa; [Bornman, Thomas G.] Nelson Mandela Univ, Coastal &amp; Marine Res Inst, ZA-6031 Port Elizabeth, South Africa</t>
  </si>
  <si>
    <t>University of Cape Town; National Research Foundation - South Africa; Consiglio Nazionale delle Ricerche (CNR); Istituto di Scienze Marine (ISMAR-CNR); University of Cagliari; Nelson Mandela University; Nelson Mandela University</t>
  </si>
  <si>
    <t>Ryan, PG (corresponding author), Univ Cape Town, DST NRF Ctr Excellence, Fitzpatrick Inst African Ornithol, ZA-7701 Rondebosch, South Africa.</t>
  </si>
  <si>
    <t>Pierucci, Andrea/AAK-5634-2020; Suaria, Giuseppe/O-4210-2014; Pierucci, Andrea/A-1467-2018; Pierucci, Andrea/GQA-4598-2022; Aliani, Stefano/B-5854-2012; Bornman, Thomas George/V-7794-2019</t>
  </si>
  <si>
    <t>Pierucci, Andrea/0000-0002-4252-1184; Suaria, Giuseppe/0000-0002-4290-349X; Pierucci, Andrea/0000-0002-4252-1184; Pierucci, Andrea/0000-0002-4252-1184; Aliani, Stefano/0000-0002-2555-4398; Bornman, Thomas George/0000-0003-1868-479X</t>
  </si>
  <si>
    <t>ACE Foundation; JPI-Oceans project BASEMAN (Defining the baselines and standards for micro litter analyses in European waters)</t>
  </si>
  <si>
    <t>We thank Aikaterini Achtypi, Deborah Bassotto, Lea Belota, Roelf Daling, Jasmine Lee, Jerry Mang'ena, Marta Musso, Alexis Osborne, Stefan Schoombie, Cristina Siani, Manuel Mageta Taque, Marcel van den Berg, and the crews of the Akademik Tryoshnikov, SA Agulhas 11 and Minerva Uno for assistance in the field and laboratory. ACE was a research cruise of the Swiss Polar Institute, supported by funding from the ACE Foundation. We thank the South African Departments of Environmental Affairs and Science and Technology, and the South African National Antarctic Programme for logistic support on the 110E2, SEAmester II and 2017 Marion Island relief cruises. The JPI-Oceans project BASEMAN (Defining the baselines and standards for micro litter analyses in European waters) provided additional financial support.</t>
  </si>
  <si>
    <t>0269-7491</t>
  </si>
  <si>
    <t>1873-6424</t>
  </si>
  <si>
    <t>ENVIRON POLLUT</t>
  </si>
  <si>
    <t>Environ. Pollut.</t>
  </si>
  <si>
    <t>10.1016/j.envpol.2019.113413</t>
  </si>
  <si>
    <t>KU4BO</t>
  </si>
  <si>
    <t>WOS:000519655100081</t>
  </si>
  <si>
    <t>Carapelli, A; Greenslade, P; Nardi, F; Leo, C; Convey, P; Frati, F; Fanciulli, PP</t>
  </si>
  <si>
    <t>Carapelli, Antonio; Greenslade, Penelope; Nardi, Francesco; Leo, Chiara; Convey, Peter; Frati, Francesco; Fanciulli, Pietro Paolo</t>
  </si>
  <si>
    <t>Evidence for Cryptic Diversity in the Pan-Antarctic Springtail Friesea antarctica and the Description of Two New Species</t>
  </si>
  <si>
    <t>Victoria Land; biogeography; invertebrate biota; chaetotaxy; integrative taxonomy; molecular phylogeny; species delimitation; Friesea gretae sp; nov; Friesea propria sp; nov</t>
  </si>
  <si>
    <t>HEXAPODA COLLEMBOLA; VICTORIA LAND; CAPE HALLETT; DELIMITATION; LIFE; NEANURIDAE; SELECTION; PATTERNS; HISTORY</t>
  </si>
  <si>
    <t>The invertebrate terrestrial fauna of Antarctica is being investigated with increasing interest to discover how life interacts with the extreme polar environment and how millions of years of evolution have shaped their biodiversity. Classical taxonomic approaches, complemented by molecular tools, are improving our understanding of the systematic relationships of some species, changing the nomenclature of taxa and challenging the taxonomic status of others. The springtail Friesea grisea has previously been described as the only species with a pan-Antarctic distribution. However, recent genetic comparisons have pointed to another scenario. The latest morphological study has confined F. grisea to the sub-Antarctic island of South Georgia, from which it was originally described, and resurrected F. antarctica as a congeneric species occurring on the continental mainland. Molecular data demonstrate that populations of this taxon, ostensibly occurring across Maritime and Continental Antarctica, as well as on some offshore islands, are evolutionarily isolated and divergent and cannot be included within a single species. The present study, combining morphological with molecular data, attempts to validate this hypothesis and challenges the taxonomic status of F. antarctica, suggesting that two additional new species, described here as Friesea gretae sp. nov. and Friesea propria sp. nov., are present in Continental Antarctica.</t>
  </si>
  <si>
    <t>[Carapelli, Antonio; Nardi, Francesco; Leo, Chiara; Frati, Francesco; Fanciulli, Pietro Paolo] Univ Siena, Dept Life Sci, Via A Moro 2, I-53100 Siena, Italy; [Greenslade, Penelope] Federat Univ, Sch Hlth &amp; Life Sci, Environm Management, Ballarat, Vic 3350, Australia; [Convey, Peter] British Antarctic Survey, NERC, Madingley Rd, Cambridge CB3 0ET, England</t>
  </si>
  <si>
    <t>University of Siena; Federation University Australia; UK Research &amp; Innovation (UKRI); Natural Environment Research Council (NERC); NERC British Antarctic Survey</t>
  </si>
  <si>
    <t>Carapelli, A (corresponding author), Univ Siena, Dept Life Sci, Via A Moro 2, I-53100 Siena, Italy.</t>
  </si>
  <si>
    <t>antonio.carapelli@unisi.it; p.greenslade@federation.edu.au; francesco.nardi@unisi.it; leo6@student.unisi.it; pcon@bas.ac.uk; francesco.frati@unisi.it; paolo.fanciulli@unisi.it</t>
  </si>
  <si>
    <t>Convey, Peter/AAV-5728-2020; Nardi, Francesco/E-5516-2011; Leo, Chiara/AAG-7672-2021</t>
  </si>
  <si>
    <t>Convey, Peter/0000-0001-8497-9903; Nardi, Francesco/0000-0003-0271-9855; Leo, Chiara/0000-0003-0510-2535; CARAPELLI, Antonio/0000-0002-3165-9620</t>
  </si>
  <si>
    <t>Italian Program of Research in Antarctica [PNRA16_00234]; University of Siena; NERC; NERC [bas0100036] Funding Source: UKRI</t>
  </si>
  <si>
    <t>Italian Program of Research in Antarctica; University of Siena; NERC(UK Research &amp; Innovation (UKRI)Natural Environment Research Council (NERC)); NERC(UK Research &amp; Innovation (UKRI)Natural Environment Research Council (NERC))</t>
  </si>
  <si>
    <t>This study was funded by the Italian Program of Research in Antarctica (PNRA16_00234). Partial support was also provided by the University of Siena. P.C. is supported by NERC core funding to the British Antarctic Survey's `Biodiversity, Ecosystems and Adaptation' Team. The paper also contributes to the SCAR `State of the Antarctic Ecosystem' (AntEco) international program.</t>
  </si>
  <si>
    <t>10.3390/insects11030141</t>
  </si>
  <si>
    <t>gold, Green Accepted, Green Submitted, Green Published</t>
  </si>
  <si>
    <t>WOS:000528056000027</t>
  </si>
  <si>
    <t>Alberello, A; Bennetts, L; Heil, P; Eayrs, C; Vichi, M; MacHutchon, K; Onorato, M; Toffoli, A</t>
  </si>
  <si>
    <t>Alberello, Alberto; Bennetts, Luke; Heil, Petra; Eayrs, Clare; Vichi, Marcello; MacHutchon, Keith; Onorato, Miguel; Toffoli, Alessandro</t>
  </si>
  <si>
    <t>Drift of Pancake Ice Floes in the Winter Antarctic Marginal Ice Zone During Polar Cyclones</t>
  </si>
  <si>
    <t>sea ice; marginal ice zone; drift; pancake ice; Antarctic; buoy</t>
  </si>
  <si>
    <t>OCEAN-SEA-ICE; SIZE DISTRIBUTION; WAVE; DYNAMICS; CLIMATE; SYSTEM; THERMODYNAMICS; DEFORMATION; VARIABILITY; SIMULATION</t>
  </si>
  <si>
    <t>High temporal resolution in situ measurements of pancake ice drift are presented, from a pair of buoys deployed on floes in the Antarctic marginal ice zone during the winter sea ice expansion, over 9 days in which the region was impacted by four polar cyclones. Concomitant measurements of wave-in-ice activity from the buoys are used to infer that the ice remained unconsolidated, and pancake ice conditions were maintained over at least the first 7 days. Analysis of the data shows (i) the fastest reported ice drift speeds in the Southern Ocean; (ii) high correlation of drift velocities with the surface wind velocities, indicating absence of internal ice stresses &gt;100km from the ice edge where remotely sensed ice concentration is 100%; and (iii) presence of a strong inertial signature with a 13hr period. A Lagrangian free drift model is developed, including a term for geostrophic currents that reproduce the 13hr period signature in the ice motion. The calibrated model provides accurate predictions of the ice drift for up to 2days, and the calibrated parameters provide estimates of wind and ocean drag for pancake floes under storm conditions. Plain Language Summary During the Antarctic winter, small pancake ice floes, which form rapidly in wavy conditions, dominate new ice growth and create a dynamic environment. However, there are only a handful of local observations of pancake ice drift, particularly during the intense polar cyclones that frequently reshape the ice cover. More observations are needed to generate better understanding and modeling of pancake ice response to winds, waves, and currents. We describe a set of pancake ice drift and wave-in-ice measurements over 9 days in which four polar cyclones affected the region, from buoys deployed on pancake floes 100km from the ice edge. We also develop an ice drift model.The data show how the cyclones affect ice drift and contain the fastest reported ice speed in the Southern Ocean (0.75ms(-1)). The instantaneous drift speed closely correlates with the wind speed, and the ice also displays a 13hr period rotational motion that we reproduce in the model with forcing from ocean currents. We show that pancake ice is in free drift, despite sea ice covering the entire ocean surface in the measurement region and that the model predicts drift accurately over 2 days with calibration of only two parameters. Key Points Ice speed (0.75 m s(-1)) measured during intense polar cyclones is the fastest recorded in the Southern Ocean Mean ice drift follows the wind, but with a strong inertial component, period approximate to 13 hr Pancake ice drift agrees with the free drift approximation (no internal ice stresses), even though remotely sensed concentration is 100%</t>
  </si>
  <si>
    <t>[Alberello, Alberto; Bennetts, Luke] Univ Adelaide, Sch Math Sci, Adelaide, SA, Australia; [Heil, Petra] Australian Antarctic Div, Hobart, Tas, Australia; [Heil, Petra] ACE CRC, Hobart, Tas, Australia; [Eayrs, Clare] New York Univ Abu Dhabi, Ctr Global Sea Level Change, Abu Dhabi, U Arab Emirates; [Vichi, Marcello] Univ Cape Town, Dept Oceanog, Rondebosch, South Africa; [Vichi, Marcello] Univ Cape Town, Marine Res Inst, Rondebosch, South Africa; [MacHutchon, Keith] Univ Cape Town, Dept Civil Engn, Rondebosch, South Africa; [Onorato, Miguel] Univ Turin, Dipartimento Fis, Turin, Italy; [Onorato, Miguel] Ist Nazl Fis Nucl, Turin, Italy; [Toffoli, Alessandro] Univ Melbourne, Dept Infrastruct Engn, Parkville, Vic, Australia</t>
  </si>
  <si>
    <t>University of Adelaide; Australian Antarctic Division; Antarctic Climate &amp; Ecosystems Cooperative Research Centre (ACE CRC); New York University Abu Dhabi; University of Cape Town; University of Cape Town; University of Cape Town; University of Turin; Istituto Nazionale di Fisica Nucleare (INFN); University of Melbourne</t>
  </si>
  <si>
    <t>Alberello, A (corresponding author), Univ Adelaide, Sch Math Sci, Adelaide, SA, Australia.</t>
  </si>
  <si>
    <t>alberto.alberello@outlook.com</t>
  </si>
  <si>
    <t>Onorato, Miguel/AAE-8793-2021; Eayrs, Clare/T-7969-2019; Bennetts, Luke/N-1448-2019; Onorato, Miguel/G-7104-2012; Vichi, Marcello/GLR-9823-2022</t>
  </si>
  <si>
    <t>Onorato, Miguel/0000-0001-9141-2147; Eayrs, Clare/0000-0003-3129-7604; Bennetts, Luke/0000-0001-9386-7882; Onorato, Miguel/0000-0001-9141-2147; Vichi, Marcello/0000-0002-0686-9634; Toffoli, Alessandro/0000-0003-3112-6856; Heil, Petra/0000-0003-2078-0342</t>
  </si>
  <si>
    <t>South African National Antarctic Programme through the National Research Foundation; ACE Foundation; Ferring Pharmaceuticals; Australian Antarctic Science Program [4434, 4301, 4390]; Departments of Excellence20182022 Grant - Italian Ministry of Education, University and Research (MIUR) [L.232/2016]; NYUAD Center for Global Sea Level Change Project [G1204]; Australian Governments Cooperative Research Centres Programme through the Antarctic Climate and Ecosystems Cooperative Research Centre; Air-Sea-Ice-Lab Project</t>
  </si>
  <si>
    <t>South African National Antarctic Programme through the National Research Foundation; ACE Foundation; Ferring Pharmaceuticals(Ferring Pharmaceuticals); Australian Antarctic Science Program; Departments of Excellence20182022 Grant - Italian Ministry of Education, University and Research (MIUR)(Ministry of Education, Universities and Research (MIUR)); NYUAD Center for Global Sea Level Change Project; Australian Governments Cooperative Research Centres Programme through the Antarctic Climate and Ecosystems Cooperative Research Centre(Australian GovernmentDepartment of Industry, Innovation and ScienceCooperative Research Centres (CRC) Programme); Air-Sea-Ice-Lab Project</t>
  </si>
  <si>
    <t>The expedition was funded by the South African National Antarctic Programme through the National Research Foundation. This work was partially funded by the ACE Foundation and Ferring Pharmaceuticals. A. A., L. B., A. T., and P. H. were supported by the Australian Antarctic Science Program (all by Project 4434 and PH by Projects 4301 and 4390). M. O. was supported by the Departments of Excellence20182022 Grant awarded by the Italian Ministry of Education, University and Research (MIUR) (L.232/2016). C. E. was supported under NYUAD Center for Global Sea Level Change ProjectG1204. P. H. was supported by the Australian Governments Cooperative Research Centres Programme through the Antarctic Climate and Ecosystems Cooperative Research Centre. We are indebted to Captain Knowledge Bengu and the crew of the SA Agulhas II for their invaluable contribution to data collection. We thank the two anonymous reviewers; their comments improved the original submitted manuscript. ERA5 reanalysis was obtained using Copernicus Climate Change Service Information 2019. A. A. and A. T. acknowledge support from the Air-Sea-Ice-Lab Project. M. O. acknowledges B. GiuliNico for interesting discussions. Buoy data are publicly available online ().</t>
  </si>
  <si>
    <t>e2019JC015418</t>
  </si>
  <si>
    <t>10.1029/2019JC015418</t>
  </si>
  <si>
    <t>Green Accepted, Green Published, Green Submitted</t>
  </si>
  <si>
    <t>WOS:000534229400019</t>
  </si>
  <si>
    <t>Jones, DC; Boland, E; Meijers, AJS; Forget, G; Josey, S; Sallée, JB; Shuckburgh, E</t>
  </si>
  <si>
    <t>Jones, Daniel C.; Boland, Emma; Meijers, Andrew J. S.; Forget, Gael; Josey, Simon; Sallee, Jean-Baptiste; Shuckburgh, Emily</t>
  </si>
  <si>
    <t>The Sensitivity of Southeast Pacific Heat Distribution to Local and Remote Changes in Ocean Properties</t>
  </si>
  <si>
    <t>South Pacific Ocean; Southern Ocean; Advection; Inverse methods; Ocean models; Interannual variability</t>
  </si>
  <si>
    <t>ANTARCTIC MODE WATER; GLOBAL OVERTURNING CIRCULATION; ANTHROPOGENIC CARBON-DIOXIDE; INTERMEDIATE WATER; CLIMATE-CHANGE; TRANSPORT; SEA; SUBDUCTION; DRIVEN; RATES</t>
  </si>
  <si>
    <t>The Southern Ocean features ventilation pathways that transport surface waters into the subsurface thermocline on time scales from decades to centuries, sequestering anomalies of heat and carbon away from the atmosphere and thereby regulating the rate of surface warming. Despite its importance for climate sensitivity, the factors that control the distribution of heat along these pathways are not well understood. In this study, we use an observationally constrained, physically consistent global ocean model to examine the sensitivity of heat distribution in the recently ventilated subsurface Pacific (RVP) sector of the Southern Ocean to changes in ocean temperature and salinity. First, we define the RVP using numerical passive tracer release experiments that highlight the ventilation pathways. Next, we use an ensemble of adjoint sensitivity experiments to quantify the sensitivity of the RVP heat content to changes in ocean temperature and salinity. In terms of sensitivities to surface ocean properties, we find that RVP heat content is most sensitive to anomalies along the Antarctic Circumpolar Current (ACC), upstream of the subduction hotspots. In terms of sensitivities to subsurface ocean properties, we find that RVP heat content is most sensitive to basin-scale changes in the subtropical Pacific Ocean, around the same latitudes as the RVP. Despite the localized nature of mode water subduction hotspots, changes in basin-scale density gradients are an important controlling factor on heat distribution in the southeast Pacific.</t>
  </si>
  <si>
    <t>[Jones, Daniel C.; Boland, Emma; Meijers, Andrew J. S.] British Antarctic Survey, NERC, UKRI, Cambridge, England; [Forget, Gael] MIT, Dept Earth Atmospher &amp; Planetary Sci, Cambridge, MA USA; [Josey, Simon] Natl Oceanog Ctr, Southampton, Hants, England; [Sallee, Jean-Baptiste] UPMC Univ, Sorbonne Univ, LOCEAN IPSL, Paris, France; [Shuckburgh, Emily] Univ Cambridge, Dept Comp Sci &amp; Technol, Cambridge, England</t>
  </si>
  <si>
    <t>UK Research &amp; Innovation (UKRI); Natural Environment Research Council (NERC); NERC British Antarctic Survey; Massachusetts Institute of Technology (MIT); NERC National Oceanography Centre; Sorbonne Universite; Museum National d'Histoire Naturelle (MNHN); University of Cambridge</t>
  </si>
  <si>
    <t>Jones, DC (corresponding author), British Antarctic Survey, NERC, UKRI, Cambridge, England.</t>
  </si>
  <si>
    <t>dannes@bas.ac.uk</t>
  </si>
  <si>
    <t>SALLEE, Jean baptiste/HDO-5355-2022; SALLEE, Jean baptiste/A-5837-2010</t>
  </si>
  <si>
    <t>SALLEE, Jean baptiste/0000-0002-6109-5176</t>
  </si>
  <si>
    <t>Natural Environment Research Council (NERC); North Atlantic Climate System Integrated Study (ACSIS) [NE/N018028/1]; Securing Multidisciplinary UndeRstanding and Prediction of Hiatus and Surge events (SMURPHS) [NE/N006038/1]; Ocean Regulation of Climate by Heat and Carbon Sequestration and Transports (ORCHESTRA) [NE/N018095/1]; NASA [6937342]; Simons Foundation [549931]; NERC [noc010010, NE/N018095/1, NE/N006038/1, NE/N018001/1, NE/N018028/1, bas0100033] Funding Source: UKRI</t>
  </si>
  <si>
    <t>Natural Environment Research Council (NERC)(UK Research &amp; Innovation (UKRI)Natural Environment Research Council (NERC)); North Atlantic Climate System Integrated Study (ACSIS); Securing Multidisciplinary UndeRstanding and Prediction of Hiatus and Surge events (SMURPHS); Ocean Regulation of Climate by Heat and Carbon Sequestration and Transports (ORCHESTRA); NASA(National Aeronautics &amp; Space Administration (NASA)); Simons Foundation; NERC(UK Research &amp; Innovation (UKRI)Natural Environment Research Council (NERC))</t>
  </si>
  <si>
    <t>This study is supported by grants from the Natural Environment Research Council (NERC), including 1) TheNorth Atlantic Climate System Integrated Study (ACSIS) (Grant NE/N018028/1, authors DJ, ES), 2) Securing Multidisciplinary UndeRstanding and Prediction of Hiatus and Surge events (SMURPHS) (GrantNE/N006038/1, author EB), and 3) Ocean Regulation of Climate by Heat and Carbon Sequestration and Transports (ORCHESTRA) (Grant NE/N018095/1, authors EB, AM, SJ). GF is supported by NASA Award 6937342 and Simons Foundation Award 549931. Numerical model runs were carried out on ARCHER, the U.K. national HPC facility (http://archer.ac.uk/).</t>
  </si>
  <si>
    <t>10.1175/JPO-D-19-0155.1</t>
  </si>
  <si>
    <t>Green Submitted, Green Accepted, Bronze</t>
  </si>
  <si>
    <t>WOS:000522399300007</t>
  </si>
  <si>
    <t>Dill, HG; Buzatu, A; Goldmann, S; Kaufhold, S; Bîrgaoanu, D</t>
  </si>
  <si>
    <t>Dill, Harald G.; Buzatu, Andrei; Goldmann, Simon; Kaufhold, Stefan; Birgaoanu, Daniel</t>
  </si>
  <si>
    <t>Coastal landforms of Meso-Afro-American and Neo-American landscapes in the periglacial South Atlantic ocean: With special reference to the clast orientation, morphology, and granulometry of continental and marine sediments</t>
  </si>
  <si>
    <t>JOURNAL OF SOUTH AMERICAN EARTH SCIENCES</t>
  </si>
  <si>
    <t>Coastal landform series; Coastal marine-glacial-mass wasting process catena; Situmetric-morphological-granulometric-mineralogical-based gravel analysis; South atlantic</t>
  </si>
  <si>
    <t>TIERRA-DEL-FUEGO; NORTHERN ANTARCTIC PENINSULA; POST-DRILLING ANALYSIS; FALKLAND-ISLANDS; PROVENANCE ANALYSIS; STRUCTURAL EVOLUTION; SHETLAND ISLANDS; EAST ANTARCTICA; PLACER DEPOSITS; GLACIAL EROSION</t>
  </si>
  <si>
    <t>In the periglacial South Atlantic Ocean five coastal landform series (CLFS): CLFS1 (Falkland Islands/Islas Malvinas), CLFS2 (Tierra del Fuego), CLFS3 (South Georgia + Scotia Ridge), CLFS 4 (South Shetland Archipelago) and CLFS 5 (Antarctic Peninsula) have been established and studied with regard to their geomorphology and sedimentary petrography. Although being several hundreds of kilometers apart from each other the majority of sites belong to the same climate zone, the polar tundra climate excluding the CLFS 1 which is more humid and the CLFS 5 on the opposite side that passes into the polar frost zone. The hydrographic regime is in the majority of cases microtidal, excluding some coastal regions in CLFS 1 and CLFS 5 where micro-mesotidal conditions exist around the volcanic edifices. The climate variation has an impact on the weathering of the landforms, which abruptly changes from chemical to physical between CLFS 3 and 4, and gradually from CLFS 1 to CLFS 3 (oxidic double right arrow reducing regime, pH double right arrow more acidic meteoric fluids). The mineral assemblages representative of the supergene mineralization reflect an incipient stage of on icehouse-hothouse transition. The CLFS 1 to 3 evolved in a geodynamically stable setting attested to by a high landscape maturity, whereas CLFS 4 and 5 are situated in a geodynamically mobile regime leading to structural landforms instead of sculptural ones of lower maturity. The CLFS1 to CLFS 3 are characterized by landscape types of plains, channels, fjords and bays which incise or truncate highly to partially eroded mountain blocks which were uplifted near the coast and thereby overprint relic landforms such as peneplains and pediments. The three geomorphological processes shaping the area between land and sea are (1) coastal marine - landforms given in brackets (beach, cliffs - beach scarps, dunes plus aeolian sand sheets, fiord remodeled into channels, bays (drowned cirque glaciers), wave-cut platforms, tidal flats (rocky), tombolo), (2) glacial (boulder trains, cirque-tarn-lip, cryopediments (?), glacial-fluvial channels, moraines, outburst valleys and spillways, pattern grounds (plus stone runs), roches moutonnees through-to U-shaped valleys, and (3) mass wasting (rock fall transitional into -slide, talus plus soil creep). While mass wasting is a rather conservative process, the glacial land-forming processes increase in quality and intensity from CLFS 1 to CLFS 3. The coastal marine processes are rather conservative, excluding those processes which interdigitate with glacial marine processes, e.g., evolution of fjords and when strongly controlled by the magmatic and metamorphic Ethology. The CLFS 4 and CLFS 5 are magmatic-arc, rift-, and fold belt-related. Both reference sites mark a volcanic landscape arising from the sea, the first one under subaerial, the second one under subglacial conditions. In these modern geodynamic settings structural volcanic landforms (cones, maars, craters, pyroclastic fans of flow and surge deposits, flat-topped volcanic plateaus, tuya) predominate. The coastal marine, glacial and mass wasting induced landform types resemble those of the CLFS 1 to CLFS 3. Among the mass wasting slide and flow deposits are more common near the beach. Among the glacial deposits moraines, aretes and nunataks are more common in the coastal hinterland. The wave-dominated coastal marine landforms (beach, cliffs-beach scarps, wave cut platforms) become more variegated when the tidal range increases (tidal channel double right arrow ephemeral stream, tidal flats). There are also mixed types between alluvial-fluvial and glacial marine named embryonic glacial-marine fan deltas. Based upon the current study an approximation of the relief generations or palaeo-landscapes can be achieved for the coastal region (hinderland + beach) in the S Atlantic Ocean: Peneplanation (relic form) - Oligo-Miocene double right arrow pedimentation (relic form) - Neogene double right arrow Glaciation and deglaciation conducive to depositional and erosive sculptural landforms = Volcanic activity conducive to structural landforms -Pleistocene-Holocene double right arrow Coastal marine and mass wasting processes conducive to depositional and erosive sculptural landforms - Pleistocene-Holocene. By analogy with similar geodynamic landscape types elsewhere the two principal landscapes are denominated as Meso-Afro-American (CLFS 1 to 3) and Neo-American (CLFS 4 and 5). These two technical terms are self-explanatory as to the geodynamic parent material and eligible for a maturity-based correlation of landscapes. The combination of the clast orientation, granulometry, grain morphology and shape in combination with sorting and clast mineralogy (visual lithological inspection double right arrow X-ray diffraction double right arrow scanning electron microscope supplemented with WDX/EDX double right arrow electron microprobe double right arrow micro-Raman spectrometry) has proved to be a valuable tool to lend support to the genetic interpretation of the existing landform types mentioned above and to bridge the gap between actuogeological processes and ancient equivalent sites as being subjected to an environment or paleogeographic analyses. The poor chemical supergene alteration in the periglacial-coastal study area renders it favorable for the application of these sedimentological and mineralogical methods. In conclusion, this methodological approach is promising for all those climate zones with limited chemical weathering for which the diagrams and tables are designed as reference types such cold as hot dry cold climate zones and mountainous regions. Environments typical of depositional and transport processes driven by the (1) hydraulic and entrainment equivalence, (2) attrition and (3) winnowing are the prime targets for the use of these methods. Even polycyclic reworking processes in coastal landscapes where marine, glacial and gravity driven processes interfere with each other around structural geomorphological landforms or have originated from relic ones may be differentiated from each other.</t>
  </si>
  <si>
    <t>[Dill, Harald G.] Gottfried Wilhelm Leibniz Univ, Welfengarten 1, D-30167 Hannover, Germany; [Buzatu, Andrei] Alexandru Ioan Cuza Univ, Fac Geog &amp; Geol, Dept Geol, 20A,Carol I Blvd, RO-700505 Iasi, Romania; [Goldmann, Simon; Kaufhold, Stefan] Bundesanstalt Geowissensch &amp; Rohstoffe, POB 510163, D-30631 Hannover, Germany; [Birgaoanu, Daniel] Geol Inst Romania, Caransebes Str 1, RO-012271 Bucharest, Romania</t>
  </si>
  <si>
    <t>Leibniz University Hannover; Alexandru Ioan Cuza University; Geological Institute of Romania</t>
  </si>
  <si>
    <t>Dill, HG (corresponding author), Gottfried Wilhelm Leibniz Univ, Welfengarten 1, D-30167 Hannover, Germany.</t>
  </si>
  <si>
    <t>haralddill@web.de</t>
  </si>
  <si>
    <t>Dill, Harald Gerold/JEF-6442-2023; Buzatu, Andrei/AAQ-4648-2020</t>
  </si>
  <si>
    <t>0895-9811</t>
  </si>
  <si>
    <t>1873-0647</t>
  </si>
  <si>
    <t>J S AM EARTH SCI</t>
  </si>
  <si>
    <t>J. South Am. Earth Sci.</t>
  </si>
  <si>
    <t>10.1016/j.jsames.2019.102385</t>
  </si>
  <si>
    <t>KR5NJ</t>
  </si>
  <si>
    <t>WOS:000517664800042</t>
  </si>
  <si>
    <t>Carvalho, F; Fitzsimmons, JN; Couto, N; Waite, N; Gorbunov, M; Kohut, J; Oliver, MJ; Sherrell, RM; Schofield, O</t>
  </si>
  <si>
    <t>Carvalho, Filipa; Fitzsimmons, Jessica N.; Couto, Nicole; Waite, Nicole; Gorbunov, Maxim; Kohut, Josh; Oliver, Matthew J.; Sherrell, Robert M.; Schofield, Oscar</t>
  </si>
  <si>
    <t>Testing the Canyon Hypothesis: Evaluating light and nutrient controls of phytoplankton growth in penguin foraging hotspots along the West Antarctic Peninsula</t>
  </si>
  <si>
    <t>CIRCUMPOLAR DEEP-WATER; NORTHERN MARGUERITE BAY; POLAR MARINE ECOSYSTEMS; SEA-ICE; INTERANNUAL VARIABILITY; FRAGILARIOPSIS-CYLINDRUS; PHAEOCYSTIS-ANTARCTICA; TAXA PHOTOSYNTHESIS; COMMUNITY STRUCTURE; CONTINENTAL-SHELF</t>
  </si>
  <si>
    <t>Biological hotspots along the West Antarctic Peninsula (WAP) are characterized by high phytoplankton productivity and biomass as well as spatially focused penguin foraging activity. While unique physical concentrating processes were identified in one of these hotspots, understanding the mechanisms driving the blooms at these locations is of high importance. Factors posited to explain the blooms include the upwelling of macronutrient- and micronutrient-enriched modified Upper Circumpolar Deep Water (mUCDW) and the depth of the mixed layer influencing overall light availability for phytoplankton. Using shipboard trace-metal clean incubation experiments in three different coastal biological hotspots spanning a north-south gradient along the WAP, we tested the Canyon Hypothesis (upwelling) for enhanced phytoplankton growth. Diatoms dominated the Southern region, while the Northern region was characterized by a combination of diatoms and cryptophytes. There was ample concentration of macronutrients at the surface and no phytoplankton growth response was detected with the addition of nutrient-enriched mUCDW water or iron solution to surface waters. For all treatments, addition of mUCDW showed no enhancement in phytoplankton growth, suggesting that local upwelling of nutrient-enriched deep water in these hotspots was not the main driver of high phytoplankton biomass. Furthermore, the dynamics in the photoprotective pigments were consistent with the light levels used during these incubations showing that phytoplankton are able to photoacclimate rapidly to higher irradiances and that in situ cells are low light adapted. Light availability appears to be the critical variable for the development of hotspot phytoplankton blooms, which in turn supports the highly productive regional food web.</t>
  </si>
  <si>
    <t>[Carvalho, Filipa] Natl Oceanography Centre, Southampton, England; [Carvalho, Filipa; Fitzsimmons, Jessica N.; Couto, Nicole; Waite, Nicole; Gorbunov, Maxim; Kohut, Josh; Sherrell, Robert M.; Schofield, Oscar] Rutgers State Univ, Ctr Ocean Observing Leadership, Dept Marine, Coastal Sciences, New Brunswick, NJ USA; [Fitzsimmons, Jessica N.] Texas A&amp;M Univ, Dept Oceanog, College Stn, TX USA; [Couto, Nicole] Univ Calif San Diego, Scripps Institut Oceanog, La Jolla, CA USA; [Oliver, Matthew J.] Univ Delaware, Coll Earth, Environm, Lewes, DE USA; [Sherrell, Robert M.] Rutgers State Univ, Dept Earth, Planetary Sciences, Piscataway, NJ USA</t>
  </si>
  <si>
    <t>Rutgers University System; Rutgers University New Brunswick; Texas A&amp;M University System; Texas A&amp;M University College Station; University of California System; University of California San Diego; Scripps Institution of Oceanography; University of Delaware; Rutgers University System; Rutgers University New Brunswick</t>
  </si>
  <si>
    <t>Carvalho, F (corresponding author), Natl Oceanography Centre, Southampton, England.;Carvalho, F (corresponding author), Rutgers State Univ, Ctr Ocean Observing Leadership, Dept Marine, Coastal Sciences, New Brunswick, NJ USA.</t>
  </si>
  <si>
    <t>filipa.carvalho@noc.ac.uk</t>
  </si>
  <si>
    <t>Fitzsimmons, Jessica N/G-1343-2011; Schofield, Oscar/H-4169-2018; Carvalho, Filipa/B-7223-2017</t>
  </si>
  <si>
    <t>Fitzsimmons, Jessica/0000-0002-9829-2464; Schofield, Oscar/0000-0003-2359-4131; Carvalho, Filipa/0000-0002-8355-4329; Waite, Nicole/0000-0002-1107-4959</t>
  </si>
  <si>
    <t>10.1002/lno.11313</t>
  </si>
  <si>
    <t>KS1AR</t>
  </si>
  <si>
    <t>WOS:000518043600001</t>
  </si>
  <si>
    <t>Shepherd, A; Ivins, E; Rignot, E; Smith, B; van den Broeke, M; Velicogna, I; Whitehouse, P; Briggs, K; Joughin, I; Krinner, G; Nowicki, S; Payne, T; Scambos, T; Schlegel, N; A, G; Agosta, C; Ahlstrom, A; Babonis, G; Barletta, VR; Bjork, AA; Blazquez, A; Bonin, J; Colgan, W; Csatho, B; Cullather, R; Engdahl, ME; Felikson, D; Fettweis, X; Forsberg, R; Hogg, AE; Gallee, H; Gardner, A; Gilbert, L; Gourmelen, N; Groh, A; Gunter, B; Hanna, E; Harig, C; Helm, V; Horvath, A; Horwath, M; Khan, S; Kjeldsen, KK; Konrad, H; Langen, PL; Lecavalier, B; Loomis, B; Luthcke, S; McMillan, M; Melini, D; Mernild, S; Mohajerani, Y; Moore, P; Mottram, R; Mouginot, J; Moyano, G; Muir, A; Nagler, T; Nield, G; Nilsson, J; Noël, B; Otosaka, I; Pattle, ME; Peltier, WR; Pie, N; Rietbroek, R; Rott, H; Sorensen, LS; Sasgen, I; Save, H; Scheuchl, B; Schrama, E; Schröder, L; Seo, KW; Simonsen, SB; Slater, T; Spada, G; Sutterley, T; Talpe, M; Tarasov, L; van de Berg, WJ; van der Walt, W; van Wessem, M; Vishwakarma, BD; Wiese, D; Wilton, D; Wagner, T; Wouters, B; Wuite, J</t>
  </si>
  <si>
    <t>Shepherd, Andrew; Ivins, Erik; Rignot, Eric; Smith, Ben; van den Broeke, Michiel; Velicogna, Isabella; Whitehouse, Pippa; Briggs, Kate; Joughin, Ian; Krinner, Gerhard; Nowicki, Sophie; Payne, Tony; Scambos, Ted; Schlegel, Nicole; A, Geruo; Agosta, Cecile; Ahlstrom, Andreas; Babonis, Greg; Barletta, Valentina R.; Bjork, Anders A.; Blazquez, Alejandro; Bonin, Jennifer; Colgan, William; Csatho, Beata; Cullather, Richard; Engdahl, Marcus E.; Felikson, Denis; Fettweis, Xavier; Forsberg, Rene; Hogg, Anna E.; Gallee, Hubert; Gardner, Alex; Gilbert, Lin; Gourmelen, Noel; Groh, Andreas; Gunter, Brian; Hanna, Edward; Harig, Christopher; Helm, Veit; Horvath, Alexander; Horwath, Martin; Khan, Shfaqat; Kjeldsen, Kristian K.; Konrad, Hannes; Langen, Peter L.; Lecavalier, Benoit; Loomis, Bryant; Luthcke, Scott; McMillan, Malcolm; Melini, Daniele; Mernild, Sebastian; Mohajerani, Yara; Moore, Philip; Mottram, Ruth; Mouginot, Jeremie; Moyano, Gorka; Muir, Alan; Nagler, Thomas; Nield, Grace; Nilsson, Johan; Noel, Brice; Otosaka, Ines; Pattle, Mark E.; Peltier, W. Richard; Pie, Nadege; Rietbroek, Roelof; Rott, Helmut; Sorensen, Louise Sandberg; Sasgen, Ingo; Save, Himanshu; Scheuchl, Bernd; Schrama, Ernst; Schroeder, Ludwig; Seo, Ki-Weon; Simonsen, Sebastian B.; Slater, Thomas; Spada, Giorgio; Sutterley, Tyler; Talpe, Matthieu; Tarasov, Lev; van de Berg, Willem Jan; van der Walt, Wouter; van Wessem, Melchior; Vishwakarma, Bramha Dutt; Wiese, David; Wilton, David; Wagner, Thomas; Wouters, Bert; Wuite, Jan</t>
  </si>
  <si>
    <t>IMBIE Team</t>
  </si>
  <si>
    <t>Mass balance of the Greenland Ice Sheet from 1992 to 2018</t>
  </si>
  <si>
    <t>GLACIAL ISOSTATIC-ADJUSTMENT; RELATIVE SEA-LEVEL; PETERMANN GLACIER; ELEVATION CHANGE; SURFACE; GRACE; CLIMATE; MODEL; ACCELERATION; ANTARCTICA</t>
  </si>
  <si>
    <t>The Greenland Ice Sheet has been a major contributor to global sea-level rise in recent decades(1,2), and it is expected to continue to be so(3). Although increases in glacier flow(4-6) and surface melting(7-9) have been driven by oceanic(10-12) and atmospheric(13,14) warming, the magnitude and trajectory of the ice sheet's mass imbalance remain uncertain. Here we compare and combine 26 individual satellite measurements of changes in the ice sheet's volume, flow and gravitational potential to produce a reconciled estimate of its mass balance. The ice sheet was close to a state of balance in the 1990s, but annual losses have risen since then, peaking at 345 +/- 66 billion tonnes per year in 2011. In all, Greenland lost 3,902 +/- 342 billion tonnes of ice between 1992 and 2018, causing the mean sea level to rise by 10.8 +/- 0.9 millimetres. Using three regional climate models, we show that the reduced surface mass balance has driven 1,964 +/- 565 billion tonnes (50.3 per cent) of the ice loss owing to increased meltwater runoff. The remaining 1,938 +/- 541 billion tonnes (49.7 per cent) of ice loss was due to increased glacier dynamical imbalance, which rose from 46 +/- 37 billion tonnes per year in the 1990s to 87 +/- 25 billion tonnes per year since then. The total rate of ice loss slowed to 222 +/- 30 billion tonnes per year between 2013 and 2017, on average, as atmospheric circulation favoured cooler conditions(15) and ocean temperatures fell at the terminus of Jakobshavn Isbr AE(16). Cumulative ice losses from Greenland as a whole have been close to the rates predicted by the Intergovernmental Panel on Climate Change for their high-end climate warming scenario(17), which forecast an additional 70 to 130 millimetres of global sea-level rise by 2100 compared with their central estimate.</t>
  </si>
  <si>
    <t>[Shepherd, Andrew; Briggs, Kate; Hogg, Anna E.; Otosaka, Ines; Slater, Thomas] Univ Leeds, Ctr Polar Observat &amp; Modelling, Leeds, W Yorkshire, England; [Ivins, Erik; Rignot, Eric; Velicogna, Isabella; Schlegel, Nicole; Gardner, Alex; Nilsson, Johan; Talpe, Matthieu; Wiese, David] CALTECH, NASA Jet Prop Lab, Pasadena, CA 91125 USA; [Rignot, Eric; Velicogna, Isabella; A, Geruo; Mohajerani, Yara; Mouginot, Jeremie; Scheuchl, Bernd; Sutterley, Tyler] Univ Calif Irvine, Dept Earth Syst Sci, Irvine, CA USA; [Smith, Ben; Joughin, Ian] Univ Washington, Dept Earth &amp; Space Sci, Seattle, WA 98195 USA; [van den Broeke, Michiel; Noel, Brice; van de Berg, Willem Jan; van Wessem, Melchior; Wouters, Bert] Univ Utrecht, Inst Marine &amp; Atmospher Res, Utrecht, Netherlands; [Whitehouse, Pippa; Nield, Grace] Univ Durham, Dept Geog, Durham, England; [Krinner, Gerhard; Gallee, Hubert; Mouginot, Jeremie] Univ Grenoble Alpes, Inst Environm Geosci, Grenoble, France; [Nowicki, Sophie; Felikson, Denis; Loomis, Bryant; Luthcke, Scott] NASA, Goddard Space Flight Ctr, Cryospher Sci Lab, Greenbelt, MD USA; [Payne, Tony] Univ Bristol, Sch Geog Sci, Bristol, Avon, England; [Scambos, Ted] Univ Colorado, Earth Sci &amp; Observat Ctr, Boulder, CO 80309 USA; [Agosta, Cecile; Fettweis, Xavier] Univ Liege, Dept Geog, Liege, Belgium; [Ahlstrom, Andreas; Colgan, William; Kjeldsen, Kristian K.] Geol Survey Denmark &amp; Greenland, Copenhagen, Denmark; [Babonis, Greg; Csatho, Beata] SUNY Buffalo, Dept Geol, Buffalo, NY USA; [Barletta, Valentina R.; Forsberg, Rene; Khan, Shfaqat; Sorensen, Louise Sandberg; Simonsen, Sebastian B.] Tech Univ Denmark, Natl Space Inst, DTU Space, Lyngby, Denmark; [Bjork, Anders A.] Univ Copenhagen, Dept Geosci &amp; Nat Resource Management, Copenhagen, Denmark; [Blazquez, Alejandro] Univ Toulouse, LEGOS, Toulouse, France; [Bonin, Jennifer] Univ S Florida, Coll Marine Sci, Tampa, FL 33620 USA; [Cullather, Richard] NASA, Goddard Space Flight Ctr, Global Modeling &amp; Assimilat Off, Greenbelt, MD USA; [Engdahl, Marcus E.] ESA ESRIN, Frascati, Italy; [Gilbert, Lin; Muir, Alan] Univ Coll London, Mullard Space Sci Lab, Holmbury, England; [Gourmelen, Noel] Univ Edinburgh, Sch Geosci, Edinburgh, Midlothian, Scotland; [Groh, Andreas; Horwath, Martin; Schroeder, Ludwig] Tech Univ Dresden, Inst Planetary Geodesy, Dresden, Germany; [Gunter, Brian] Georgia Inst Technol, Daniel Guggenheim Sch Aerosp Engn, Atlanta, GA 30332 USA; [Hanna, Edward] Univ Lincoln, Sch Geog, Lincoln, England; [Harig, Christopher] Univ Arizona, Dept Geosci, Tucson, AZ 85721 USA; [Helm, Veit; Sasgen, Ingo; Schroeder, Ludwig] Helmholtz Ctr Polar &amp; Marine Res, Alfred Wegener Inst, Bremerhaven, Germany; [Horvath, Alexander] Tech Univ Munich, Inst Astron &amp; Phys Geodesy, Munich, Germany; [Kjeldsen, Kristian K.] Univ Copenhagen, Globe Inst, GeoGenet, Copenhagen, Denmark; [Konrad, Hannes] Deutsch Wetterdienst, Offenbach, Germany; [Langen, Peter L.; Mottram, Ruth] Danish Meteorol Inst, Copenhagen, Denmark; [Lecavalier, Benoit; Tarasov, Lev] Mem Univ Newfoundland, Dept Phys &amp; Phys Oceanog, St John, NF, Canada; [McMillan, Malcolm] Univ Lancaster, Lancaster Environm Ctr, Lancaster, England; [Melini, Daniele] Ist Nazl Geofis &amp; Vulcanol, Rome, Italy; [Mernild, Sebastian] Nansen Environm &amp; Remote Sensing Ctr, Bergen, Norway; [Mernild, Sebastian] Western Norway Univ Appl Sci, Fac Engn &amp; Sci, Sogndal, Norway; [Mernild, Sebastian] Univ Magallanes, Direct Antarctic &amp; Subantarctic Programs, Punta Arenas, Chile; [Mernild, Sebastian] Univ Bergen, Geophys Inst, Bergen, Norway; [Moore, Philip] Newcastle Univ, Sch Engn, Newcastle Upon Tyne, Tyne &amp; Wear, England; [Moyano, Gorka; Pattle, Mark E.] isardSAT, Barcelona, Catalonia, Spain; [Nagler, Thomas; Rott, Helmut; Wuite, Jan] ENVEO, Innsbruck, Austria; [Peltier, W. Richard] Univ Toronto, Dept Phys, Toronto, ON, Canada; [Pie, Nadege; Save, Himanshu] Univ Texas Austin, Ctr Space Res, Austin, TX 78712 USA; [Rietbroek, Roelof] Univ Bonn, Inst Geodesy &amp; Geoinformat, Bonn, Germany; [Schrama, Ernst; van der Walt, Wouter] Delft Univ Technol, Dept Space Engn, Delft, Netherlands; [Seo, Ki-Weon] Seoul Natl Univ, Dept Earth Sci Educ, Seoul, South Korea; [Spada, Giorgio] Univ Urbino Carlo Bo, Dipartimento Sci Pure &amp; Applicate, Urbino, Italy; [van der Walt, Wouter; Wouters, Bert] Delft Univ Technol, Dept Civil Engn, Delft, Netherlands; [Vishwakarma, Bramha Dutt] Univ Stuttgart, Geodet Inst, Stuttgart, Germany; [Wilton, David] Univ Sheffield, Dept Comp Sci, Sheffield, S Yorkshire, England; [Wagner, Thomas] NASA Headquarters, Washington, DC USA</t>
  </si>
  <si>
    <t>California Institute of Technology; National Aeronautics &amp; Space Administration (NASA); NASA Jet Propulsion Laboratory (JPL); University of California System; University of California Irvine; University of Washington; University of Washington Seattle; Utrecht University; Durham University; Communaute Universite Grenoble Alpes; Universite Grenoble Alpes (UGA); National Aeronautics &amp; Space Administration (NASA); NASA Goddard Space Flight Center; University of Bristol; University of Colorado System; University of Colorado Boulder; University of Liege; Geological Survey Of Denmark &amp; Greenland; State University of New York (SUNY) System; State University of New York (SUNY) Buffalo; Technical University of Denmark; University of Copenhagen; Universite de Toulouse; Universite Toulouse III - Paul Sabatier; Centre National de la Recherche Scientifique (CNRS); Institut de Recherche pour le Developpement (IRD); Laboratoire d'Etudes en Geophysique et oceanographie spatiales; State University System of Florida; University of South Florida; National Aeronautics &amp; Space Administration (NASA); NASA Goddard Space Flight Center; European Space Agency; University of Cambridge; University of London; University College London; University of Edinburgh; Technische Universitat Dresden; University System of Georgia; Georgia Institute of Technology; University of Lincoln; University of Arizona; Helmholtz Association; Alfred Wegener Institute, Helmholtz Centre for Polar &amp; Marine Research; Technical University of Munich; University of Copenhagen; Danish Meteorological Institute DMI; Memorial University Newfoundland; Lancaster University; Istituto Nazionale Geofisica e Vulcanologia (INGV); Nansen Environmental &amp; Remote Sensing Center (NERSC); Western Norway University of Applied Sciences; Universidad de Magallanes; University of Bergen; Newcastle University - UK; University of Toronto; University of Texas System; University of Texas Austin; University of Bonn; Delft University of Technology; Seoul National University (SNU); University of Urbino; Delft University of Technology; University of Stuttgart; University of Sheffield; National Aeronautics &amp; Space Administration (NASA); Mary W. Jackson NASA Headquarters</t>
  </si>
  <si>
    <t>Shepherd, A (corresponding author), Univ Leeds, Ctr Polar Observat &amp; Modelling, Leeds, W Yorkshire, England.</t>
  </si>
  <si>
    <t>a.shepherd@leeds.ac.uk</t>
  </si>
  <si>
    <t>Nilsson, Johan/F-1888-2019; Scambos, Ted A/B-1856-2009; Seo, Ki-weon/AAH-7729-2021; Simonsen, Sebastian Bjerregaard/F-4791-2013; Konrad, Hannes/H-7647-2013; Ahlstrøm, Andreas Peter/E-5257-2014; Colgan, William/ITU-7055-2023; Agosta, Cécile/HLQ-5577-2023; Rignot, Eric/A-4560-2014; van de Berg, Willem Jan/H-4385-2011; Blazquez, Alejandro/ABG-8446-2020; Barletta, Valentina R./E-9128-2012; Mouginot, Jeremie/G-7045-2015; Csatho, Beata/KGK-9301-2024; Horwath, Martin/ABH-4320-2020; Langen, Peter L/AAR-1120-2021; McMillan, Malcolm/HLQ-1163-2023; Velicogna, Isabella/R-5561-2018; Loomis, Bryant/AIC-7436-2022; Khan, Shfaqat Abbas/AAP-6627-2021; Felikson, Denis/M-2397-2016; Krinner, Gerhard/AAB-8837-2022; Hanna, Edward/W-5927-2019; Ivins, Erik R/C-2416-2011; Melini, Daniele/ABB-2386-2020; Joughin, Ian/AAR-7778-2021; Kjeldsen, Kristian Kjellerup/A-9592-2013; Krinner, Gerhard/A-6450-2011; Peltier, William R./A-1102-2008; Van den Broeke, Michiel R./F-7867-2011; A, Geruo/AAP-3565-2020; Konrad, Hannes/A-1813-2016; Agosta, Cecile/B-9625-2013; Nield, Grace/I-8366-2012; Harig, Christopher/B-4714-2009; payne, antony/A-8916-2008; Bjork, Anders Anker/B-1625-2013; Wouters, Bert/A-5301-2017; Sutterley, Tyler/Q-8325-2016; Mernild, Sebastian H./M-5516-2013; Sorensen, Louise Sandberg/E-5282-2014</t>
  </si>
  <si>
    <t>Seo, Ki-weon/0000-0001-5523-4996; Simonsen, Sebastian Bjerregaard/0000-0001-9569-1294; Ahlstrøm, Andreas Peter/0000-0001-8235-8070; Colgan, William/0000-0001-6334-1660; Rignot, Eric/0000-0002-3366-0481; van de Berg, Willem Jan/0000-0002-8232-2040; Blazquez, Alejandro/0000-0002-7719-7468; Mouginot, Jeremie/0000-0001-9155-5455; Langen, Peter L/0000-0003-2185-012X; Khan, Shfaqat Abbas/0000-0002-2689-8563; Felikson, Denis/0000-0002-3785-5112; Krinner, Gerhard/0000-0002-2959-5920; Hanna, Edward/0000-0002-8683-182X; Joughin, Ian/0000-0001-6229-679X; Van den Broeke, Michiel R./0000-0003-4662-7565; A, Geruo/0000-0001-5714-402X; Konrad, Hannes/0000-0002-5058-8637; Forsberg, Rene/0000-0002-7288-9545; Loomis, Bryant/0000-0002-9370-9160; Melini, Daniele/0000-0002-5383-2375; Helm, Veit/0000-0001-7788-9328; Rietbroek, Roelof/0000-0001-5276-5943; Scheuchl, Bernd/0000-0001-5947-7709; McMillan, Malcolm/0000-0002-5113-0177; Schlegel, Nicole-Jeanne/0000-0001-8035-448X; Fettweis, Xavier/0000-0002-4140-3813; SCAMBOS, Ted A./0000-0003-4268-6322; Muir, Alan/0000-0001-7754-088X; Wuite, Jan/0000-0001-9333-1586; Agosta, Cecile/0000-0003-4091-1653; Nield, Grace/0000-0002-3897-7904; Otosaka, Ines Natsuki/0000-0001-9740-3735; Barletta, Valentina Roberta/0000-0003-4427-0830; Nilsson, Johan/0000-0002-1496-122X; Horvath, Alexander/0000-0002-9549-4845; Harig, Christopher/0000-0001-7944-0591; Pattle, Mark/0009-0009-9532-828X; Vishwakarma, Bramha Dutt/0000-0003-4787-8470; van der Wal, Wouter/0000-0001-8030-9080; payne, antony/0000-0001-8825-8425; Bjork, Anders Anker/0000-0002-4919-792X; Wouters, Bert/0000-0002-1086-2435; Sutterley, Tyler/0000-0002-6964-1194; Mernild, Sebastian H./0000-0003-0797-3975; Sorensen, Louise Sandberg/0000-0002-3771-4061</t>
  </si>
  <si>
    <t>ESA Climate Change Initiative; NASA Cryosphere Program; Royal Society Wolfson Research Merit Award; UK Natural Environment Research Council Centre for Polar Observation and Modelling; NERC [cpom30001] Funding Source: UKRI</t>
  </si>
  <si>
    <t>ESA Climate Change Initiative; NASA Cryosphere Program; Royal Society Wolfson Research Merit Award(Royal Society); UK Natural Environment Research Council Centre for Polar Observation and Modelling; NERC(UK Research &amp; Innovation (UKRI)Natural Environment Research Council (NERC))</t>
  </si>
  <si>
    <t>This work is an outcome of the IMBIE supported by the ESA Climate Change Initiative and the NASA Cryosphere Program. A.S. was additionally supported by a Royal Society Wolfson Research Merit Award and the UK Natural Environment Research Council Centre for Polar Observation and Modelling.</t>
  </si>
  <si>
    <t>NATURE RESEARCH</t>
  </si>
  <si>
    <t>10.1038/s41586-019-1855-2</t>
  </si>
  <si>
    <t>KU0CC</t>
  </si>
  <si>
    <t>Green Accepted, Green Submitted, Green Published</t>
  </si>
  <si>
    <t>WOS:000519378900023</t>
  </si>
  <si>
    <t>Banerjee, A; Fyfe, JC; Polvani, LM; Waugh, D; Chang, KL</t>
  </si>
  <si>
    <t>Banerjee, Antara; Fyfe, John C.; Polvani, Lorenzo M.; Waugh, Darryn; Chang, Kai-Lan</t>
  </si>
  <si>
    <t>A pause in Southern Hemisphere circulation trends due to the Montreal Protocol</t>
  </si>
  <si>
    <t>STRATOSPHERIC OZONE RECOVERY; ANNULAR MODE; IMPACT; ATTRIBUTION; DEPLETION; FORCINGS; AEROSOL; JET</t>
  </si>
  <si>
    <t>Observations show robust near-surface trends in Southern Hemisphere tropospheric circulation towards the end of the twentieth century, including a poleward shift in the mid-latitude jet(1,2), a positive trend in the Southern Annular Mode(1,3-6) and an expansion of the Hadley cell(7,8). It has been established that these trends were driven by ozone depletion in the Antarctic stratosphere due to emissions of ozone-depleting substances(9-11). Here we show that these widely reported circulation trends paused, or slightly reversed, around the year 2000. Using a pattern-based detection and attribution analysis of atmospheric zonal wind, we show that the pause in circulation trends is forced by human activities, and has not occurred owing only to internal or natural variability of the climate system. Furthermore, we demonstrate that stratospheric ozone recovery, resulting from the Montreal Protocol, is the key driver of the pause. Because pre-2000 circulation trends have affected precipitation(12-14), and potentially ocean circulation and salinity(15-17), we anticipate that a pause in these trends will have wider impacts on the Earth system. Signatures of the effects of the Montreal Protocol and the associated stratospheric ozone recovery might therefore manifest, or have already manifested, in other aspects of the Earth system.</t>
  </si>
  <si>
    <t>[Banerjee, Antara; Chang, Kai-Lan] Univ Colorado, Cooperat Inst Res Environm Sci, Boulder, CO 80309 USA; [Banerjee, Antara; Chang, Kai-Lan] NOAA, Chem Sci Div, Earth Syst Res Lab, Boulder, CO 80305 USA; [Fyfe, John C.] Environm &amp; Climate Change Canada, Canadian Ctr Climate Modelling &amp; Anal, Victoria, BC, Canada; [Polvani, Lorenzo M.] Columbia Univ, Dept Appl Phys &amp; Appl Math, New York, NY USA; [Waugh, Darryn] Johns Hopkins Univ, Dept Earth &amp; Planetary Sci, Baltimore, MD USA; [Waugh, Darryn] Univ New South Wales, Sch Math &amp; Stat, Sydney, NSW, Australia</t>
  </si>
  <si>
    <t>University of Colorado System; University of Colorado Boulder; National Oceanic Atmospheric Admin (NOAA) - USA; Environment &amp; Climate Change Canada; Canadian Centre for Climate Modelling &amp; Analysis (CCCma); Columbia University; Johns Hopkins University; University of New South Wales Sydney</t>
  </si>
  <si>
    <t>Banerjee, A (corresponding author), Univ Colorado, Cooperat Inst Res Environm Sci, Boulder, CO 80309 USA.;Banerjee, A (corresponding author), NOAA, Chem Sci Div, Earth Syst Res Lab, Boulder, CO 80305 USA.</t>
  </si>
  <si>
    <t>antara.banerjee@noaa.gov</t>
  </si>
  <si>
    <t>Chang, Kai-Lan/AAU-7009-2020; Polvani, Lorenzo M/E-5949-2011; Banerjee, Antara/ABC-1903-2020; Waugh, Darryn/K-3688-2016</t>
  </si>
  <si>
    <t>Chang, Kai-Lan/0000-0001-5812-3183; Waugh, Darryn/0000-0001-7692-2798</t>
  </si>
  <si>
    <t>10.1038/s41586-020-2120-4</t>
  </si>
  <si>
    <t>LF2ML</t>
  </si>
  <si>
    <t>WOS:000527257200002</t>
  </si>
  <si>
    <t>Qi, D; Chen, BS; Chen, LQ; Lin, HM; Gao, ZY; Sun, H; Zhang, YH; Sun, XW; Cai, WJ</t>
  </si>
  <si>
    <t>Qi, Di; Chen, Baoshan; Chen, Liqi; Lin, Hongmei; Gao, Zhongyong; Sun, Hen; Zhang, Yuanhui; Sun, Xiuwu; Cai, Weijun</t>
  </si>
  <si>
    <t>Coastal acidification induced by biogeochemical processes driven by sea-ice melt in the western Arctic ocean</t>
  </si>
  <si>
    <t>pH; Acidification; Sea-ice loss; Arctic ocean</t>
  </si>
  <si>
    <t>ANTHROPOGENIC CO2; CACO3 SATURATION; CANADA BASIN; IMPACT; CHUKCHI; WATER; UNDERSATURATION; SYSTEM; CARBON; ARAGONITE</t>
  </si>
  <si>
    <t>To better understand the extent of acidification in the Arctic Ocean, we present pH measurements collected along a shelf-slope-basin transect from the Chukchi Sea shelf to the Chukchi Abyssal Plain (CAP) in the western Arctic Ocean during the summer 2010 Chinese Arctic National Research Expedition (CHINARE) cruise. We observed low pH values in the Chukchi Sea shelf bottom waters (similar to 30 m-bottom) and CAP upper haloline layer (UHL) (100-200 m). In the shelf bottom waters, the pH values were 7.66-8.13, about 0.07-0.68 pH units lower than the surface values of 8.20-8.24. In the CAP subsurface waters, the pH values were 7.85-7.98, about 0.08-0.31 pH units lower than the surface values of 8.20-8.24. Biogeochemical model simulations suggest that remineralized CO2 driven by sea-ice loss is primarily responsible for the low pH values in the bottom waters of the Chukchi Sea (shelf) and the UHL waters of the CAP (basin). Recent sea-ice melt enhanced organic matter production in surface waters and subsequent supported the increased microbial respiration of organic matter in bottom waters. Moreover, low pH bottom waters were flushed into the UHL during winter to sustain the low pH characteristics in the subsurface basin layers. In addition, our simplified model suggests that the thermodynamic effect of pH is small. However, increasing temperature significantly increased aragonite saturation (Omega(arag)) which slowed down the speed of acidification.</t>
  </si>
  <si>
    <t>[Qi, Di; Chen, Liqi; Lin, Hongmei; Gao, Zhongyong; Sun, Hen; Zhang, Yuanhui; Sun, Xiuwu] MNR, Key Lab Global Change &amp; Marine Atmospher Chem GCM, TIO, Xiamen 361005, Peoples R China; [Chen, Baoshan; Cai, Weijun] Univ Delaware, Sch Marine Sci &amp; Policy, Newark, DE 19716 USA</t>
  </si>
  <si>
    <t>University of Delaware</t>
  </si>
  <si>
    <t>Qi, D; Chen, LQ (corresponding author), MNR, Key Lab Global Change &amp; Marine Atmospher Chem GCM, TIO, Xiamen 361005, Peoples R China.</t>
  </si>
  <si>
    <t>qidi@tio.org.cn; chenliqi@tio.org.cn</t>
  </si>
  <si>
    <t>Cai, Wei-Jun/0000-0003-3606-8325; Qi, Di/0000-0003-4762-266X</t>
  </si>
  <si>
    <t>Scientific Research Foundation of Third Institute of Oceanography, MNR [2017029, 2018005]; National Natural Science Foundation of China [41806222, 41630969, 41406221, 41476173]; Chinese Projects for Investigations and Assessments of the Arctic and Antarctic (CHINARE2017-2020); Bilateral Cooperation of Maritime Affairs [2200207]</t>
  </si>
  <si>
    <t>Scientific Research Foundation of Third Institute of Oceanography, MNR; National Natural Science Foundation of China(National Natural Science Foundation of China (NSFC)); Chinese Projects for Investigations and Assessments of the Arctic and Antarctic (CHINARE2017-2020); Bilateral Cooperation of Maritime Affairs</t>
  </si>
  <si>
    <t>This work was supported by Scientific Research Foundation of Third Institute of Oceanography, MNR, No. (2017029, 2018005), National Natural Science Foundation of China (41806222, 41630969, 41406221, 41476173), the Chinese Projects for Investigations and Assessments of the Arctic and Antarctic (CHINARE2017-2020), and Bilateral Cooperation of Maritime Affairs (2200207).</t>
  </si>
  <si>
    <t>10.1016/j.polar.2020.100504</t>
  </si>
  <si>
    <t>WOS:000519985400005</t>
  </si>
  <si>
    <t>Jiang, LY; Ma, Y; Chen, F; Liu, JB; Yao, WT; Qiu, YB; Zhang, SY</t>
  </si>
  <si>
    <t>Jiang, Liyuan; Ma, Yong; Chen, Fu; Liu, Jianbo; Yao, Wutao; Qiu, Yubao; Zhang, Shuyan</t>
  </si>
  <si>
    <t>Trends in the Stability of Antarctic Coastal Polynyas and the Role of Topographic Forcing Factors</t>
  </si>
  <si>
    <t>REMOTE SENSING</t>
  </si>
  <si>
    <t>Southern Ocean; coastal polynyas; SIC; seabed</t>
  </si>
  <si>
    <t>SEA-ICE PRODUCTION; WATER FORMATION; DYNAMICS; EXCHANGE; SURFACE; WINDS</t>
  </si>
  <si>
    <t>Polynyas are an important factor in the Antarctic and Arctic climate, and their changes are related to the ecosystems in the polar regions. The phenomenon of polynyas is influenced by the combination of inherent persistence and dynamic factors. The dynamics of polynyas are greatly affected by temporal dynamical factors, and it is difficult to objectively reflect the internal characteristics of their formation. Separating the two factors effectively is necessary in order to explore their essence. The Special Sensor Microwave/Imager (SSM/I) passive microwave sensor has been making observations of Antarctica for more than 20 years, but it is difficult for existing current sea ice concentration (SIC) products to objectively reflect how the inherent persistence factors affect the formation of polynyas. In this paper, we proposed a long-term multiple spatial smoothing method to remove the influence of dynamic factors and obtain stable annual SIC products. A halo located on the border of areas of low and high ice concentration around the Antarctic coast, which has a strong similarity with the local seabed in outline, was found using the spatially smoothed SIC products and seabed. The relationship of the polynya location to the wind and topography is a long-understood relationship; here, we quantify that where there is an abrupt slope and wind transitions, new polynyas are best generated. A combination of image expansion and threshold segmentation was used to extract the extent of sea ice and coastal polynyas. The adjusted record of changes in the extent of coastal polynyas and sea ice in the Southern Ocean indicate that there is a negative correlation between them.</t>
  </si>
  <si>
    <t>[Jiang, Liyuan; Ma, Yong; Chen, Fu; Liu, Jianbo; Yao, Wutao; Qiu, Yubao; Zhang, Shuyan] Chinese Acad Sci, Aerosp Informat Res Inst, Beijing 100094, Peoples R China; [Jiang, Liyuan; Zhang, Shuyan] Univ Chinese Acad Sci, Sch Elect Elect &amp; Commun Engn, Beijing 100049, Peoples R China</t>
  </si>
  <si>
    <t>Chinese Academy of Sciences; Aerospace Information Research Institute, CAS; Chinese Academy of Sciences; University of Chinese Academy of Sciences, CAS</t>
  </si>
  <si>
    <t>Chen, F (corresponding author), Chinese Acad Sci, Aerosp Informat Res Inst, Beijing 100094, Peoples R China.</t>
  </si>
  <si>
    <t>jiangly@radi.ac.cn; mayong@radi.ac.cn; chenfu@radi.ac.cn; liujb@radi.ac.cn; yaowt@radi.ac.cn; qiuyb@radi.ac.cn; zhangsy@radi.ac.cn</t>
  </si>
  <si>
    <t>Liu, Jack/AFJ-2828-2022; Qiu, Yubao/P-8103-2016</t>
  </si>
  <si>
    <t>Liu, Jack/0000-0001-9625-9073; Qiu, Yubao/0000-0003-1313-6313; Wutao, Yao/0000-0001-8693-8355</t>
  </si>
  <si>
    <t>Chinese Academy of Sciences [XDA19070201]; International Cooperation Program of the Chinese Academy of Sciences [131211KYSB20150035]; MOST [2017YFE0111700]</t>
  </si>
  <si>
    <t>Chinese Academy of Sciences(Chinese Academy of Sciences); International Cooperation Program of the Chinese Academy of Sciences; MOST</t>
  </si>
  <si>
    <t>This research was supported by the Strategic Priority Research Program of the Chinese Academy of Sciences, Grant No. XDA19070201; Chinese Academy of Sciences (XDA19070201), and the International Cooperation Program of the Chinese Academy of Sciences (131211KYSB20150035) and MOST funded Multi-Parameters Arctic Environmental Observations and Information Services (MARIS) (2017YFE0111700).</t>
  </si>
  <si>
    <t>2072-4292</t>
  </si>
  <si>
    <t>REMOTE SENS-BASEL</t>
  </si>
  <si>
    <t>Remote Sens.</t>
  </si>
  <si>
    <t>10.3390/rs12061043</t>
  </si>
  <si>
    <t>Environmental Sciences; Geosciences, Multidisciplinary; Remote Sensing; Imaging Science &amp; Photographic Technology</t>
  </si>
  <si>
    <t>Environmental Sciences &amp; Ecology; Geology; Remote Sensing; Imaging Science &amp; Photographic Technology</t>
  </si>
  <si>
    <t>LE6FX</t>
  </si>
  <si>
    <t>WOS:000526820600145</t>
  </si>
  <si>
    <t>LaRue, MA; Ainley, DG; Pennycook, J; Stamatiou, K; Salas, L; Nur, N; Stammerjohn, S; Barrington, L</t>
  </si>
  <si>
    <t>LaRue, Michelle A.; Ainley, David G.; Pennycook, Jean; Stamatiou, Kostas; Salas, Leo; Nur, Nadav; Stammerjohn, Sharon; Barrington, Luke</t>
  </si>
  <si>
    <t>Engaging 'the crowd' in remote sensing to learn about habitat affinity of the Weddell seal in Antarctica</t>
  </si>
  <si>
    <t>Antarctica; citizen science; Southern Ocean; very high-resolution satellite imagery; VHR; Weddell seal</t>
  </si>
  <si>
    <t>PACK-ICE SEALS; MCMURDO-SOUND; LEPTONYCHOTES-WEDDELLI; POPULATION-DYNAMICS; CITIZEN SCIENCE; ABUNDANCE; RATES</t>
  </si>
  <si>
    <t>Satellites Over Seals (SOS), a project initiated in late 2016, is a crowdsourced method to determine factors behind the presence/absence patterns and to ultimately determine the global population of the Weddell seal (Leptonychotes weddellii). An iconic species, the Weddell seal is proposed to be part of the Antarctic Research and Monitoring Program required in the newly designated Ross Sea Region Marine Protected Area. This species is easy to detect via satellite imagery, due to its large size (3-4 m long, 1 m wide) and its dark color contrasting with the Antarctic coastal fast ice, where it aggregates on during breeding season. Using very high-resolution satellite imagery (VHR; 0.31-0.60 m resolution) and the online platform Tomnod, we used VHR images from November 2010 and 2011 to cover the entirety of available fast ice around Antarctica. Before correcting for time of day or date, we searched for the presence/absence to identify a subset of where abundance estimates should be concentrated. More than 325 000 citizen scientists searched 790 VHR images, covering 268 611 km(2) of fast ice, to determine the locations of seals. Algorithms ranked searchers to the degree their votes corresponded with others, a measure of searcher relative quality that we used to filter out unreliable searchers. Seal presence was detected on only 0.55% of available maps (total n = 1 116 058) within fast ice, revealing a sparse, irregular distribution. The rate of false-negative detections was 1.7%, though false positives were high (67%), highlighting the importance of training for image interpretation to ensure differentiation between seals and landscape features (such as large rocks, ice chunks or depressions/holes in the ice). This approach not only allowed us to assess image resolution and quality, but also training, outreach and the effectiveness of this platform for introducing citizen scientists to the ecology of the Southern Ocean.</t>
  </si>
  <si>
    <t>[LaRue, Michelle A.] Univ Minnesota, Dept Earth Sci, 116 Church St SE, Minneapolis, MN 55455 USA; [LaRue, Michelle A.] Univ Canterbury, Dept Geog, Christchurch 4800, New Zealand; [Ainley, David G.; Pennycook, Jean] HT Harvey &amp; Associates Ecol Consultants, 983 Univ Ave,Bldg D, Los Gatos, CA 95032 USA; [Stamatiou, Kostas] DigitalGlobe Inc, Melissa Dozier &amp; Jon St, 1300 W 120th Ave, Westminster, CO 80234 USA; [Salas, Leo; Nur, Nadav] Point Blue Conservat Sci, 3820 Cypress Dr 11, Petaluma, CA 94954 USA; [Stammerjohn, Sharon] Univ Colorado, Inst Arctic &amp; Alpine Res, 4001 Discovery Dr, Boulder, CO 80303 USA; [Barrington, Luke] Google, 1600 Amphitheatre Pkwy, Mountain View, CA 94043 USA</t>
  </si>
  <si>
    <t>University of Minnesota System; University of Minnesota Twin Cities; University of Canterbury; University of Colorado System; University of Colorado Boulder; Google Incorporated</t>
  </si>
  <si>
    <t>LaRue, MA (corresponding author), Univ Minnesota, Dept Earth Sci, 116 Church St SE, Minneapolis, MN 55455 USA.</t>
  </si>
  <si>
    <t>larue010@umn.edu</t>
  </si>
  <si>
    <t>National Science Foundation [1543311, 1543230, 1542791]; Potterhead Running Club, via the Antarctic and Southern Ocean Coalition; University of Minnesota; DigitalGlobe Foundation; SciStarter</t>
  </si>
  <si>
    <t>National Science Foundation(National Science Foundation (NSF)); Potterhead Running Club, via the Antarctic and Southern Ocean Coalition; University of Minnesota(University of Minnesota System); DigitalGlobe Foundation; SciStarter</t>
  </si>
  <si>
    <t>We received funding for this project from the National Science Foundation (collaborative proposals #1543311, #1543230, #1542791), Potterhead Running Club, via the Antarctic and Southern Ocean Coalition; and the University of Minnesota, DigitalGlobe Foundation and SciStarter, further supported and promoted our work.</t>
  </si>
  <si>
    <t>10.1002/rse2.124</t>
  </si>
  <si>
    <t>KU5MV</t>
  </si>
  <si>
    <t>WOS:000519756100005</t>
  </si>
  <si>
    <t>Stevens, C; Leventer, A</t>
  </si>
  <si>
    <t>Stevens, Claudia; Leventer, Amy</t>
  </si>
  <si>
    <t>Antarctic Diatoms Though miniscule in size, diatoms are critical to life on Earth</t>
  </si>
  <si>
    <t>NATURAL HISTORY</t>
  </si>
  <si>
    <t>[Stevens, Claudia; Leventer, Amy] Colgate Univ, Hamilton, NY 13346 USA</t>
  </si>
  <si>
    <t>Colgate University</t>
  </si>
  <si>
    <t>NATURAL HISTORY MAGAZINE</t>
  </si>
  <si>
    <t>36 WEST 25TH STREET, FIFTH FLOOR, NEW YORK, NY 10010 USA</t>
  </si>
  <si>
    <t>0028-0712</t>
  </si>
  <si>
    <t>NAT HIST</t>
  </si>
  <si>
    <t>Nat. Hist.</t>
  </si>
  <si>
    <t>KM3JD</t>
  </si>
  <si>
    <t>WOS:000514016400011</t>
  </si>
  <si>
    <t>Phillips, RA; Waluda, CM</t>
  </si>
  <si>
    <t>Phillips, Richard A.; Waluda, Claire M.</t>
  </si>
  <si>
    <t>Albatrosses and petrels at South Georgia as sentinels of marine debris input from vessels in the southwest Atlantic Ocean</t>
  </si>
  <si>
    <t>ENVIRONMENT INTERNATIONAL</t>
  </si>
  <si>
    <t>Biomonitoring; Fisheries impacts; Marine debris; Plastics; Pollution; Seabirds</t>
  </si>
  <si>
    <t>INGESTED PLASTIC PARTICLES; WEDGE-TAILED SHEARWATERS; SEABIRDS; STRATEGIES; WATERS; ISLAND; ACCUMULATION; ENVIRONMENT; POLLUTION; TRENDS</t>
  </si>
  <si>
    <t>Increasing amounts of anthropogenic debris enter the ocean because of mismanagement in coastal communities and, despite a global ban on deliberate dumping, also from vessels, endangering wildlife. Assessing marine plastic pollution directly is challenging, and an alternative is to use seabirds as bioindicators. Our analyses of long time-series (26-years) revealed substantial variation in the amount, characteristics and origin of marine debris (mainly macroplastics and mesoplastics, and excluding fishing gear) associated with seabirds at South Georgia, and, for two species, long-term increases in incidence since 1994. Annual debris recovery rates (items per capita) were 14 x higher in wandering albatrosses Diomedea exulans, and 6 x higher in grey-headed albatrosses Thalassarche chrysostoma and giant petrels Macronectes spp., than in black-browed albatrosses T. melanophris, partly related to differences in egestion (regurgitation), which clears items from the proventriculus. Although some debris types were common in all species, wandering albatrosses and giant petrels ingested higher proportions that were food-related or generic wrapping, gloves, clear or mixed colour, and packaged in South America. This was highly likely to originate from vessels, including the large South American fishing fleets with which they overlap. Debris associated with the two smaller albatrosses was more commonly shorter, rigid (miscellaneous plastic and bottle/tube caps), and packaged in East Asia. Grey-headed albatrosses are exposed to large and increasing amounts of user plastics transported from coastal South America in the Subantarctic Current, or discarded from vessels and circulating in the South Atlantic Gyre, whereas the lower debris ingestion by black-browed albatrosses suggests that plastic pollution in Antarctic waters remains relatively low. Current plastic loads in our study species seem unlikely to have an impact at the population level, but the results nevertheless affirm that marine plastics are a major, trans-boundary animal-welfare and environmental issue that needs to be addressed by much-improved waste-management practices and compliance-monitoring both on land and on vessels in the south Atlantic.</t>
  </si>
  <si>
    <t>[Phillips, Richard A.; Waluda, Claire M.] British Antarctic Survey, Nat Environm Res Council, Madingley Rd, Cambridge CB3 0ET, England</t>
  </si>
  <si>
    <t>Phillips, RA (corresponding author), British Antarctic Survey, Nat Environm Res Council, Madingley Rd, Cambridge CB3 0ET, England.</t>
  </si>
  <si>
    <t>raphil@bas.ac.uk</t>
  </si>
  <si>
    <t>Natural Environment Research Council; NERC [bas0100035] Funding Source: UKRI</t>
  </si>
  <si>
    <t>We are very grateful to the many fieldworkers involved in the monitoring of marine debris at Bird Island. We would also like to thank the four reviewers for their constructive comments, which helped improve the manuscript. The methods used in this study were approved by the British Antarctic Survey Animal Welfare and Ethical Review Committee and carried out with permission of the Government of South Georgia and the South Sandwich Islands. This work represents a contribution to the Ecosystems component of the British Antarctic Survey Polar Science for Planet Earth Programme, funded by the Natural Environment Research Council.</t>
  </si>
  <si>
    <t>0160-4120</t>
  </si>
  <si>
    <t>1873-6750</t>
  </si>
  <si>
    <t>ENVIRON INT</t>
  </si>
  <si>
    <t>Environ. Int.</t>
  </si>
  <si>
    <t>10.1016/j.envint.2019.105443</t>
  </si>
  <si>
    <t>KK1UC</t>
  </si>
  <si>
    <t>Green Accepted, gold</t>
  </si>
  <si>
    <t>WOS:000512533700032</t>
  </si>
  <si>
    <t>Suaria, G; Perold, V; Lee, JR; Lebouard, F; Aliani, S; Ryan, PG</t>
  </si>
  <si>
    <t>Suaria, Giuseppe; Perold, Vonica; Lee, Jasmine R.; Lebouard, Fabrice; Aliani, Stefano; Ryan, Peter G.</t>
  </si>
  <si>
    <t>Floating macro- and microplastics around the Southern Ocean: Results from the Antarctic Circumnavigation Expedition</t>
  </si>
  <si>
    <t>Marine litter; Floating; Macro debris; Plastic pollution; Antarctica; Microplastics</t>
  </si>
  <si>
    <t>MAN-MADE DEBRIS; FUR SEALS; BIRD ISLAND; PLASTIC INGESTION; AFRICAN SECTOR; MARINE DEBRIS; ROSS SEA; ACCUMULATION; LITTER; ENTANGLEMENT</t>
  </si>
  <si>
    <t>While macroplastics have been washing up on Southern Ocean islands for decades and microplastics have been found in seabirds from the region since 1960, there are still relatively few quantitative data on the amount of plastic pollution, especially with regard to floating plastics, at high southern latitudes. We present a baseline estimate of the abundance of floating plastics around the Southern Ocean from a survey of floating macro-, mesoand microplastic pollution conducted during the Antarctic Circumnavigation Expedition in 2016/17. A total of 40 net trawls and 626 h of observation were performed during this survey. Of these, 33 net samples and 552 h of observation were made in polar waters south of the Subtropical Front (STF). Only 5 microplastics and 17 macrolitter items were observed south of the STF, confirming the Southern Ocean as the region with the lowest concentrations of plastic pollution globally. The mean concentrations of floating macrolitter (0.02-0.03 items.km(-2)) and small plastic fragments (188 +/- 589 particles.km(-2)) south of the STF were one order of magnitude lower than in adjacent temperate waters north of the STF, which suggests that the STF acts as a barrier to the southward transport of floating debris. Despite their much lower density, the mass of macroplastics was similar to that of floating microplastics in the Southern Ocean.</t>
  </si>
  <si>
    <t>[Suaria, Giuseppe; Aliani, Stefano] CNR, Inst Marine Sci, CNR ISMAR, I-19032 Lerici, La Spezia, Italy; [Suaria, Giuseppe] Inst Espanol Oceanografia, Centro Oceanografico Baleares, IEO COB, Mallorca, Spain; [Perold, Vonica; Ryan, Peter G.] Univ Cape Town, FitzPatrick Inst African Ornithol, DST NRF Ctr Excellence, ZA-7701 Rondebosch, South Africa; [Lee, Jasmine R.] Monash Univ, Sch Biol Sci, Clayton, Vic 3800, Australia; [Lebouard, Fabrice] Univ Rochelle, Ctr Etudes Biolog Chize, CNRS, F-79360 Villiers En Bois, France; [Lebouard, Fabrice] Reserve Nationale Terres Austr Francaises, TAAF, F-97420 Saint Pierre, Reunion, France</t>
  </si>
  <si>
    <t>Consiglio Nazionale delle Ricerche (CNR); Istituto di Scienze Marine (ISMAR-CNR); Spanish Institute of Oceanography; National Research Foundation - South Africa; University of Cape Town; Monash University; Centre National de la Recherche Scientifique (CNRS)</t>
  </si>
  <si>
    <t>Suaria, G (corresponding author), CNR, Inst Marine Sci, CNR ISMAR, I-19032 Lerici, La Spezia, Italy.</t>
  </si>
  <si>
    <t>giuseppe.suaria@sp.ismar.cnr.it</t>
  </si>
  <si>
    <t>Aliani, Stefano/B-5854-2012; Suaria, Giuseppe/O-4210-2014</t>
  </si>
  <si>
    <t>Aliani, Stefano/0000-0002-2555-4398; Suaria, Giuseppe/0000-0002-4290-349X; Lee, Jasmine/0000-0003-3847-1679</t>
  </si>
  <si>
    <t>Swiss Polar Institute - ACE Foundation; Ferring Pharmaceuticals</t>
  </si>
  <si>
    <t>Swiss Polar Institute - ACE Foundation; Ferring Pharmaceuticals(Ferring Pharmaceuticals)</t>
  </si>
  <si>
    <t>We are grateful to Dana Bergstrom, Kate Kiefer, Patti Virtue, John van den Hoff, the SPI staff and the crew and officers of R/V Akademik Tryoshnikov for their logistic help and support before and during fieldwork. We are also grateful to Prof. Martin Thiel and two anonymous referees for helpful comments and suggestions during review. ACE was a scientific expedition carried out under the auspices of the Swiss Polar Institute, supported by funding from the ACE Foundation and Ferring Pharmaceuticals. This paper is dedicated to the memory of Prof. David W.H. Walton, chief scientist of the ACE expedition.</t>
  </si>
  <si>
    <t>10.1016/j.envint.2020.105494</t>
  </si>
  <si>
    <t>WOS:000512533700072</t>
  </si>
  <si>
    <t>Waluda, CM; Staniland, IJ; Dunn, MJ; Thorpe, SE; Grilly, E; Whitelaw, M; Hughes, KA</t>
  </si>
  <si>
    <t>Waluda, Claire M.; Staniland, Iain J.; Dunn, Michael J.; Thorpe, Sally E.; Grilly, Emily; Whitelaw, Mari; Hughes, Kevin A.</t>
  </si>
  <si>
    <t>Thirty years of marine debris in the Southern Ocean: Annual surveys of two island shores in the Scotia Sea</t>
  </si>
  <si>
    <t>Marine debris; Plastic; Scotia Sea; Antarctic; South Georgia; South Orkney</t>
  </si>
  <si>
    <t>ANTARCTIC FUR SEALS; PLASTIC DEBRIS; ARCTOCEPHALUS-GAZELLA; BIRD ISLAND; ACCUMULATION; ATLANTIC; LITTER; MICROPLASTICS; ENTANGLEMENT; ENVIRONMENT</t>
  </si>
  <si>
    <t>We report on three decades of repeat surveys of beached marine debris at two locations in the Scotia Sea, in the Southwest Atlantic sector of the Southern Ocean. Between October 1989 and March 2019 10,112 items of beached debris were recovered from Main Bay, Bird Island, South Georgia in the northern Scotia Sea. The total mass of items (data from 1996 onwards) was 101 kg. Plastic was the most commonly recovered item (97.5% by number; 89% by mass) with the remainder made up of fabric, glass, metal, paper and rubber. Mean mass per item was 0.01 kg and the rate of accumulation was 100 items km(-1) month(-1). Analyses showed an increase in the number of debris items recovered (5.7 per year) but a decline in mean mass per item, suggesting a trend towards more, smaller items of debris at Bird Island. At Signy Island, South Orkney Islands, located in the southern Scotia Sea and within the Antarctic Treaty area, debris items were collected from three beaches, during the austral summer only, between 1991 and 2019. In total 1304 items with a mass of 268 kg were recovered. Plastic items contributed 84% by number and 80% by mass, with the remainder made up of metal (6% by number; 14% by mass), rubber (4% by number; 3% by mass), fabric, glass and paper (&lt; 1% by number; 3% by mass). Mean mass per item was 0.2 kg and rate of accumulation was 3 items km(-1) month(-1). Accumulation rates were an order of magnitude higher on the western (windward) side of the island (13-17 items km(-1) month(-1) ) than the eastern side (1.5 items km(-1) month(-1)). Analyses showed a slight decline in number and slight increase in mean mass of debris items over time at Signy Island. This study highlights the prevalence of anthropogenic marine debris (particularly plastic) in the Southern Ocean. It shows the importance of long-term monitoring efforts in attempting to catalogue marine debris and identify trends, and serves warning of the urgent need for a wider understanding of the extent of marine debris across the whole of the Southern Ocean.</t>
  </si>
  <si>
    <t>[Waluda, Claire M.; Staniland, Iain J.; Dunn, Michael J.; Thorpe, Sally E.; Whitelaw, Mari; Hughes, Kevin A.] British Antarctic Survey, Nat Environm Res Council, Madingley Rd, Cambridge CB3 0ET, England; [Grilly, Emily] Commiss Conservat Antarctic Marine Living Resourc, 181 Macquarie St, Hobart, Tas 7000, Australia</t>
  </si>
  <si>
    <t>Waluda, CM (corresponding author), British Antarctic Survey, Nat Environm Res Council, Madingley Rd, Cambridge CB3 0ET, England.</t>
  </si>
  <si>
    <t>clwa@bas.ac.uk</t>
  </si>
  <si>
    <t>Whitelaw, Mari/HMD-3682-2023; Hughes, Kevin/JVZ-0793-2024; Staniland, Iain/I-4725-2012</t>
  </si>
  <si>
    <t>Staniland, Iain/0000-0003-2736-9134; Thorpe, Sally/0000-0002-5193-6955</t>
  </si>
  <si>
    <t>Natural Environment Research Council; NERC [bas010011, bas0100035] Funding Source: UKRI</t>
  </si>
  <si>
    <t>We thank all those at Bird Island and Signy Island who have collected and recorded marine debris over the years. Thanks to Mark Whiffin for the photograph used in Fig. 3 and to three anonymous reviewers for their useful and constructive comments. This work is part of the British Antarctic Survey Ecosystems Long Term Monitoring and Survey programme, and is funded by the Natural Environment Research Council.</t>
  </si>
  <si>
    <t>10.1016/j.envint.2020.105460</t>
  </si>
  <si>
    <t>WOS:000512533700048</t>
  </si>
  <si>
    <t>Bogantes, VE; Whelan, NV; Webster, K; Mahon, AR; Halanych, KM</t>
  </si>
  <si>
    <t>Bogantes, Viktoria E.; Whelan, Nathan, V; Webster, Katelynn; Mahon, Andrew R.; Halanych, Kenneth M.</t>
  </si>
  <si>
    <t>Unrecognized diversity of a scale worm, Polyeunoa laevis (Annelida: Polynoidae), that feeds on soft coral</t>
  </si>
  <si>
    <t>ZOOLOGICA SCRIPTA</t>
  </si>
  <si>
    <t>COI; mtMuts; Southern Ocean; unrecognized diversity</t>
  </si>
  <si>
    <t>ANTARCTIC POLAR FRONT; ICE-SHEET; OCTOCORALLIA PRIMNOIDAE; MITOCHONDRIAL GENOMES; GENE ORDER; DEEP-SEA; OCEAN; BIODIVERSITY; ANTHOZOA; POLYCHAETA</t>
  </si>
  <si>
    <t>A goal of taxonomy is to employ a method of classification based on phylogeny that captures the morphological and genetic diversity of organismal lineages. However, morphological and genetic diversity may not always be concordant, leading to challenges in systematics. The scale worm Polyeunoa laevis has been hypothesized to represent a species complex based on morphology, although there is little knowledge of its genetic diversity. Commonly found in Antarctic waters and usually associated with gorgonian corals (especially Thouarella), this taxon is also reported from the south-west Atlantic, Magellanic and sub-Antarctic regions. We employ an integrative taxonomic approach to examine the traditional morphological characters used for scale worm identification in combination with COI mitochondrial gene data and whole mtDNA genomes. Moreover, we consider P. laevis's association with Thouarella by examining data from the mMutS gene, a soft-coral phylogenetic marker. Analyses for P. laevis recovered 3 clades, two in Antarctic waters and one from the Argentina-Indian Ocean. Interestingly, genetic and morphological results show differences between specimens from South Argentina and the Antarctic region, suggesting that open ocean barriers might have limited gene flow from these regions. Bayesian phylogenetic analyses for Thouarella resulted in at least 12 lineages, although some of the lineages consist of only a single individual. Our results show different evolutionary histories for both species, confirming that association between these scale worms and their hosts is not restrictive. For both taxonomic groups, biodiversity in the Southern Ocean appears to be underestimated.</t>
  </si>
  <si>
    <t>[Bogantes, Viktoria E.; Webster, Katelynn; Halanych, Kenneth M.] Auburn Univ, Dept Biol Sci, Molette Biol Lab Environm &amp; Climate Change Studie, 101 Rouse Life Sci Bldg, Auburn, AL 36849 USA; [Whelan, Nathan, V] US Fish &amp; Wildlife Serv, Southeast Conservat Genet Lab, Warm Springs Fish Technol Ctr, Auburn, AL USA; [Whelan, Nathan, V] Auburn Univ, Sch Fisheries Aquaculture &amp; Aquat Sci, Auburn, AL 36849 USA; [Mahon, Andrew R.] Cent Michigan Univ, Dept Biol, Mt Pleasant, MI 48859 USA</t>
  </si>
  <si>
    <t>Auburn University System; Auburn University; United States Department of the Interior; US Fish &amp; Wildlife Service; Auburn University System; Auburn University; Central Michigan University</t>
  </si>
  <si>
    <t>Bogantes, VE (corresponding author), Auburn Univ, Dept Biol Sci, Molette Biol Lab Environm &amp; Climate Change Studie, 101 Rouse Life Sci Bldg, Auburn, AL 36849 USA.</t>
  </si>
  <si>
    <t>veb0007@auburn.edu</t>
  </si>
  <si>
    <t>; Halanych, Kenneth/A-9480-2009</t>
  </si>
  <si>
    <t>Whelan, Nathan/0000-0002-3542-2102; bogantes, viktoria/0000-0002-9650-5913; Halanych, Kenneth/0000-0002-8658-9674; Mahon, Andrew/0000-0002-5074-8725</t>
  </si>
  <si>
    <t>0300-3256</t>
  </si>
  <si>
    <t>1463-6409</t>
  </si>
  <si>
    <t>ZOOL SCR</t>
  </si>
  <si>
    <t>Zool. Scr.</t>
  </si>
  <si>
    <t>10.1111/zsc.12400</t>
  </si>
  <si>
    <t>Evolutionary Biology; Zoology</t>
  </si>
  <si>
    <t>KK3HP</t>
  </si>
  <si>
    <t>WOS:000512637500009</t>
  </si>
  <si>
    <t>Ma, JC; Wang, Y; Stevens, GW; Mumford, KA</t>
  </si>
  <si>
    <t>Ma, Junchao; Wang, Yong; Stevens, Geoffrey W.; Mumford, Kathryn A.</t>
  </si>
  <si>
    <t>Hydrocarbon adsorption performance and regeneration stability of diphenyldichlorosilane coated zeolite and its application in permeable reactive barriers: Column studies</t>
  </si>
  <si>
    <t>MICROPOROUS AND MESOPOROUS MATERIALS</t>
  </si>
  <si>
    <t>DPDSCI coated zeolite; Toluene adsorption; Regeneration; Column tests; Axial dispersion; Transport modelling</t>
  </si>
  <si>
    <t>CASEY STATION; REMEDIATION; DISPERSION; REMOVAL; WATER</t>
  </si>
  <si>
    <t>The adsorption behaviour and long-term stability of diphenoldichlorosilane (DPDSCI) coated zeolite was investigated in a column study by studying the toluene adsorption performance and material regeneration at various temperatures. Computer modelling (CXTFIT and MATLAB) was adapted to explore the adsorption mechanism, including the calculation of the axial dispersion coefficient and maximum adsorption capacity. The results indicate that DPDSCI coated zeolite presented a higher adsorption capacity towards toluene than that found in previous batch experiments. Under high flow rates, temperature had little influence on the adsorption behaviour. Regeneration tests prove that this material may be cleaned and reused at least three times without significant reduction in adsorption effectiveness. Axial dispersion studies show that transitional flow occurs during the adsorption process and is dominated by diffusion processes. Good agreement between experimental data and model prediction are achieved with an R-2 value between 0.97 and 0.99 obtained for all tests. Overall, the column tests demonstrate DPDSCI coated zeolite may be suitable for the remediation of sites contaminated with hydrocarbons, even in cold regions and variable water flows.</t>
  </si>
  <si>
    <t>[Ma, Junchao; Wang, Yong; Stevens, Geoffrey W.; Mumford, Kathryn A.] Univ Melbourne, Dept Chem &amp; Biomol Engn, Particulate Fluids Proc Ctr, Melbourne, Vic 3010, Australia</t>
  </si>
  <si>
    <t>University of Melbourne; Melbourne Bioinformatics</t>
  </si>
  <si>
    <t>Mumford, KA (corresponding author), Univ Melbourne, Dept Chem &amp; Biomol Engn, Particulate Fluids Proc Ctr, Melbourne, Vic 3010, Australia.</t>
  </si>
  <si>
    <t>junchaom@student.unimelb.edu.au; yong.wang@unimelb.edu.au; gstevens@unimelb.edu.au; mumfordk@unimelb.edu.au</t>
  </si>
  <si>
    <t>Mumford, Kathryn/M-6566-2015</t>
  </si>
  <si>
    <t>Mumford, Kathryn/0000-0002-7056-5600; Stevens, Geoffrey/0000-0002-5788-4682</t>
  </si>
  <si>
    <t>Particulate Fluids Processing Centre, a Special Research Centre of the Australia Research Council; University of Melbourne; Chinese Scholarship Council</t>
  </si>
  <si>
    <t>Particulate Fluids Processing Centre, a Special Research Centre of the Australia Research Council; University of Melbourne(University of Melbourne); Chinese Scholarship Council(China Scholarship Council)</t>
  </si>
  <si>
    <t>The authors greatly acknowledge the support from Qiang Sun in the modelling of the column performance. This study was supported by the Particulate Fluids Processing Centre, a Special Research Centre of the Australia Research Council. The Australian zeolite was supplied by the Australian Antarctic Division. Thanks to University of Melbourne and Chinese Scholarship Council for scholarship support.</t>
  </si>
  <si>
    <t>1387-1811</t>
  </si>
  <si>
    <t>1873-3093</t>
  </si>
  <si>
    <t>MICROPOR MESOPOR MAT</t>
  </si>
  <si>
    <t>Microporous Mesoporous Mat.</t>
  </si>
  <si>
    <t>10.1016/j.micromeso.2019.109843</t>
  </si>
  <si>
    <t>Chemistry, Applied; Chemistry, Physical; Nanoscience &amp; Nanotechnology; Materials Science, Multidisciplinary</t>
  </si>
  <si>
    <t>Chemistry; Science &amp; Technology - Other Topics; Materials Science</t>
  </si>
  <si>
    <t>KG6VN</t>
  </si>
  <si>
    <t>WOS:000510087900012</t>
  </si>
  <si>
    <t>Goin, FJ; Vieytes, EC; Gelfo, JN; Chornogubsky, L; Zimicz, AN; Reguero, MA</t>
  </si>
  <si>
    <t>Goin, Francisco J.; Vieytes, Emma C.; Gelfo, Javier N.; Chornogubsky, Laura; Zimicz, Ana N.; Reguero, Marcelo A.</t>
  </si>
  <si>
    <t>New Metatherian Mammal from the Early Eocene of Antarctica</t>
  </si>
  <si>
    <t>JOURNAL OF MAMMALIAN EVOLUTION</t>
  </si>
  <si>
    <t>Antarctic Peninsula; La Meseta Formation; Late Ypresian; Polydolopimorphia; Enamel microstructure; Paleobiology</t>
  </si>
  <si>
    <t>LA-MESETA FORMATION; SEYMOUR ISLAND; ENAMEL MICROSTRUCTURE; MIDDLE EOCENE; PALEOGENE; REASSESSMENT; MARSUPIALIA; PHYLOGENY; VIZCAINO; REGUERO</t>
  </si>
  <si>
    <t>A new Paleogene metatherian from locality IAA 1/90, Marambio (Seymour) Island in the Antarctic Peninsula is described. Pujatodon ektopos, gen. et sp. nov., is recognized on the basis of a tiny lower left molar recovered from early Eocene (late Ypresian) levels of the Cucullaea IAllomember, La Meseta Formation. The tooth is characterized by its small size, bunoid aspect, short trigonid with closely set paraconid and metaconid, wide and long talonid, the development of an incipient cingulid at the labial base of the crown between the trigonid and talonid, and an expanded posterior cingulid. Body mass estimations for the new taxon range from 83.13 to 153.15 g. Its enamel microstructure shows the earliest evidence among metatherians of aligned prisms, as well as of interprismatic sheets of matrix. The analysis of other parameters, like body mass, molar morphometric index, and wear facets, suggests that the molars of Pujatodon were primarily adapted to the processing of fruits, nuts, seeds, and/or hard insects. Several features suggest the allocation of this specimen among basal polydolopimorphians (Prepidolopidae or, more probably, Glasbiidae). The discovery of the specimen MLP 14-I-10-20 could offer new insights on the origins and early diversification of Australidelphian marsupials in southern (and northern?) continents. It also adds significant information on the diversity of Antarctic Paleogene mammals, their evolution, habits, and historical biogeography.</t>
  </si>
  <si>
    <t>[Goin, Francisco J.; Vieytes, Emma C.; Gelfo, Javier N.; Chornogubsky, Laura; Zimicz, Ana N.; Reguero, Marcelo A.] Consejo Nacl Invest Cient &amp; Tecn, Buenos Aires, DF, Argentina; [Goin, Francisco J.; Gelfo, Javier N.; Reguero, Marcelo A.] Univ Nacl La Plata, Div Paleontol Vertebrados, Fac Ciencias Nat &amp; Museo, Paseo Bosque S-N,B1900FWA La Plata, La Plata, Argentina; [Goin, Francisco J.] Univ Nacl La Plata, Fac Ciencias Nat &amp; Museo, MORPHOS Lab, La Plata, Argentina; [Vieytes, Emma C.] Univ Nacl La Plata, Fac Ciencias Nat &amp; Museo, Div Zool Vcrtebrados, Paseo Bosque S-N,B1900FWA La Plata, La Plata, Argentina; [Chornogubsky, Laura] Museo Argentino Ciencias Nat Bernardino Rivadavia, Secc Paleontol Vertebrados, Av Angel Gallardo 470, Buenos Aires, DF, Argentina; [Zimicz, Ana N.] UNSa, CCT Salta, CONICET, Inst Bio &amp; Geociencias,NOA,IBIGEO, 9 Julio 14, RA-4405 Rosario De Lerma, Argentina; [Reguero, Marcelo A.] Inst Antartico Argentino, 25 Mayo 1151, RA-1650 Buenos Aires, DF, Argentina</t>
  </si>
  <si>
    <t>Consejo Nacional de Investigaciones Cientificas y Tecnicas (CONICET); National University of La Plata; Museo La Plata; National University of La Plata; Museo La Plata; National University of La Plata; Museo La Plata; Museo Argentino de Ciencias Naturales Bernardino Rivadavia (MACN); Consejo Nacional de Investigaciones Cientificas y Tecnicas (CONICET); Instituto Antartico Argentino</t>
  </si>
  <si>
    <t>Goin, FJ (corresponding author), Consejo Nacl Invest Cient &amp; Tecn, Buenos Aires, DF, Argentina.;Goin, FJ (corresponding author), Univ Nacl La Plata, Div Paleontol Vertebrados, Fac Ciencias Nat &amp; Museo, Paseo Bosque S-N,B1900FWA La Plata, La Plata, Argentina.;Goin, FJ (corresponding author), Univ Nacl La Plata, Fac Ciencias Nat &amp; Museo, MORPHOS Lab, La Plata, Argentina.</t>
  </si>
  <si>
    <t>fgoin@fcnym.unlp.edu.ar; cvieytes@fcnym.unlp.edu.ar; jgelfo@fcnym.unlp.edu.ar; lchorno@macn.gov.ar; natalia.zimicz@gmail.com; regui@fcnym.unlp.edu.ar</t>
  </si>
  <si>
    <t>Zimicz, Ana Natalia/AFV-6657-2022; Gelfo, Javier N./KFQ-7820-2024; Gelfo, Javier N./AAW-1905-2021; Reguero, Marcelo A./JHS-4893-2023</t>
  </si>
  <si>
    <t>Zimicz, Ana Natalia/0000-0003-4540-3615; Gelfo, Javier N./0000-0002-9989-5902; Goin, Francisco J./0000-0002-4285-5651; Chornogubsky, Laura/0000-0003-2420-8271</t>
  </si>
  <si>
    <t>CONICET (Argentina); Agencia Nacional de Promocion Cientifica y Tecnologica (Argentina); Universidad Nacional de La Plata (UNLP, Argentina); Instituto Antartico Argentino (IAA); Alexander von Humboldt Foundation (AvH, Germany); Universidad Nacional de La Plata [N812-UNLP]; Agencia Nacional de Promocion Cientifica y Tecnologica [PICT 201-0508]; Oceanwide Expeditions, Vlissingen (NL)</t>
  </si>
  <si>
    <t>CONICET (Argentina)(Consejo Nacional de Investigaciones Cientificas y Tecnicas (CONICET)); Agencia Nacional de Promocion Cientifica y Tecnologica (Argentina)(ANPCyT); Universidad Nacional de La Plata (UNLP, Argentina)(National University of La Plata); Instituto Antartico Argentino (IAA); Alexander von Humboldt Foundation (AvH, Germany)(Alexander von Humboldt Foundation); Universidad Nacional de La Plata(National University of La Plata); Agencia Nacional de Promocion Cientifica y Tecnologica(ANPCyTSpanish Government); Oceanwide Expeditions, Vlissingen (NL)</t>
  </si>
  <si>
    <t>Special thanks to staff of the Instituto Antartico Argentino (IAA), Fuerza Aerea Argentina (FAA), and Direccion Nacional del Antartico (DNA) for their logistic support during the field season, particularly to Alejandro Chuchu Crivero. To Carolina Acosta Hospitaleche, Guillermo Lopez, and Sergio Santillana, who were part of the summer field team. To Agustin Perez Moreno (who discovered the specimen MLP 14-I-10-20) and Facundo Irazoqui for their help in the sorting of sediment concentrates. To Patricia Sarmiento for her help with the Scanning Electron Microscope (MEB, MLP). Alfredo Carlini, Monica Tassara, Estela Martin, and Mariana Adami helped with some of the photos of the type specimen. Marcela Tomeo designed most of the figures that illustrate this work. Cecilia Deschamps helped with the English version. We also thank two anonymous reviewers and the Editor of JME for comments on the manuscript. CONICET (Argentina), Agencia Nacional de Promocion Cientifica y Tecnologica (Argentina), Universidad Nacional de La Plata (UNLP, Argentina), Instituto Antartico Argentino (IAA), the Alexander von Humboldt Foundation (AvH, Germany) to F. J. G., Universidad Nacional de La Plata (N812-UNLP), and Agencia Nacional de Promocion Cientifica y Tecnologica, PICT 201-0508 to A. N. Z and L. C. J. N. G. is particularly grateful to Oceanwide Expeditions, Vlissingen (NL) for financial support.</t>
  </si>
  <si>
    <t>1064-7554</t>
  </si>
  <si>
    <t>1573-7055</t>
  </si>
  <si>
    <t>J MAMM EVOL</t>
  </si>
  <si>
    <t>J. Mamm. Evol.</t>
  </si>
  <si>
    <t>10.1007/s10914-018-9449-6</t>
  </si>
  <si>
    <t>KI8AA</t>
  </si>
  <si>
    <t>WOS:000511576200002</t>
  </si>
  <si>
    <t>Cournède, C; Gattacceca, J; Rochette, P; Shuster, DL</t>
  </si>
  <si>
    <t>Cournede, C.; Gattacceca, J.; Rochette, P.; Shuster, D. L.</t>
  </si>
  <si>
    <t>Paleomagnetism of Rumuruti chondrites suggests a partially differentiated parent body</t>
  </si>
  <si>
    <t>meteorite paleomagnetism; Rumuruti chondrites; dynamo magnetic field; partially differentiated body</t>
  </si>
  <si>
    <t>SOLAR NEBULA; PALEOINTENSITY DETERMINATIONS; DECAY CONSTANTS; TEMPERATURE; PYRRHOTITE; EVOLUTION; AGES; DEMAGNETIZATION; CLASSIFICATION; GEOCHRONOLOGY</t>
  </si>
  <si>
    <t>Different types of magnetic fields were at work in the early solar system: nebular fields generated within the protoplanetary nebula, solar fields, and dynamo fields generated within the solar system solid bodies. Paleomagnetic studies of extraterrestrial materials can help unravel both the history of these magnetic fields, and the evolution of solar system solid bodies. In this study we studied the paleomagnetism of two Rumuruti chondrites (PCA 91002 and LAP 03639). These chondrites could potentially bear the record of the different fields (solar, nebular, dynamo fields) present during the early solar system. The magnetic mineralogy consists of pseudo-single domain pyrrhotite in LAP 03639 and pyrrhotite plus magnetite in PCA 91002. Paleomagnetic analyses using thermal and alternating field demagnetization reveal a stable origin trending component of magnetization. Fields of 12 mu T or higher are required to account for the magnetization in PCA 91002, but the timing and exact mechanism of the magnetization are unconstrained. In LAP 03639, considering various chronological constraints on the parent body evolution and on the evolution of the different sources of magnetic field in the early solar system, an internally-generated (dynamo) field of similar to 5 mu T recorded during retrograde metamorphism is the most likely explanation to account for the measured magnetization. This result indicates the existence of an advecting liquid core within the Rumuruti chondrite parent body, and implies that, as proposed for CV and H chondrites, this chondritic parent body is partially differentiated. (C) 2019 Elsevier B.V. All rights reserved.</t>
  </si>
  <si>
    <t>[Cournede, C.] Univ Minnesota, Dept Earth Sci, Inst Rock Magnetism, 150 John T Tate Hall,116 Church St SE, Minneapolis, MN 55455 USA; [Cournede, C.; Gattacceca, J.; Rochette, P.] Aix Marseille Univ, CNRS, IRD, Coll France,INRAe,CEREGE, Aix En Provence, France; [Shuster, D. L.] Univ Calif Berkeley, Dept Earth &amp; Planetary Sci, 307 McCone Hall, Berkeley, CA 94720 USA; [Shuster, D. L.] Berkeley Geochronol Ctr, 2455 Ridge Rd, Berkeley, CA 94709 USA</t>
  </si>
  <si>
    <t>University of Minnesota System; University of Minnesota Twin Cities; INRAE; Institut de Recherche pour le Developpement (IRD); Aix-Marseille Universite; Centre National de la Recherche Scientifique (CNRS); Universite PSL; College de France; University of California System; University of California Berkeley; Berkeley Geochronolgy Center</t>
  </si>
  <si>
    <t>Cournède, C (corresponding author), Aix Marseille Univ, CNRS, IRD, Coll France,INRAe,CEREGE, Aix En Provence, France.</t>
  </si>
  <si>
    <t>ccourned@umn.edu</t>
  </si>
  <si>
    <t>Gattacceca, Jerome/AAG-5651-2019; Rochette, Pierre/O-4612-2019</t>
  </si>
  <si>
    <t>Gattacceca, Jerome/0000-0002-1639-7140; Rochette, Pierre/0000-0002-7362-0660</t>
  </si>
  <si>
    <t>Programme National de Planetologie (INSU/CNES); NSF; NASA; U.S. National Science Foundation, Division of Earth Science; Ann and Gordon Getty Foundation</t>
  </si>
  <si>
    <t>Programme National de Planetologie (INSU/CNES)(Centre National D'etudes Spatiales); NSF(National Science Foundation (NSF)); NASA(National Aeronautics &amp; Space Administration (NASA)); U.S. National Science Foundation, Division of Earth Science(National Science Foundation (NSF)); Ann and Gordon Getty Foundation</t>
  </si>
  <si>
    <t>This research was partly funded by the Programme National de Planetologie (INSU/CNES). Francois Demory is acknowledged for his help in the laboratory.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IRM which is supported by the Instruments and Facilities program of the U.S. National Science Foundation, Division of Earth Science. DLS acknowledges support of the Ann and Gordon Getty Foundation. Authors also acknowledge Roger Fu and an anonymous reviewer for their constructive comments and suggestions.</t>
  </si>
  <si>
    <t>10.1016/j.epsl.2019.116042</t>
  </si>
  <si>
    <t>WOS:000510946200005</t>
  </si>
  <si>
    <t>Szufa, KM; Mietelski, JW; Olech, MA; Kowalska, A; Brudecki, K</t>
  </si>
  <si>
    <t>Szufa, K. M.; Mietelski, J. W.; Olech, M. A.; Kowalska, A.; Brudecki, K.</t>
  </si>
  <si>
    <t>Anthropogenic radionuclides in Antarctic biota - dosimetrical considerations</t>
  </si>
  <si>
    <t>JOURNAL OF ENVIRONMENTAL RADIOACTIVITY</t>
  </si>
  <si>
    <t>Cesium; Strontium; Americium; Doses to biota; The Antarctic</t>
  </si>
  <si>
    <t>NUCLEAR-POWER-PLANT; BIOLOGICAL HALF-LIFE; MARINE BIOTA; RADIOACTIVE CESIUM; HUMAN BONES; SR-90; PLUTONIUM; AM-241; CS-137; TERRESTRIAL</t>
  </si>
  <si>
    <t>The article presents results of the research on artificial radionuclides (Cs-137, Sr-90, Am-241) in the Antarctic environment. Samples of 12 species from the marine environment: Pygoscelis adeliae, Pygoscelis papua, Macronectes giganteus, Pagodroma nivea, Catharacta antarctica, Leptonychotes weddellii, Mirounga leonina, Harpagifer antarcticus, Chaenocephalus aceratus, Nacella concinna, Himantothallus grandifolius, Iridaea cordata (bones, feathers, soft tissues, eggs' shells of birds, bones, skin, fur of mammals, fish, mollusks' soft tissues and shells, algae) and samples of 4 species from the terrestrial environment: Sanionia uncinata, Usnea antarctica, Usnea aurantiaco-atra, Deschampsia antarctica (mosses, lichens, grass) were investigated. Differences in the accumulation of Cs-137 between marine and terrestrial ecosystem were shown, which are mostly due to conservatism of mosses and lichens and active removal of cesium by animal body. Furthermore discrepancy between mosses and lichens in the radioceasium accumulation was statistically proven with the additional use of Neutron Activation Analysis. Moreover, the internal weighted dose rates assessment was prepared using the ERICA Tool. The dose rates were relatively low, not exceeding several dozen nGy/h. Nonetheless, one species - Pagodroma nivea, was significantly outstanding due to the highest weighted dose rate it is burdened with.</t>
  </si>
  <si>
    <t>[Szufa, K. M.] Univ Silesia, Inst Phys, 75 Pulku Piechoty 1, PL-41500 Chorzow, Poland; [Szufa, K. M.; Mietelski, J. W.; Brudecki, K.] Polish Acad Sci, Inst Nucl Phys, Radzilcowskiego152, PL-32342 Krakow, Poland; [Olech, M. A.] Jagiellonian Univ, Inst Bot, Kopernika 27, PL-31501 Krakow, Poland; [Olech, M. A.] Polish Acad Sci, Dept Antarctic Biol, Inst Biochem &amp; Biophys, Pawinskiego 5a, PL-02109 Warsaw, Poland; [Kowalska, A.] Wroclaw Univ Sci &amp; Technol, Fac Geoengn Min &amp; Geol, Wybrzeze S Wyspianskiego 27, PL-50370 Wroclaw, Poland</t>
  </si>
  <si>
    <t>University of Silesia in Katowice; Polish Academy of Sciences; Institute of Nuclear Physics - Polish Academy of Sciences; Jagiellonian University; Polish Academy of Sciences; Institute of Biochemistry &amp; Biophysics - Polish Academy of Sciences; Wroclaw University of Science &amp; Technology</t>
  </si>
  <si>
    <t>Szufa, KM (corresponding author), Univ Silesia, Inst Phys, 75 Pulku Piechoty 1, PL-41500 Chorzow, Poland.</t>
  </si>
  <si>
    <t>k.szufa@gmail.com</t>
  </si>
  <si>
    <t>Brudecki, Kamil/N-2940-2018; Mietelski, Jerzy Wojciech/AAO-5241-2021; Szufa, Katarzyna/AAI-4989-2021</t>
  </si>
  <si>
    <t>Mietelski, Jerzy Wojciech/0000-0002-9430-1386; Szufa, Katarzyna/0000-0002-6973-0920; Kowalska, Agata/0000-0002-4915-7135</t>
  </si>
  <si>
    <t>National Science Center, Poland [2015/17/N/ST10/03116]; Wroclaw University of Science and Technology [0402/0037/18]</t>
  </si>
  <si>
    <t>National Science Center, Poland(National Science Centre, Poland); Wroclaw University of Science and Technology</t>
  </si>
  <si>
    <t>This work was supported by National Science Center, Poland [research project no. 2015/17/N/ST10/03116]; and internal grant by Wroclaw University of Science and Technology [project no. 0402/0037/18].</t>
  </si>
  <si>
    <t>0265-931X</t>
  </si>
  <si>
    <t>1879-1700</t>
  </si>
  <si>
    <t>J ENVIRON RADIOACTIV</t>
  </si>
  <si>
    <t>J. Environ. Radioact.</t>
  </si>
  <si>
    <t>10.1016/j.jenvrad.2019.106140</t>
  </si>
  <si>
    <t>KH9EZ</t>
  </si>
  <si>
    <t>WOS:000510953200012</t>
  </si>
  <si>
    <t>Ekawaty, R; Lynham, J; Mous, P</t>
  </si>
  <si>
    <t>Ekawaty, Rani; Lynham, John; Mous, Peter</t>
  </si>
  <si>
    <t>Can demand-side management replicate a size limit in a small-scale fishery?</t>
  </si>
  <si>
    <t>Size limit; Field experiment; Eco-label; Small-scale fisheries; Price premium; Payment for ecosystem services</t>
  </si>
  <si>
    <t>MSC CERTIFICATION; ECOSYSTEM SERVICES; PAYMENTS</t>
  </si>
  <si>
    <t>We tested whether it is possible to replicate the effects of a size limit with a voluntary mechanism a price premium for larger fish. We randomly offered fishers in Indonesia a bonus for catching certain species of fish above certain sizes. We observe clear differences in catch as a result. Instead of inducing fishers to catch more fish of every size, the premium caused a shift in the size distribution of catch towards larger fish. The price premium worked well for a large-sized species but had no effect on the catch of a small-sized species. In particular, we find that the length of Aprion virescens increased by 15% and the average length of all fish caught increased by 8% when fishers were offered the price premium. It does not appear that fishers respond to the premium by high-grading their catch, which would only affect supply and not extraction. The changes appear to be driven by fishers going to different locations and fishing at different depths. Our experiment is the first ever proof-of-concept of Payment for Ecosystem Services in a developing country fishery. Our results also suggest that prices can alter length frequency distributions, confirming a possible source of bias in length-based stock assessment models.</t>
  </si>
  <si>
    <t>[Ekawaty, Rani] Udayana Univ, Aquat Resources Management, Bali, Indonesia; [Ekawaty, Rani] Univ Tasmania, Inst Marine &amp; Antarctic Studies, Hobart, Tas, Australia; [Lynham, John] Univ Hawaii, Dept Econ, 2424 Maile Way, Honolulu, HI 96822 USA; [Mous, Peter] Nature Conservancy, Samarinda, Indonesia</t>
  </si>
  <si>
    <t>Universitas Udayana; University of Tasmania; University of Hawaii System; The Nature Conservancy Indonesia</t>
  </si>
  <si>
    <t>Lynham, J (corresponding author), Univ Hawaii, Dept Econ, 2424 Maile Way, Honolulu, HI 96822 USA.</t>
  </si>
  <si>
    <t>lynham@hawaii.edu</t>
  </si>
  <si>
    <t>Lynham, John/0000-0002-5816-9648; Ekawaty, Rani/0000-0001-7375-2404</t>
  </si>
  <si>
    <t>David and Lucile Packard Foundation; Walton Family Foundation; USAID'Indonesia SNAPPER program [AID-497-A-16-00011]</t>
  </si>
  <si>
    <t>David and Lucile Packard Foundation(The David &amp; Lucile Packard Foundation); Walton Family Foundation; USAID'Indonesia SNAPPER program</t>
  </si>
  <si>
    <t>We acknowledge the David and Lucile Packard Foundation for supporting this experiment and the CODRS data collection program (run by The Nature Conservancy Indonesia Fisheries Conservation Program). The CODRS program has also received support from the Walton Family Foundation and the USAID'Indonesia SNAPPER program(Cooperative Agreement No. AID-497-A-16-00011). We wish to thank Petronella Mogi Padja (Mea), Wawan B. I Gede, Jens Koed Madsen, Michaela Clemence, Christopher Costello, and our colleagues at the Ocean Conservancy, especially Aarthi Ananthanarayanan. We also thank the group of participating fishers along with their families for their support of our research and their hospitality during our visits.</t>
  </si>
  <si>
    <t>10.1016/j.fishres.2019.105436</t>
  </si>
  <si>
    <t>KG0HR</t>
  </si>
  <si>
    <t>WOS:000509622800005</t>
  </si>
  <si>
    <t>Emmerson, JA; Hollyman, PR; Bloor, ISM; Jenkins, SR</t>
  </si>
  <si>
    <t>Emmerson, J. A.; Hollyman, P. R.; Bloor, I. S. M.; Jenkins, S. R.</t>
  </si>
  <si>
    <t>Effect of temperature on the growth of the commercially fished common whelk (Buccinum undatum, L.): A regional analysis within the Irish Sea</t>
  </si>
  <si>
    <t>Commercial fishery; Statolith; Age; Stock assessment; Mollusc; Gastropod; Conservation</t>
  </si>
  <si>
    <t>THERMAL PHYSIOLOGY; SPATIAL VARIATION; L GASTROPODA; SIZE; AGE; STATOLITH; EVOLUTION; MATURITY; STOCKS; SHELL</t>
  </si>
  <si>
    <t>In response to increased demand in Asian markets, the commercial fishery for the common whelk (Buccinum undatum, L) has expanded in north-eastern Europe. In the Irish Sea region (ICES Area 20 VHa), increased effort and landings have raised concerns about long-term stability of the fishery amongst stakeholders. Fisheries in Welsh waters and the Isle of Man territorial sea are now subject to an increased minimum landing size according to the best available scientific data. This study addresses key knowledge gaps by investigating the size-at-age relationship of the species across the latitudinal extent of the fisheries management region. Our findings show that growth parameters, modelled using growth rings observed in the statolith, vary between populations and show a broadly latitudinal pattern. Thermal-time (expressed as sea bottom temperature degree-days) showed a significant negative linear relationship with the asymptotic size reach by whelk populations (L-infinity), where whelk grew to a larger maximum size in cooler waters. Other parameters, including maximum growth rates and the age at which growth rate begins to decrease, showed clear trends with sea-bottom temperature but linear modelling failed to detect significant relationships, where warmer waters increase the rate of growth in the early life stages of whelk but cooler waters allow growth to continue until later in life. Whilst there are substantial requirements to further validate and refine the relationship between growth and sea-bottom temperature, extrapolation of these data to other regions in Northeast Europe may provide a valuable tool in approximating important life-history characteristics in stock assessments, such as L-infinity, age-at-L-50 and age-at-recruitment.</t>
  </si>
  <si>
    <t>[Emmerson, J. A.; Bloor, I. S. M.; Jenkins, S. R.] Bangor Univ, Sch Ocean Sci, Askew St, Menai Bridge LL59 5AB, Anglesey, Wales; [Hollyman, P. R.] British Antarctic Survey, Madingley Rd, Cambridge CB3 0ET, England</t>
  </si>
  <si>
    <t>Bangor University; UK Research &amp; Innovation (UKRI); Natural Environment Research Council (NERC); NERC British Antarctic Survey</t>
  </si>
  <si>
    <t>Emmerson, JA (corresponding author), Bangor Univ, Sch Ocean Sci, Askew St, Menai Bridge LL59 5AB, Anglesey, Wales.</t>
  </si>
  <si>
    <t>j.emmerson@bangor.ac.uk</t>
  </si>
  <si>
    <t>Hollyman, Philip/AAR-9679-2020</t>
  </si>
  <si>
    <t>Hollyman, Philip/0000-0003-2665-5075; Bloor, Isobel/0000-0002-0904-5446</t>
  </si>
  <si>
    <t>Welsh Government; Isle of Man Government's Department for Environment, Food &amp; Agriculture (DEFA); NERC [bas0100035] Funding Source: UKRI</t>
  </si>
  <si>
    <t>Welsh Government; Isle of Man Government's Department for Environment, Food &amp; Agriculture (DEFA); NERC(UK Research &amp; Innovation (UKRI)Natural Environment Research Council (NERC))</t>
  </si>
  <si>
    <t>This project would not have been possible without the help of the Welsh Fisherman's Association (WFA), the Manx Fish Producers Organisation (MFPO) and other members of the fishing industry that voluntarily provided biological samples. The project was funded in Wales by the Welsh Government and in the Isle of Man by the Isle of Man Government's Department for Environment, Food &amp; Agriculture (DEFA). We would also like to extend our gratitude to all those who responsible for directing and ovseeing projects associated with this research, including Michel Kaiser, Chris Richardson and Charlotte Colvin. We would also like to thank Claire Lambden for assistence in extracting statoliths from samples.</t>
  </si>
  <si>
    <t>10.1016/j.fishres.2019.105437</t>
  </si>
  <si>
    <t>WOS:000509622800011</t>
  </si>
  <si>
    <t>Shi, CJ; Wang, XF; Xiao, ZJ; Wang, RQ; Qiao, YP; Kan, GF</t>
  </si>
  <si>
    <t>Shi, Cuijuan; Wang, Xiaofei; Xiao, Zijie; Wang, Ruiqi; Qiao, Yongping; Kan, Guangfeng</t>
  </si>
  <si>
    <t>Cloning, characterization and expression analysis of glutathione S-transferase from the Antarctic yeast Rhodotorula mucilaginosa AN5</t>
  </si>
  <si>
    <t>PROTEIN EXPRESSION AND PURIFICATION</t>
  </si>
  <si>
    <t>Adversity adaptation; Enzymatic traits; Gene expression; Glutathione S-Transferase; Rhodotorula mucilaginosa</t>
  </si>
  <si>
    <t>MOLECULAR-CLONING; ESCHERICHIA-COLI; OXIDATIVE STRESS; GST; IDENTIFICATION; GENES; PURIFICATION; ISOENZYMES</t>
  </si>
  <si>
    <t>The gene for glutathione S-transferase (GST) in Antarctic sea-ice yeast Rhodotorula mucilaginosa AN5 was cloned and expressed in Escherichia coli and named RmGST. Sequence analysis showed that the RmGST gene contained a 843 bp open reading frame, which encoded 280 amino acid residues with a calculated molecular mass of 30.4 kDa and isoelectric point of 5.40. RmGST has the typical C- and N-terminal double domains of glutathione S-transferase. Recombinant RmGST (rRmGST) was expressed in E. coli to produce heterologous protein that had a high specific activity of 60.2 U/mg after purification. The apparent K-m values of rRmGST for glutathione and 1-chloro-2,4-dinitrobenzene were 0.35 mM and 0.40 mM, respectively. Optimum enzyme activity was measured at 35 degrees C and at pH 7.0 and complete inactivation was observed after incubation at 55 degrees C for 60 min rRmGST tolerated high salt concentrations (1.0 M NaCl) and was stable at pH 3.0. Additionally, the recombinant protein nearly kept whole activity in Hg2+ and Mn2+, and could tolerate Ca2+, Cu2+, Mg2+, Cd2+, EDTA, thiourea, urea, Tween-80, H2O2 and Triton X-100. Real-time quantitative PCR showed that relative expression of the GST gene was significantly increased under Cu2+ and low temperature stress. These results indicate that rRmGST is a typical low thermostable enzyme, while its other characteristics, heavy metal and low temperature tolerance, might be related to its Antarctic home environment.</t>
  </si>
  <si>
    <t>[Shi, Cuijuan; Wang, Xiaofei; Xiao, Zijie; Wang, Ruiqi; Kan, Guangfeng] Harbin Inst Technol Weihai, Sch Marine Sci &amp; Technol, Weihai 264209, Peoples R China; [Qiao, Yongping] Wendeng Osteopath Hosp, Dept Traumatol, Wendeng 264400, Peoples R China</t>
  </si>
  <si>
    <t>Harbin Institute of Technology</t>
  </si>
  <si>
    <t>Kan, GF (corresponding author), 2 Wenhuaxi Rd, Weihai 264209, Peoples R China.</t>
  </si>
  <si>
    <t>gfkan@hit.edu.cn</t>
  </si>
  <si>
    <t>Key Technologies R&amp;D Program of Shandong [2019GHY112047, 2016ZDJQ0206]; Science and Technology Project of Weihai and Natural Scientific Research Innovation Foundation in Harbin Institute of Technology [HIT.IBRSEM.2013037]; NSRIF [2016085]</t>
  </si>
  <si>
    <t>Key Technologies R&amp;D Program of Shandong; Science and Technology Project of Weihai and Natural Scientific Research Innovation Foundation in Harbin Institute of Technology; NSRIF</t>
  </si>
  <si>
    <t>This work was supported by Key Technologies R&amp;D Program of Shandong [2019GHY112047, 2016ZDJQ0206], Science and Technology Project of Weihai and Natural Scientific Research Innovation Foundation in Harbin Institute of Technology [HIT.IBRSEM.2013037, HIT. NSRIF. 2016085].</t>
  </si>
  <si>
    <t>ACADEMIC PRESS INC ELSEVIER SCIENCE</t>
  </si>
  <si>
    <t>SAN DIEGO</t>
  </si>
  <si>
    <t>525 B ST, STE 1900, SAN DIEGO, CA 92101-4495 USA</t>
  </si>
  <si>
    <t>1046-5928</t>
  </si>
  <si>
    <t>1096-0279</t>
  </si>
  <si>
    <t>PROTEIN EXPRES PURIF</t>
  </si>
  <si>
    <t>Protein Expr. Purif.</t>
  </si>
  <si>
    <t>10.1016/j.pep.2019.105518</t>
  </si>
  <si>
    <t>Biochemical Research Methods; Biochemistry &amp; Molecular Biology; Biotechnology &amp; Applied Microbiology</t>
  </si>
  <si>
    <t>Biochemistry &amp; Molecular Biology; Biotechnology &amp; Applied Microbiology</t>
  </si>
  <si>
    <t>KF7MR</t>
  </si>
  <si>
    <t>WOS:000509423800005</t>
  </si>
  <si>
    <t>Czechowski, P; Stevens, MI; Madden, C; Weinstein, P</t>
  </si>
  <si>
    <t>Czechowski, Paul; Stevens, Mark, I; Madden, Chris; Weinstein, Philip</t>
  </si>
  <si>
    <t>Steps towards a more efficient use of chironomids as bioindicators for freshwater bioassessment: Exploiting eDNA and other genetic tools</t>
  </si>
  <si>
    <t>ECOLOGICAL INDICATORS</t>
  </si>
  <si>
    <t>Biomonitoring; Extremophiles; Taxonomy; Physiology</t>
  </si>
  <si>
    <t>AQUATIC INVERTEBRATE ASSEMBLAGES; ENVIRONMENTAL DNA; DIPTERA-CHIRONOMIDAE; POTENTIAL BIOMARKER; MIDGES CHIRONOMIDAE; SALINITY TOLERANCE; SPECIES-DIVERSITY; RIPARIUS DIPTERA; INSECTA-DIPTERA; ANTARCTIC MIDGE</t>
  </si>
  <si>
    <t>Chironomids are a formidable indicator taxon, as they are globally ubiquitous, can tolerate a wide range of environmental conditions, and can occur in high numbers in anthropogenically impaired environments where other indicator taxa are not encountered. Biomonitoring is frequently performed through analyzing species composition, abundance and morphology. However, these traditional approaches may be problematic, since indicator taxon morphology is often cryptic, and inadequately assigned species complexes may lead to generalized ecological tolerances. We argue that the use of chironomids in freshwater biomonitoring could be much improved if physiological responses to a given pollutant were measured in conjunction with precisely determined species, aided by molecular approaches such as is already done for some well known mesophilic and extremophile species in certain regions of the world. We explore molecular biological approaches that may prove useful for this purpose.</t>
  </si>
  <si>
    <t>[Czechowski, Paul] Antarctic Biol Res Initiat, Bolivar, SA 5110, Australia; [Czechowski, Paul] Cornell Univ, Dept Ecol &amp; Evolutionary Biol, Ithaca, NY 14853 USA; [Czechowski, Paul] Univ Otago, Dept Anat, POB 56, Dunedin 9054, New Zealand; [Madden, Chris] Freshwater Macroinvertebrates, Lockleys, SA 5032, Australia; [Stevens, Mark, I] South Australian Museum, Adelaide, SA 5000, Australia; [Stevens, Mark, I] Univ South Australia, Sch Pharm &amp; Med Sci, Adelaide, SA 5000, Australia; [Weinstein, Philip] Univ Adelaide, Sch Biol Sci, Adelaide, SA 5005, Australia</t>
  </si>
  <si>
    <t>Cornell University; University of Otago; South Australian Museum; University of South Australia; University of Adelaide</t>
  </si>
  <si>
    <t>Czechowski, P (corresponding author), Univ Otago, Dept Anat, POB 56, Dunedin 9054, New Zealand.</t>
  </si>
  <si>
    <t>paul.czechowski@otago.ac.nz</t>
  </si>
  <si>
    <t>Czechowski, Paul/M-4749-2019; Weinstein, Phil/C-9805-2011</t>
  </si>
  <si>
    <t>Czechowski, Paul/0000-0001-7894-4042; Weinstein, Philip/0000-0001-9860-7166</t>
  </si>
  <si>
    <t>University of Adelaide; South Australian Museum</t>
  </si>
  <si>
    <t>We would like to thank multiple anonymous reviewers for suggestions and comments which improved the manuscript. We would also like to thank The University of Adelaide and The South Australian Museum for support of this project. The authors declare no conflicts of interest.</t>
  </si>
  <si>
    <t>1470-160X</t>
  </si>
  <si>
    <t>1872-7034</t>
  </si>
  <si>
    <t>ECOL INDIC</t>
  </si>
  <si>
    <t>Ecol. Indic.</t>
  </si>
  <si>
    <t>10.1016/j.ecolind.2019.105868</t>
  </si>
  <si>
    <t>Biodiversity Conservation; Environmental Sciences</t>
  </si>
  <si>
    <t>KC7VW</t>
  </si>
  <si>
    <t>WOS:000507381800032</t>
  </si>
  <si>
    <t>Magesh, NS; Botsa, SM; Dessai, S; Mestry, M; Leitao, TL; Tiwari, A</t>
  </si>
  <si>
    <t>Magesh, N. S.; Botsa, Sathish Mohan; Dessai, Soniya; Mestry, Mamta; Leitao, Tara Lima; Tiwari, Anoop</t>
  </si>
  <si>
    <t>Hydrogeochemistry of the deglaciated lacustrine systems in Antarctica: Potential impact of marine aerosols and rock-water interactions</t>
  </si>
  <si>
    <t>Lake water; Hydrogeochemistry; Rock-water interaction; Marine aerosols; Larsemann Hills; Antarctica</t>
  </si>
  <si>
    <t>DRONNING-MAUD-LAND; LARSEMANN HILLS; SNOW CHEMISTRY; ATMOSPHERIC DEPOSITION; ELEMENT CONTENT; RIVER-BASIN; LAKE WATER; MOLYBDENUM; BIOLOGY; COPPER</t>
  </si>
  <si>
    <t>The deglaciated lacustrine systems in Groynes, Larsemann Hills, East Antarctica was assessed for its solute dynamics and hydrogeochemical interactions. These pristine high latitude lacustrine systems serve as a natural laboratory to understand the interaction between hydrosphere, lithosphere and atmosphere thus providing valuable insights on the functioning of major biogeochemical cycles. A total of 14 fresh water lakes were identified and the water samples were analysed for its physico-chemical characteristics. The abundance of anions and cations in the lake water samples were in the following order of Cl- &gt; HC3-) &gt; SO42- // &gt; NO3- and Na+/ &gt; Mg+ &gt; Ca2+/ &gt; IC respectively. Moreover, the lakes exhibit slightly alkaline condition clue to dissolution of alkaline earth metals and atmospheric fallout. Na+ - Cl--HCO3- and Na+-Cl- are the commonly noticed water type in the study area and higher concentration of Na+ - Cl- were due to the effect of sea spray through marine aerosols. Reverse ion exchange is noticed in most of the lakes clue to saline influence. Three major mechanisms such as rock dominance, precipitation/snow and evaporation/sea spray controls the lake water geochemistry in the study area. Silicate weathering and evaporite dissolution also contribute ionic load to the lake water. Significant positive correlations (p &gt; .01) among major ions reveal sources from bedrock weathering along with marine aerosols. Trace element chemistry shows that rock-water interaction is the primary source for dissolved metals in the lake water followed by long range atmospheric transport in the form of aeolian dust. Mineral groups such as evaporites, sulphates, carbonates, metal oxides and hydroxides are responsible for the dissolution of metal complexes in the lake water. Furthermore, lakes falling within a micro basin have shown higher Na+-Cl- content which is due to the catchment effect where snow enriched with sea spray melts during the austral summer feeding these lakes. (C) 2019 Elsevier B.V. All rights reserved.</t>
  </si>
  <si>
    <t>[Magesh, N. S.; Botsa, Sathish Mohan; Dessai, Soniya; Mestry, Mamta; Leitao, Tara Lima; Tiwari, Anoop] ESSO Natl Ctr Polar &amp; Ocean Res, Vasco Da Gama 403804, Goa, India</t>
  </si>
  <si>
    <t>Tiwari, A (corresponding author), ESSO Natl Ctr Polar &amp; Ocean Res, Vasco Da Gama 403804, Goa, India.</t>
  </si>
  <si>
    <t>nsmagesh@ncpor.res.in; anooptiwari@ncpor.res.in</t>
  </si>
  <si>
    <t>botsa, sathish mohan/R-9434-2019; Botsa, Sathish Mohan/AGW-4764-2022; Magesh, N. S./C-3549-2013</t>
  </si>
  <si>
    <t>Botsa, Sathish Mohan/0000-0003-2852-9187; Magesh, N. S./0000-0002-9335-9156</t>
  </si>
  <si>
    <t>[J-46/2019-20]</t>
  </si>
  <si>
    <t>The authors would like to convey gratitude to Dr. M. Rajeevan, Secretary to Government of India, Dr. M. Ravichandran, Director, ESSO-NCPOR for approving the project and to visit Antarctica. We acknowledge Dr. Manish Tiwari, Dr. Waliur Rahaman and Mr. Vikash Kumar, Scientists at ESSO-NCPOR for their timely help in trace element analysis. The authors would like to thank Professor K. Balakrishna, Manipal University for collecting the lake water samples under approved project EIA of Anthropogenic activities of Indian Antarctic Stations - a local and global perspective. We also thank three anonymous reviewers for their constructive comments and suggestions that helped to improve the manuscript. This article is ESSO-National Centre for Polar and Ocean Research's contribution (No. J-46/2019-20).</t>
  </si>
  <si>
    <t>10.1016/j.scitotenv.2019.135822</t>
  </si>
  <si>
    <t>KB3CF</t>
  </si>
  <si>
    <t>WOS:000506376300069</t>
  </si>
  <si>
    <t>Chen, G; Zhang, PF; Lu, J</t>
  </si>
  <si>
    <t>Chen, Gang; Zhang, Pengfei; Lu, Jian</t>
  </si>
  <si>
    <t>Sensitivity of the Latitude of the Westerly Jet Stream to Climate Forcing</t>
  </si>
  <si>
    <t>ATMOSPHERIC CIRCULATION RESPONSE; BAROCLINIC EDDY FEEDBACKS; STRATOSPHERIC OZONE; SURFACE WESTERLIES; VARIABILITY; PERSISTENCE</t>
  </si>
  <si>
    <t>The latitude of the westerly jet stream is influenced by a variety of climate forcings, but their effects on the jet latitude often manifest as a tug of war between tropical forcing (e.g., tropical upper-tropospheric warming) and polar forcing (e.g., Antarctic stratospheric cooling or Arctic amplification). Here we present a unified forcing-feedback framework relating different climate forcings to their forced jet changes, in which the interactions between the westerly jet and synoptic eddies are synthesized by a zonal advection feedback, analogous to the feedback framework for assessing climate sensitivity. This framework is supported by a prototype feedback analysis in the atmospheric dynamical core of a climate model with diverse thermal and mechanical forcings. Our analysis indicates that the latitude of a westerly jet is most sensitive to the climate change-induced jet speed changes near the tropopause. The equatorward jet shift also displays a larger deviation from linearity than the poleward counterpart. Plain Language Summary The westerly jet stream is perceived as the bellwether of midlatitude storminess, surface temperature extremes, and precipitation. The effects of different climate forcings, such as greenhouse gas warming and Antarctic ozone hole, on the westerly jet often result in large cancelations. Here we show the competing effects can be quantified by a unified forcing-feedback framework. Our analysis demonstrates the critical role in jet shift of the zonal wind changes near the tropopause, which are associated with changes in the equator-to-pole temperature gradient under climate change. We also found that the equatorward jet shift is larger than the linear feedback prediction, but this nonlinear effect is small for a poleward jet shift.</t>
  </si>
  <si>
    <t>[Chen, Gang; Zhang, Pengfei] Univ Calif Los Angeles, Dept Atmospher &amp; Ocean Sci, Los Angeles, CA 90095 USA; [Lu, Jian] Pacific Northwest Natl Lab, Atmospher Sci &amp; Global Change Div, Richland, WA 99352 USA</t>
  </si>
  <si>
    <t>University of California System; University of California Los Angeles; United States Department of Energy (DOE); Pacific Northwest National Laboratory</t>
  </si>
  <si>
    <t>Chen, G (corresponding author), Univ Calif Los Angeles, Dept Atmospher &amp; Ocean Sci, Los Angeles, CA 90095 USA.</t>
  </si>
  <si>
    <t>gchenpu@ucla.edu</t>
  </si>
  <si>
    <t>Zhang, Pengfei/HOC-1944-2023; Chen, Gang/CAA-8593-2022</t>
  </si>
  <si>
    <t>Zhang, Pengfei/0000-0003-3562-9717; Chen, Gang/0000-0003-4934-1909</t>
  </si>
  <si>
    <t>NSF; National Science Foundation [AGS-1742178, AGS-1832842]; U.S. Department of Energy Office of Science Biological and Environmental Research as part of the Regional and Global Modeling and Analysis program</t>
  </si>
  <si>
    <t>NSF(National Science Foundation (NSF)); National Science Foundation(National Science Foundation (NSF)); U.S. Department of Energy Office of Science Biological and Environmental Research as part of the Regional and Global Modeling and Analysis program(United States Department of Energy (DOE))</t>
  </si>
  <si>
    <t>We thank Chengji Liu for his assistance in setting up the overriding model. We would like to acknowledge high-performance computing support from Cheyenne (https://doi.org/10.5065/D6RX99HX) provided by NCAR's Computational and Information Systems Laboratory, sponsored by the NSF. We acknowledge theWorld Climate Research Programme's Working Group on Coupled Modelling, which is responsible for CMIP, and we thank the climate modeling groups (listed in Appendix A)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GFDL atmospheric dynamical core is available online (at https://www.gfdl.noaa.gov/idealized-spectral-models-quickstart/).Postprocessed data used in this study are available online (at https://doi.org/10.6084/m9.figshare.11752779.v1).G.C.and P. Z. are supported by National Science Foundation grants AGS-1742178 and AGS-1832842. J. L. is supported by the U.S. Department of Energy Office of Science Biological and Environmental Research as part of the Regional and Global Modeling and Analysis program.</t>
  </si>
  <si>
    <t>FEB 28</t>
  </si>
  <si>
    <t>e2019GL086563</t>
  </si>
  <si>
    <t>10.1029/2019GL086563</t>
  </si>
  <si>
    <t>LH9QY</t>
  </si>
  <si>
    <t>WOS:000529120100055</t>
  </si>
  <si>
    <t>Gordon, AL; Huber, BA; Abrahamsen, EP</t>
  </si>
  <si>
    <t>Gordon, Arnold L.; Huber, Bruce A.; Abrahamsen, E. Povl</t>
  </si>
  <si>
    <t>Interannual Variability of the Outflow of Weddell Sea Bottom Water</t>
  </si>
  <si>
    <t>SOUTHERN-OCEAN; DEEP; CIRCULATION; EXPORT; ATLANTIC; POLYNYA; RISE; GYRE</t>
  </si>
  <si>
    <t>The Weddell Sea Bottom Water (WSBW) export from 1999 to 2019 displays distinct seasonal and interannual variability. From 2014 into 2017 a marked salinity decrease was recorded, with the lowest salinity, 34.615, attained in early 2016. The reduced salinity is derived from the V-shaped trough formed by a double front along the shelf break of the Weddell Gyre's western boundary, which is filled with a blend of surface water and modified Weddell Deep Water. We estimate that when the V-shaped apex attains a depth of greater than similar to 700 m, the thermobaric effect promotes its descent into the WSBW. We propose that this occurred during anomalously strong cyclonic wind stress curl over the Weddell Gyre from 2014 into 2017, which increased the intensity of the gyre and its western boundary current, deepening the V-shape trough. The WSBW salinity increased to its prior to 2014 values as the wind stress relaxed in 2018.</t>
  </si>
  <si>
    <t>[Gordon, Arnold L.; Huber, Bruce A.] Columbia Univ, Lamont Doherty Earth Observ, Palisades, NY 10964 USA; [Abrahamsen, E. Povl] British Antarctic Survey, Nat Environm Res Council, Cambridge, England</t>
  </si>
  <si>
    <t>Columbia University; UK Research &amp; Innovation (UKRI); Natural Environment Research Council (NERC); NERC British Antarctic Survey</t>
  </si>
  <si>
    <t>Gordon, AL (corresponding author), Columbia Univ, Lamont Doherty Earth Observ, Palisades, NY 10964 USA.</t>
  </si>
  <si>
    <t>agordon@ldeo.columbia.edu</t>
  </si>
  <si>
    <t>Abrahamsen, Povl/B-2140-2008; Gordon, Arnold L./H-1049-2011</t>
  </si>
  <si>
    <t>Abrahamsen, Povl/0000-0001-5924-5350; Huber, Bruce/0000-0001-6413-1614; Gordon, Arnold L./0000-0001-6480-6095</t>
  </si>
  <si>
    <t>NOAA's Climate Program Office's Ocean Observing and Monitoring Division [100007298]; Natural Environment Research Council [NE/N018095/1]; NERC [NE/N018095/1] Funding Source: UKRI</t>
  </si>
  <si>
    <t>NOAA's Climate Program Office's Ocean Observing and Monitoring Division; Natural Environment Research Council(UK Research &amp; Innovation (UKRI)Natural Environment Research Council (NERC)); NERC(UK Research &amp; Innovation (UKRI)Natural Environment Research Council (NERC))</t>
  </si>
  <si>
    <t>This work was supported by NOAA's Climate Program Office's Ocean Observing and Monitoring Division (Fund Ref 100007298). Lamont-Doherty Earth Observatory contribution number 8378. All mooring data used in the paper and those CTD data not available elsewhere are available without restriction from the Columbia University Academic Commons (https://academiccommons.columbia.edu/) using the DOI indicated in the references (Huber &amp; Gordon, 1999). See supporting information Table S1 for complete information on individual CTD stations plotted in Figure 3a. EPA was supported by Natural Environment Research Council grant NE/N018095/1 (Ocean Regulation of Climate by Heat and Carbon Sequestration and Transports, ORCHESTRA). The multiple mooring deployments and recoveries that produced the data set presented here were made possible through the generous support of several research vessel operating groups. We gratefully acknowledge the operators, officers, crew, and support staff of the Laurence M. Gould and Nathaniel B Palmer (USAP), the Ary Rongel (Brazil, NAPOC), RRS Ernest Shackleton, and RRS James Clark Ross (British Antarctic Survey). We also acknowledge Keith Nicholls of the British Antarctic Survey for his role in nurturing the cooperative arrangement between BAS and LDEO that continues to provide opportunities to maintain the Weddell mooring array.</t>
  </si>
  <si>
    <t>e2020GL087014</t>
  </si>
  <si>
    <t>10.1029/2020GL087014</t>
  </si>
  <si>
    <t>hybrid, Green Published, Green Accepted</t>
  </si>
  <si>
    <t>WOS:000529120100090</t>
  </si>
  <si>
    <t>Leeson, AA; Forster, E; Rice, A; Gourmelen, N; van Wessem, JM</t>
  </si>
  <si>
    <t>Leeson, A. A.; Forster, E.; Rice, A.; Gourmelen, N.; van Wessem, J. M.</t>
  </si>
  <si>
    <t>Evolution of Supraglacial Lakes on the Larsen B Ice Shelf in the Decades Before it Collapsed</t>
  </si>
  <si>
    <t>DIGITAL ELEVATION MODEL; ANTARCTIC PENINSULA; BREAK-UP; SURFACE; CLIMATE; DISINTEGRATION; STABILITY; MELTWATER; DRAINAGE; RETREAT</t>
  </si>
  <si>
    <t>The Larsen B ice shelf collapsed in 2002 losing an area twice the size of Greater London to the sea (3,000 km(2)), in an event associated with widespread supraglacial lake drainage. Here we use optical and radar satellite imagery to investigate the evolution of the ice shelf's lakes in the decades preceding collapse. We find (1) that lakes spread southward in the preceding decades at a rate commensurate with meltwater saturation of the shelf surface; (2) no trend in lake size, suggesting an active supraglacial drainage network which evacuated excess water off the shelf; and (3) lakes mostly refreeze in winter but the few lakes that do drain are associated with ice breakup 2-4 years later. Given the relative scale of lake drainage and shelf breakup, however, it is not clear from our data whether lake drainage is more likely a cause, or an effect, of ice shelf collapse.</t>
  </si>
  <si>
    <t>[Leeson, A. A.] Univ Lancaster, Data Sci Inst, Lancaster, England; [Leeson, A. A.; Forster, E.] Univ Lancaster, Lancaster Environm Ctr, Lancaster, England; [Rice, A.] Univ Lancaster, Sch Math &amp; Stat, Lancaster, England; [Gourmelen, N.] Univ Edinburgh, Sch Geosci, Edinburgh, Midlothian, Scotland; [van Wessem, J. M.] Univ Utrecht, IMAU, Utrecht, Netherlands</t>
  </si>
  <si>
    <t>Lancaster University; Lancaster University; Lancaster University; University of Edinburgh; Utrecht University</t>
  </si>
  <si>
    <t>Leeson, AA (corresponding author), Univ Lancaster, Data Sci Inst, Lancaster, England.;Leeson, AA (corresponding author), Univ Lancaster, Lancaster Environm Ctr, Lancaster, England.</t>
  </si>
  <si>
    <t>a.leeson@lancaster.ac.uk</t>
  </si>
  <si>
    <t>Leeson, Amber/JFA-1001-2023</t>
  </si>
  <si>
    <t>Leeson, Amber/0000-0001-8720-9808; Foster, Elliott/0000-0001-8334-3153</t>
  </si>
  <si>
    <t>EPSRC [EP/R01860X/1] Funding Source: UKRI; NERC [NE/S011390/1] Funding Source: UKRI</t>
  </si>
  <si>
    <t>EPSRC(UK Research &amp; Innovation (UKRI)Engineering &amp; Physical Sciences Research Council (EPSRC)); NERC(UK Research &amp; Innovation (UKRI)Natural Environment Research Council (NERC))</t>
  </si>
  <si>
    <t>e2019GL085591</t>
  </si>
  <si>
    <t>10.1029/2019GL085591</t>
  </si>
  <si>
    <t>WOS:000529120100023</t>
  </si>
  <si>
    <t>Nevison, CD; Munro, DR; Lovenduski, NS; Keeling, RF; Manizza, M; Morgan, EJ; Rödenbeck, C</t>
  </si>
  <si>
    <t>Nevison, Cynthia D.; Munro, David R.; Lovenduski, Nicole S.; Keeling, Ralph F.; Manizza, Manfredi; Morgan, Eric J.; Roedenbeck, Christian</t>
  </si>
  <si>
    <t>Southern Annular Mode Influence on Wintertime Ventilation of the Southern Ocean Detected in Atmospheric O2 and CO2 Measurements</t>
  </si>
  <si>
    <t>CARBON-DIOXIDE; OXYGEN; VARIABILITY; CIRCULATION; SINKS</t>
  </si>
  <si>
    <t>The Southern Annular Mode (SAM) is the dominant mode of climate variability in the Southern Ocean, but only a few observational studies have linked variability in SAM to changes in ocean circulation. Atmospheric potential oxygen (APO) combines atmospheric O-2/N-2 and CO2 data to mask the influence of terrestrial exchanges, yielding a tracer that is sensitive mainly to ocean circulation and biogeochemistry. We show that observed wintertime anomalies of APO are significantly correlated to SAM in 25- to 30-year time series at three Southern Hemisphere sites, while CO2 anomalies are also weakly correlated. We find additional correlations between SAM and O-2 air-sea fluxes in austral winter inferred from both an atmospheric inversion of observed APO and a forced ocean biogeochemistry model simulation. The model results indicate that the correlation with SAM is mechanistically linked to stronger wind speeds and upwelling, which brings oxygen-depleted deep waters to the surface. Plain Language Summary The Southern Annular Mode (SAM) is characterized by variability in the strength of the westerly winds that encircle Antarctica. A more positive SAM index is associated with stronger westerly winds over the ocean at about 60 degrees S latitude. Previous studies based mostly on model simulations have suggested that a positive SAM index is also associated with enhanced upwelling of carbon-rich waters in the Southern Ocean, which influences the uptake and/or release of carbon dioxide to the atmosphere. The same deep waters that have high carbon also have low concentrations of dissolved oxygen, which can cause subtle variations in atmospheric oxygen levels measured at surface stations. We present an analysis of data sets from three Southern Hemisphere stations where air samples have been collected for 25-30 years. We find that during the Southern Hemisphere winter, anomalies in the atmospheric oxygen record are correlated to the SAM index; we find weaker correlations between anomalies in atmospheric carbon dioxide and the SAM index. These results are consistent with variability in air-sea oxygen fluxes from a model simulation. The model results indicate that the observed relationship between SAM and air-sea oxygen fluxes is due to both stronger wind speeds and increased upwelling of oxygen-depleted deep waters.</t>
  </si>
  <si>
    <t>[Nevison, Cynthia D.; Lovenduski, Nicole S.] Univ Colorado, Inst Arctic &amp; Alpine Res, Boulder, CO 80309 USA; [Munro, David R.] Univ Colorado, Cooperat Inst Res Environm Sci, Boulder, CO 80309 USA; [Munro, David R.] NOAA, Global Monitoring Div, Earth Syst Res Lab, Boulder, CO USA; [Lovenduski, Nicole S.] Univ Colorado, Dept Atmospher &amp; Ocean Sci, Boulder, CO 80309 USA; [Keeling, Ralph F.; Manizza, Manfredi; Morgan, Eric J.] Univ Calif La Jolla, Scripps Inst Oceanog, La Jolla, CA USA; [Roedenbeck, Christian] Max Planck Inst, Jena, Germany</t>
  </si>
  <si>
    <t>University of Colorado System; University of Colorado Boulder; University of Colorado System; University of Colorado Boulder; National Oceanic Atmospheric Admin (NOAA) - USA; University of Colorado System; University of Colorado Boulder; University of California System; University of California San Diego; Scripps Institution of Oceanography; Max Planck Society</t>
  </si>
  <si>
    <t>Nevison, CD (corresponding author), Univ Colorado, Inst Arctic &amp; Alpine Res, Boulder, CO 80309 USA.</t>
  </si>
  <si>
    <t>cynthia.nevison@colorado.edu</t>
  </si>
  <si>
    <t>Munro, David/ABA-2074-2020; Lovenduski, Nicole/V-4014-2019</t>
  </si>
  <si>
    <t>Lovenduski, Nicole/0000-0001-5893-1009; MUNRO, DAVID/0000-0002-1373-7402; NEVISON, CYNTHIA/0000-0002-7157-092X</t>
  </si>
  <si>
    <t>NASA Ocean Biology and Biogeochemistry Award [NNX16AT52G]; U.S. National Science Foundation; National Oceanographic and Atmospheric Administration; NOAA [NA15OAR4320071]</t>
  </si>
  <si>
    <t>NASA Ocean Biology and Biogeochemistry Award; U.S. National Science Foundation(National Science Foundation (NSF)); National Oceanographic and Atmospheric Administration(National Oceanic Atmospheric Admin (NOAA) - USA); NOAA(National Oceanic Atmospheric Admin (NOAA) - USA)</t>
  </si>
  <si>
    <t>C. D. N., D. R. M., and N. S. L. thank NASA Ocean Biology and Biogeochemistry Award NNX16AT52G. We thank Matt Long and Keith Lindsay of NCAR for the help in interpreting CESM forced run output. We also thank two anonymousreviewers for their helpful comments, which much improved the manuscript. The Decadal Prediction Large Ensemble CESM output analyzed in this paper represents monthly output from the forced ocean and sea ice simulation and is accessible at http://www.cesm.ucar.edu/projects/community-projects/DPLE/.The SIO APO and CO2 output is available at http://scrippso2.ucsd.edu and http://scrippsco2.ucsd.edu.We thank NSF for support for sample collection at Palmer Station and South Pole, and the AustralianBureau of Meteorology for sample collections at Cape Grim Observatory. Measurements of O2/N2 and CO2 from the Scripps O2 program have been supported by a series of grants from the U.S. National Science Foundation and the National Oceanographic and Atmospheric Administration and, most recently, from NOAA Grant NA15OAR4320071. Any opinions, findings, and conclusions or recommendations expressed in this material are those of the authors and do not necessarily reflect the views of NSF and NOAA. The Jena fAPO inversion products are available from http://www.bgc-jena.mpg.de/CarboScope/.The SAM anomalies are available from http://www.cpc.ncep.noaa.gov/and are listed under AAO (Antarctic Oscillation) rather than SAM.</t>
  </si>
  <si>
    <t>e2019GL085667</t>
  </si>
  <si>
    <t>10.1029/2019GL085667</t>
  </si>
  <si>
    <t>WOS:000529120100044</t>
  </si>
  <si>
    <t>Schwob, G; Cabrol, L; Poulin, E; Orlando, J</t>
  </si>
  <si>
    <t>Schwob, Guillaume; Cabrol, Lea; Poulin, Elie; Orlando, Julieta</t>
  </si>
  <si>
    <t>Characterization of the Gut Microbiota of the Antarctic Heart Urchin (Spatangoida) Abatus agassizii</t>
  </si>
  <si>
    <t>heart sea urchin; deposit-feeder; Abatus agassizii; gut microbiota; core-microbiota; keystone; West Antarctic Peninsula; Antarctica</t>
  </si>
  <si>
    <t>SEA-URCHINS; CALORIC CONTENT; SP NOV.; BACTERIAL; DIVERSITY; KERGUELEN; ECHINODERMATA; COMMUNITY; SEDIMENTS; DEGRADATION</t>
  </si>
  <si>
    <t>Abatus agassizii is an irregular sea urchin species that inhabits shallow waters of South Georgia and South Shetlands Islands. As a deposit-feeder, A. agassizii nutrition relies on the ingestion of the surrounding sediment in which it lives barely burrowed. Despite the low complexity of its feeding habit, it harbors a long and twice-looped digestive tract suggesting that it may host a complex bacterial community. Here, we characterized the gut microbiota of specimens from two A. agassizii populations at the south of the King George Island in the West Antarctic Peninsula. Using a metabarcoding approach targeting the 16S rRNA gene, we characterized the Abatus microbiota composition and putative functional capacity, evaluating its differentiation among the gut content and the gut tissue in comparison with the external sediment. Additionally, we aimed to define a core gut microbiota between A. agassizii populations to identify potential keystone bacterial taxa. Our results show that the diversity and the composition of the microbiota, at both genetic and predicted functional levels, were mostly driven by the sample type, and to a lesser extent by the population location. Specific bacterial taxa, belonging mostly to Planctomycetacia and Spirochaetia, were differently enriched in the gut content and the gut tissue, respectively. Predictive functional profiles revealed higher abundance of specific pathways, as the sulfur cycle in the gut content and the amino acid metabolism, in the gut tissue. Further, the definition of a core microbiota allowed to obtain evidence of specific localization of bacterial taxa and the identification of potential keystone taxa assigned to the Desulfobacula and Spirochaeta genera as potentially host selected. The ecological relevance of these keystone taxa in the host metabolism is discussed.</t>
  </si>
  <si>
    <t>[Schwob, Guillaume; Cabrol, Lea; Poulin, Elie] Univ Chile, Fac Ciencias, Inst Ecol &amp; Biodiversidad, Lab Ecol Mol, Santiago, Chile; [Schwob, Guillaume; Orlando, Julieta] Univ Chile, Fac Ciencias, Dept Ciencias Ecol, Lab Ecol Microbiana, Santiago, Chile; [Cabrol, Lea] Aix Marseille Univ, Univ Toulon, MIO, CNRS,IRD,UM 110, Marseille, France</t>
  </si>
  <si>
    <t>Universidad de Chile; Universidad de Chile; Aix-Marseille Universite; Centre National de la Recherche Scientifique (CNRS); Institut de Recherche pour le Developpement (IRD)</t>
  </si>
  <si>
    <t>Schwob, G (corresponding author), Univ Chile, Fac Ciencias, Inst Ecol &amp; Biodiversidad, Lab Ecol Mol, Santiago, Chile.;Schwob, G; Orlando, J (corresponding author), Univ Chile, Fac Ciencias, Dept Ciencias Ecol, Lab Ecol Microbiana, Santiago, Chile.</t>
  </si>
  <si>
    <t>guillaume_schwob@hotmail.fr; jorlando@uchile.cl</t>
  </si>
  <si>
    <t>SCHWOB, Guillaume/AAH-5724-2021; Cabrol, Lea/L-2438-2016; Schwob, Guillaume/JQX-0989-2023; Poulin, Elie/C-2654-2012; Orlando, Julieta/E-1399-2014</t>
  </si>
  <si>
    <t>Cabrol, Lea/0000-0003-0417-2021; Schwob, Guillaume/0000-0003-0996-4060; Poulin, Elie/0000-0001-7736-0969; Orlando, Julieta/0000-0002-2902-8870</t>
  </si>
  <si>
    <t>CONICYT [PIA ACT 172065, ECOS SUD-CONICYT C16B03, INACH-RT09-12]</t>
  </si>
  <si>
    <t>CONICYT(Comision Nacional de Investigacion Cientifica y Tecnologica (CONICYT))</t>
  </si>
  <si>
    <t>This work was financially supported by the projects CONICYT PIA ACT 172065, ECOS SUD-CONICYT C16B03, and INACH-RT09-12.</t>
  </si>
  <si>
    <t>10.3389/fmicb.2020.00308</t>
  </si>
  <si>
    <t>LC2NY</t>
  </si>
  <si>
    <t>WOS:000525165000001</t>
  </si>
  <si>
    <t>Villar, E; Cabrol, L; Heimbürger-Boavida, LE</t>
  </si>
  <si>
    <t>Villar, Emilie; Cabrol, Lea; Heimburger-Boavida, Lars-Eric</t>
  </si>
  <si>
    <t>Widespread microbial mercury methylation genes in the global ocean</t>
  </si>
  <si>
    <t>ENVIRONMENTAL MICROBIOLOGY REPORTS</t>
  </si>
  <si>
    <t>SULFATE-REDUCING BACTERIUM; NITROSPINA-LIKE BACTERIA; NITRITE OXIDATION; SP NOV.; HGCA; EXPRESSION</t>
  </si>
  <si>
    <t>Methylmercury is a neurotoxin that bioaccumulates from seawater to high concentrations in marine fish, putting human and ecosystem health at risk. High methylmercury levels have been found in the oxic subsurface waters of all oceans, but only anaerobic microorganisms have been shown to efficiently produce methylmercury in anoxic environments. The microaerophilic nitrite-oxidizing bacteria Nitrospina have previously been suggested as possible mercury methylating bacteria in Antarctic sea ice. However, the microorganisms responsible for processing inorganic mercury into methylmercury in oxic seawater remain unknown. Here, we show metagenomic and metatranscriptomic evidence that the genetic potential for microbial methylmercury production is widespread in oxic seawater. We find high abundance and expression of the key mercury methylating genes hgcAB across all ocean basins, corresponding to the taxonomic relatives of known mercury methylating bacteria from Deltaproteobacteria, Firmicutes and Chloroflexi. Our results identify Nitrospina as the predominant and widespread microorganism carrying and actively expressing hgcAB. The highest hgcAB abundance and expression occurs in the oxic subsurface waters of the global ocean where the highest MeHg concentrations are typically observed.</t>
  </si>
  <si>
    <t>[Villar, Emilie; Cabrol, Lea; Heimburger-Boavida, Lars-Eric] Univ Toulon &amp; Var, Aix Marseille Univ, CNRS, IRD,MIO,UM 110, F-13288 Marseille, France; [Villar, Emilie] Univ Pierre &amp; Marie Curie Paris 6, Sorbonne Univ, CNRS, Stn Biol Roscoff,AD2M,UMR 7144, Pl Georges Teissier,CS90074, F-29688 Roscoff, France; [Cabrol, Lea] Univ Chile, Fac Ciencias, Dept Ciencias Ecol, Inst Ecol &amp; Biodiversidad, Santiago, Chile</t>
  </si>
  <si>
    <t>Universite de Toulon; Centre National de la Recherche Scientifique (CNRS); Aix-Marseille Universite; Institut de Recherche pour le Developpement (IRD); Centre National de la Recherche Scientifique (CNRS); Sorbonne Universite; Universidad de Chile</t>
  </si>
  <si>
    <t>Cabrol, L (corresponding author), Univ Toulon &amp; Var, Aix Marseille Univ, CNRS, IRD,MIO,UM 110, F-13288 Marseille, France.;Cabrol, L (corresponding author), Univ Chile, Fac Ciencias, Dept Ciencias Ecol, Inst Ecol &amp; Biodiversidad, Santiago, Chile.</t>
  </si>
  <si>
    <t>lea.cabrol@mio.osupytheas.fr</t>
  </si>
  <si>
    <t>Cabrol, Lea/L-2438-2016; Heimbürger-Boavida, Lars-Eric/AAF-6856-2021</t>
  </si>
  <si>
    <t>Cabrol, Lea/0000-0003-0417-2021; Heimbürger-Boavida, Lars-Eric/0000-0003-0632-5183</t>
  </si>
  <si>
    <t>project IMPEKAB [ANR-15-CE02-0011]; AXA Research Fund; Agence Nationale de la Recherche (ANR) [ANR-15-CE02-0011] Funding Source: Agence Nationale de la Recherche (ANR)</t>
  </si>
  <si>
    <t>project IMPEKAB; AXA Research Fund(AXA Research Fund); Agence Nationale de la Recherche (ANR)(Agence Nationale de la Recherche (ANR))</t>
  </si>
  <si>
    <t>The authors thank Shinichi Sunagawa, Guillem Salazar, Magali Lescot and Caroline Vernette for the early access to the OM-RGC v2 metatranscriptomic data and its inclusion on the Ocean Gean Atlas website. The authors thank Patricia Bonin, Joana R. H. Boavida, Pascal Hingamp, Eric Pelletier, Daniel Cossa and Jeroen E. Sonke for constructive comments that helped to improve this manuscript. E.V. received funding from the project IMPEKAB ANR-15-CE02-0011. L.E.H.B. received AXA Research Fund (Postdoctoral grant Levering knowledge gaps to understand and anticipate risk from methylmercury exposure and Outreach grant Arctic Mediterranean Mercury).</t>
  </si>
  <si>
    <t>1758-2229</t>
  </si>
  <si>
    <t>ENV MICROBIOL REP</t>
  </si>
  <si>
    <t>Environ. Microbiol. Rep.</t>
  </si>
  <si>
    <t>10.1111/1758-2229.12829</t>
  </si>
  <si>
    <t>FEB 2020</t>
  </si>
  <si>
    <t>Environmental Sciences; Microbiology</t>
  </si>
  <si>
    <t>Environmental Sciences &amp; Ecology; Microbiology</t>
  </si>
  <si>
    <t>LJ0PB</t>
  </si>
  <si>
    <t>WOS:000516863300001</t>
  </si>
  <si>
    <t>Dömel, JS; Dietz, L; Macher, TH; Rozenberg, A; Mayer, C; Spaak, JM; Melzer, RR; Leese, F</t>
  </si>
  <si>
    <t>Doemel, Jana S.; Dietz, Lars; Macher, Till-Hendrik; Rozenberg, Andrey; Mayer, Christoph; Spaak, Johanna M.; Melzer, Roland R.; Leese, Florian</t>
  </si>
  <si>
    <t>Analyzing drivers of speciation in the Southern Ocean using the sea spider species complex Colossendeis megalonyx as a test case</t>
  </si>
  <si>
    <t>Antarctic benthos; Target hybrid enrichment; Positive selection; Integrative taxonomy; Cryptic species</t>
  </si>
  <si>
    <t>PALLENOPSIS-PATAGONICA HOEK; MITOCHONDRIAL LINEAGES; ARTHROPODA PYCNOGONIDA; CRYPTIC SPECIATION; NERVOUS-SYSTEM; EVOLUTIONARY; DIVERSITY; PATTERNS; MODEL; DIVERSIFICATION</t>
  </si>
  <si>
    <t>Colossendeis megalonyx Hoek, 1881 has the broadest distribution of all sea spiders in the Southern Ocean. Previous studies have detected several evolutionarily young lineages within this taxon and interpreted them as a result of allopatric speciation in a few shelf refuges during glacial maxima. However, alternative scenarios such as ecological speciation in sympatry have rarely been considered or tested. Here, we generated the most extensive genomic and morphometric data set on the C. megalonyx species complex to (i) comprehensively describe species diversity, (ii) explore intraspecific connectivity between populations located around Antarctica, and (iii) systematically test for positive selection indicative of adaptive speciation. We successfully applied a target hybrid enrichment approach and recovered all 1607 genes targeted. Phylogenomic analysis was consistent with previous findings and, moreover, increased the resolution of branching within lineages. We found specimens of phylogenetically well-separated lineages occurring in sympatry to be genetically distinct from each other and gene flow between geographically separated populations of the same lineages to be restricted. Evidence for positive selection was found for four genes associated with structural and neuronal functions. Hence, there is an indication for positive selection in the C. megalonyx species complex, yet its specific contribution to the speciation process remains to be explored further. Finally, morphometric analyses revealed multiple significant differences between lineages, but a clear separation proved difficult. Our study highlights the relevance of positive selection as a potential driver for speciation in the Southern Ocean.</t>
  </si>
  <si>
    <t>[Doemel, Jana S.; Macher, Till-Hendrik; Leese, Florian] Univ Duisburg Essen, Fac Biol, Aquat Ecosyst Res, Univ Str 5, D-45141 Essen, Germany; [Dietz, Lars; Mayer, Christoph] Zool Res Museum Alexander Koenig, Stat Phylogenet &amp; Phylogen, Adenauerallee 160, D-53113 Bonn, Germany; [Dietz, Lars; Mayer, Christoph] Univ Bonn, Fac Math &amp; Nat Sci, D-53012 Bonn, Germany; [Rozenberg, Andrey] Technion Israel Inst Technol, Fac Biol, IL-3200003 Haifa, Israel; [Spaak, Johanna M.] Univ Waikato, Sch Sci, Biol Sci, Hamilton 3216, New Zealand; [Melzer, Roland R.] SNSB, Bavarian State Collect Zool, Muenchhausenstr 21, D-81247 Munich, Germany; [Melzer, Roland R.] Ludwig Maximilians Univ Munchen, Dept Biol 2, Grosshaderner Str 2, Planegg Martinsried, Germany; [Melzer, Roland R.] Ludwig Maximilians Univ Munchen, GeoBioCtr, Richard Wagner Str 10, D-80333 Munich, Germany; [Leese, Florian] Univ Duisburg Essen, Ctr Water &amp; Environm Res ZWU, Univ Str 2, D-45141 Essen, Germany</t>
  </si>
  <si>
    <t>University of Duisburg Essen; Zoologisches Forschungsmuseum Alexander Koenig (ZFMK); University of Bonn; Technion Israel Institute of Technology; University of Waikato; University of Munich; University of Munich; University of Duisburg Essen</t>
  </si>
  <si>
    <t>Dömel, JS (corresponding author), Univ Duisburg Essen, Fac Biol, Aquat Ecosyst Res, Univ Str 5, D-45141 Essen, Germany.</t>
  </si>
  <si>
    <t>jana.doemel@uni-due.de</t>
  </si>
  <si>
    <t>Leese, Florian/D-4277-2012</t>
  </si>
  <si>
    <t>Leese, Florian/0000-0002-5465-913X; van Delden, Johanna Maria/0009-0002-4200-1047; Mayer, Christoph/0000-0001-5104-6621</t>
  </si>
  <si>
    <t>Projekt DEAL; Deutsche Forschungsgemeinschaft (DFG) [SPP1158, LE2323/3, ME2683/8, DI 2228/1]; Zempelin-Stiftung im Stifterverband [T0214/32923/2018/sm]; Australian Antarctic Division [53]; Japanese Science Foundation [53]; French Polar Institute [53]; Centre National de la Recherche Scientifique (Paris, France) [53]; Museum national d'Histoire naturelle [53]; Agence Nationale de la Recherche (Paris, France) [53]</t>
  </si>
  <si>
    <t>Projekt DEAL; Deutsche Forschungsgemeinschaft (DFG)(German Research Foundation (DFG)); Zempelin-Stiftung im Stifterverband; Australian Antarctic Division; Japanese Science Foundation; French Polar Institute; Centre National de la Recherche Scientifique (Paris, France)(Centre National de la Recherche Scientifique (CNRS)); Museum national d'Histoire naturelle; Agence Nationale de la Recherche (Paris, France)(Agence Nationale de la Recherche (ANR))</t>
  </si>
  <si>
    <t>Open Access funding was provided by Projekt DEAL. We would like to thank Claudia Arango, Bonnie Bain and one anonymous reviewer for putting an enormous effort in reviewing the manuscript and making constructive suggestions that helped to substantially improve this study. This work was supported by grants of the Deutsche Forschungsgemeinschaft (DFG) in the framework of the priority program 'Antarctic Research with comparative investigations in Arctic ice areas' SPP1158 to FL and RM (LE2323/3, ME2683/8) as well as LD (DI 2228/1). The 'Zempelin-Stiftung im Stifterverband' provided additional financial support to JD (T0214/32923/2018/sm). Sandra Kukowka (ZFMK, Bonn, Germany) advised and assisted in the lab. The Zoological Research Museum Alexander Koenig in Bonn allowed us to use its facilities. Hannes Geiselbrecht and Feliza Cesena supported this study by conducting morphological measurements. Hannah Weigand advised on sampling design. We furthermore thank Claudia Arango for access to sorted and identified CEAMARC material for morphometrics and obtaining DNA data during visits of JS and LD to the Queensland Museum (South Brisbane, Australia). A loan of CEAMARC material to Claudia Arango in the Queensland Museum was possible thanks to Marc Eleaume and Nadia Ameziane from the Museum national d'Histoire naturelle (Paris, France). Thanks to the crew and participants of the CEAMARC cruise on board RSV Aurora Australis (IPY project #53) supported by the Australian Antarctic Division, the Japanese Science Foundation, the French Polar Institute, the Centre National de la Recherche Scientifique (Paris, France), the Museum national d'Histoire naturelle and the Agence Nationale de la Recherche (Paris, France). We also thank Christoph Held (Alfred-Wegener Institute, Bremerhaven, Germany) who provided samples from various Polarstern, the 2004 ICEFISH, and the ACE expeditions, as well as Kenneth M. Halanych and Andrew R. Mahon who contributed the transcriptome data.</t>
  </si>
  <si>
    <t>10.1007/s00300-020-02636-z</t>
  </si>
  <si>
    <t>WOS:000517023800001</t>
  </si>
  <si>
    <t>Hartery, S; Toohey, D; Revell, L; Sellegri, K; Kuma, P; Harvey, M; McDonald, AJ</t>
  </si>
  <si>
    <t>Hartery, S.; Toohey, D.; Revell, L.; Sellegri, K.; Kuma, P.; Harvey, M.; McDonald, A. J.</t>
  </si>
  <si>
    <t>Constraining the Surface Flux of Sea Spray Particles From the Southern Ocean</t>
  </si>
  <si>
    <t>WHITECAP COVERAGE DEPENDENCE; WIND-SPEED; AEROSOL PRODUCTION; DRAG COEFFICIENT; PARAMETERIZATION; MODEL; SALT; GENERATION; VELOCITIES; POLLUTION</t>
  </si>
  <si>
    <t>Modeling the shortwave radiation balance over the Southern Ocean region remains a challenge for Earth system models. To investigate whether this is related to the representation of aerosol-cloud interactions, we compared measurements of the total number concentration of sea spray-generated particles within the Southern Ocean region to model predictions thereof. Measurements were conducted from a container laboratory aboard the R/V Tangaroa throughout an austral summer voyage to the Ross Sea. We used source-receptor modeling to calculate the sensitivity of our measurements to upwind surface fluxes. From this approach, we could constrain empirical parameterizations of sea spray surface flux based on surface wind speed and sea surface temperature. A newly tuned parameterization for the flux of sea spray particles based on the near-surface wind speed is presented. Comparisons to existing model parameterizations revealed that present model parameterizations led to overestimations of sea spray concentrations. In contrast to previous studies, we found that including sea surface temperature as an explanatory variable did not substantially improve model-measurement agreement. To test whether or not the parameterization may be applicable globally, we conducted a regression analysis using a database of in situ whitecap measurements. We found that the key fitting parameter within this regression agreed well with the parameterization of sea spray flux. Finally, we compared calculations from the best model of surface flux to boundary layer measurements collected onboard an aircraft throughout the Southern Ocean Clouds, Radiation, Aerosol Transport Experimental Study (SOCRATES), finding good agreement overall.</t>
  </si>
  <si>
    <t>[Hartery, S.; Revell, L.; Kuma, P.; McDonald, A. J.] Univ Canterbury, Sch Phys &amp; Chem Sci, Dept Atmospher &amp; Ocean Sci, Christchurch, New Zealand; [Toohey, D.] Univ Colorado Boulder, Boulder, CO USA; [Sellegri, K.] UCA, CNRS, Lab Meteorol Phys LaMP, Aubiere, France; [Harvey, M.] Natl Inst Water &amp; Atmospher Res, Wellington, New Zealand</t>
  </si>
  <si>
    <t>University of Canterbury; University of Colorado System; University of Colorado Boulder; Centre National de la Recherche Scientifique (CNRS); National Institute of Water &amp; Atmospheric Research (NIWA) - New Zealand</t>
  </si>
  <si>
    <t>Hartery, S (corresponding author), Univ Canterbury, Sch Phys &amp; Chem Sci, Dept Atmospher &amp; Ocean Sci, Christchurch, New Zealand.</t>
  </si>
  <si>
    <t>hartery.s.p@gmail.com</t>
  </si>
  <si>
    <t>Revell, Laura/ABG-7040-2020; Hartery, Sean/AAG-7116-2020; Toohey, Darin W/A-4267-2008; Harvey, Mike/A-5354-2010</t>
  </si>
  <si>
    <t>Revell, Laura/0000-0002-8974-7703; Hartery, Sean/0000-0002-0015-2018; Toohey, Darin W/0000-0003-2853-1068; Harvey, Mike/0000-0002-0979-0227; Kuma, Peter/0000-0002-0910-8646; McDonald, Adrian/0000-0002-1456-6254; Sellegri, Karine/0000-0002-5226-2403</t>
  </si>
  <si>
    <t>New Zealand Deep South National Science Challenge Cloud and Aerosols project (2017-2019); New Zealand Crown Funding Agreement; National Institute of Water and Atmospheric Research's Research Programme in Ocean-Climate Interactions [2017/2019 SCI]; U.S. National Science Foundation [AGS-1660537]; University of Canterbury; Deep South National Science Challenge [C01X1412]; China Southern; European Research Council (ERC) under the European Union's Horizon 2020 research and innovation programme (Sea2Cloud Grant) [771369]; New Zealand Ministry of Business, Innovation &amp; Employment (MBIE) [C01X1412] Funding Source: New Zealand Ministry of Business, Innovation &amp; Employment (MBIE); European Research Council (ERC) [771369] Funding Source: European Research Council (ERC)</t>
  </si>
  <si>
    <t>New Zealand Deep South National Science Challenge Cloud and Aerosols project (2017-2019); New Zealand Crown Funding Agreement; National Institute of Water and Atmospheric Research's Research Programme in Ocean-Climate Interactions; U.S. National Science Foundation(National Science Foundation (NSF)); University of Canterbury; Deep South National Science Challenge; China Southern; European Research Council (ERC) under the European Union's Horizon 2020 research and innovation programme (Sea2Cloud Grant)(European Research Council (ERC)); New Zealand Ministry of Business, Innovation &amp; Employment (MBIE); European Research Council (ERC)(European Research Council (ERC)Spanish Government)</t>
  </si>
  <si>
    <t>This project was funded through the New Zealand Deep South National Science Challenge Cloud and Aerosols project (2017-2019). The Antarctic voyage operations were supported through a New Zealand Crown Funding Agreement and associated voyage science was funded through the National Institute of Water and Atmospheric Research's Research Programme in Ocean-Climate Interactions (2017/2019 SCI). SOCRATES measurements were supported by award AGS-1660537 from the U.S. National Science Foundation. S. P. H. acknowledges support from the University of Canterbury Doctoral Scholarship. D. W. T. acknowledges support from the University of Canterbury Erskine Programme during a 2018 sabbatical to collaborate on this project. L. E. R. was supported by the Deep South National Science Challenge (Grant C01X1412) and acknowledges China Southern for partial support. K. S. has received funding from the European Research Council (ERC) under the European Union's Horizon 2020 research and innovation programme (Sea2Cloud Grant Agreement 771369) for contributing to this work. The authors would like to acknowledge R/V Tangaroa Captain Evan Solly, fellow officers and associate crew for safe passage throughout the voyage in addition to the fellow sea-going scientific staff and voyage leader David Bowden. Thanks especially to those talented and capable crew of the R/V Tangaroa who installed both the temporary air inlet and the container laboratory in which this study was conducted. Additional thanks are owed to John McGregor and Gordon Brailsford for underway Picarro CO2 measurements and to Nick Eton for his help troubleshooting technical issues throughout the voyage. Data accompanying this work are available online (https://doi.pangaea.de/10.1594/PANGAEA.909249).</t>
  </si>
  <si>
    <t>FEB 27</t>
  </si>
  <si>
    <t>e2019JD032026</t>
  </si>
  <si>
    <t>10.1029/2019JD032026</t>
  </si>
  <si>
    <t>KT7XS</t>
  </si>
  <si>
    <t>WOS:000519227000010</t>
  </si>
  <si>
    <t>Foley, CM; Fagan, WF; Lynch, HJ</t>
  </si>
  <si>
    <t>Foley, C. M.; Fagan, W. F.; Lynch, H. J.</t>
  </si>
  <si>
    <t>Correcting for within-season demographic turnover to estimate the island-wide population of King Penguins (Aptenodytes patagonicus) on South Georgia</t>
  </si>
  <si>
    <t>Abundance estimation; Phenology; Satellite imagery; Census; Remote sensing</t>
  </si>
  <si>
    <t>ILE-AUX-COCHONS; RANGE; DYNAMICS; SEABIRDS; INCREASE; SUCCESS; CENSUS; COLONY; TIME</t>
  </si>
  <si>
    <t>King Penguins (Aptenodytes patagonicus) live in remote locations, in large colonies with asynchronous breeding. These three factors hinder the design and conduct of King Penguin censuses, and assessments of trend often require piecing together mismatched surveys of different demographic components. This study introduces a new method to remotely census these populations year-round and correct population estimates for the King Penguin's unique breeding phenology. We combined in situ ground counts with estimates based on high-resolution satellite imagery to catalog the distribution of breeding colonies and estimate population abundance across the island of South Georgia, in the south Atlantic. While most King Penguin populations are forecast to decline significantly over the next century, South Georgia is expected to experience more favorable conditions and represents an important refugium for the species, though the challenges of surveying King Penguins have precluded a comprehensive census. Due to the variable timing of both in situ and remote counts, we developed a discrete time, age- and stage-structured population model that provides stage- and day-specific correction factors for standardization of census counts. We estimate the current population of King Penguins on South Georgia as 405,425 (95% CI 102,624-2,375,061) breeding pairs and find that population trends that do not account for phenological biases persistently underestimate the population growth rate. Correction factors are highly sensitive to annual egg mortality and the total breeding population is best estimated using nest counts of early-breeding pairs. Future efforts to census King Penguin populations may minimize uncertainty by capturing more precise estimates of egg survival and optimizing the timing of ground and satellite censuses to occur during the settlement of early breeders. Accounting for the error associated with current uncertainty in model parameters, 18-32 years of census data would be required to accurately detect trends of a population with a 10% growth rate. While asynchronously breeding species present a unique challenge to population monitoring, careful accounting of within-season dynamics can be used to assemble a self-consistent time series from heterogeneous survey data.</t>
  </si>
  <si>
    <t>[Foley, C. M.] Univ Hawaii Manoa, Hawaii Inst Marine Biol, POB 1346, Kaneohe, HI 96744 USA; [Foley, C. M.; Lynch, H. J.] SUNY Stony Brook, Dept Ecol &amp; Evolut, 650 Life Sci Bldg, Stony Brook, NY 11794 USA; [Fagan, W. F.] Univ Maryland, Dept Biol, Biol Psychol Bldg 1210, College Pk, MD 20742 USA; [Lynch, H. J.] SUNY Stony Brook, Inst Adv Computat Sci, Stony Brook, NY 11794 USA</t>
  </si>
  <si>
    <t>University of Hawaii System; University of Hawaii Manoa; State University of New York (SUNY) System; State University of New York (SUNY) Stony Brook; University System of Maryland; University of Maryland College Park; State University of New York (SUNY) System; State University of New York (SUNY) Stony Brook</t>
  </si>
  <si>
    <t>Foley, CM (corresponding author), Univ Hawaii Manoa, Hawaii Inst Marine Biol, POB 1346, Kaneohe, HI 96744 USA.;Foley, CM (corresponding author), SUNY Stony Brook, Dept Ecol &amp; Evolut, 650 Life Sci Bldg, Stony Brook, NY 11794 USA.</t>
  </si>
  <si>
    <t>foleyc@hawaii.edu</t>
  </si>
  <si>
    <t>US National Science Foundation Office of Polar Programs [NSF/OPP-1255058]; Polar Geospatial Center under NSF-OPP [1043681, 1559691]</t>
  </si>
  <si>
    <t>US National Science Foundation Office of Polar Programs(National Science Foundation (NSF)); Polar Geospatial Center under NSF-OPP</t>
  </si>
  <si>
    <t>We gratefully acknowledge assistance from the US National Science Foundation Office of Polar Programs (Award No. NSF/OPP-1255058) and geospatial support provided by the Polar Geospatial Center under NSF-OPP awards 1043681 and 1559691. The authors would also like to thank T. Hart for his comments on the manuscript and assistance with data collection; C. Black, A. Borowicz, G. Clucas, G. Humphries, M. Lynch, B. Goncalves, C. O'Leary, M. Schrimpf, and C. Youngflesh for help with data collection; R. Akcakaya, S. Bewick, J. Calabrese, and E. Talis for their comments on the phenology model. We thank S. Poncet for the use of her survey data and all the researchers of the British Antarctic Survey who contributed to King Penguin monitoring efforts on South Georgia. We gratefully acknowledge the support of Oceanites, Inc., Penguin Watch, One Ocean Expeditions, Quark Expeditions, and Cheeseman's Ecological Safaris and their field staff for logistical and field support.</t>
  </si>
  <si>
    <t>10.1007/s00300-020-02627-0</t>
  </si>
  <si>
    <t>KU4IC</t>
  </si>
  <si>
    <t>WOS:000516956500003</t>
  </si>
  <si>
    <t>Vakhrameeva, P; Portnyagin, M; Ponomareva, V; Abbott, PM; Repkina, T; Novikova, A; Koutsodendris, A; Pross, J</t>
  </si>
  <si>
    <t>Vakhrameeva, Polina; Portnyagin, Maxim; Ponomareva, Vera; Abbott, Peter M.; Repkina, Tatiana; Novikova, Anna; Koutsodendris, Andreas; Pross, Joerg</t>
  </si>
  <si>
    <t>Identification of Icelandic tephras from the last two millennia in the White Sea region (Vodoprovodnoe peat bog, northwestern Russia)</t>
  </si>
  <si>
    <t>JOURNAL OF QUATERNARY SCIENCE</t>
  </si>
  <si>
    <t>Icelandic cryptotephras; Late Holocene; peat bog; Russia; tephrostratigraphy of northern Europe</t>
  </si>
  <si>
    <t>GLACIAL-INTERGLACIAL TRANSITION; GREENLAND ICE-CORES; LAKI SKAFTAR-FIRES; HOLOCENE TEPHRA; CRYPTOTEPHRA RECORD; TENAGHI PHILIPPON; SOUTHERN ICELAND; CLIMATE-CHANGE; VOLCANIC ASH; VEDDE ASH</t>
  </si>
  <si>
    <t>The generation of reliable age models for palaeoenvironmental and archaeological records in the Eurasian Arctic is often problematic when using conventional dating techniques. Tephrochronology can potentially improve the chronologies of such records and synchronise disparate sedimentary archives. However, to date, systematic tephra studies are lacking for this region. This paper presents the first cryptotephra data from the White Sea region (northwestern Russia) based on a peat core spanning the past 1800 years. We identify seven geochemical glass populations that derive from six Icelandic volcanoes and correlate four of them to north European tephra isochrons; these include Askja ad 1875, the basaltic component of the ad 877 Landnam tephra, and tephras BTD-15 (c. ad 1750-1650) and SL-2/SB-2 (ad 803-767) from unknown eruptions of Katla and Sn AE fellsjokull, respectively. The remaining three populations originate from Grimsvotn, Hekla and Katla; however, their attribution to individual eruptions remains ambiguous. These findings highlight the potential to extend the Late Holocene tephrochronological framework of northern Europe to the west Eurasian Arctic. The detection of at least three basaltic tephras in the core suggests that basaltic shards can be transported over larger distances than previously known and that peatlands are well suited to preserve such components.</t>
  </si>
  <si>
    <t>[Vakhrameeva, Polina; Koutsodendris, Andreas; Pross, Joerg] Heidelberg Univ, Inst Earth Sci, Heidelberg, Germany; [Vakhrameeva, Polina] Arctic &amp; Antarctic Res Inst, St Petersburg, Russia; [Vakhrameeva, Polina] St Petersburg State Univ, Inst Earth Sci, St Petersburg, Russia; [Portnyagin, Maxim] GEOMAR Helmholtz Ctr Ocean Res Kiel, Kiel, Germany; [Portnyagin, Maxim] Vernadsky Inst Geochem &amp; Analyt Chem, Moscow, Russia; [Ponomareva, Vera] Inst Volcanol &amp; Seismol, Petropavlovsk Kamchatski, Russia; [Abbott, Peter M.] Swansea Univ, Dept Geog, Swansea, W Glam, Wales; [Repkina, Tatiana; Novikova, Anna] Lomonosov Moscow State Univ, Fac Geog, Moscow, Russia; [Abbott, Peter M.] Univ Bern, Inst Phys, Climate &amp; Environm Phys, Bern, Switzerland; [Abbott, Peter M.] Univ Bern, Oeschger Ctr Climate Change Res, Bern, Switzerland</t>
  </si>
  <si>
    <t>Ruprecht Karls University Heidelberg; Arctic &amp; Antarctic Research Institute; Saint Petersburg State University; Helmholtz Association; GEOMAR Helmholtz Center for Ocean Research Kiel; Russian Academy of Sciences; Vernadsky Institute of Geochemistry &amp; Analytical Chemistry; Institute of Volcanology &amp; Seismology, Far Eastern Branch, RAS; Swansea University; Lomonosov Moscow State University; University of Bern; University of Bern</t>
  </si>
  <si>
    <t>Vakhrameeva, P (corresponding author), Heidelberg Univ, Inst Earth Sci, Heidelberg, Germany.;Vakhrameeva, P (corresponding author), Arctic &amp; Antarctic Res Inst, St Petersburg, Russia.</t>
  </si>
  <si>
    <t>polina.vakhrameeva@geow.uni-heidelberg.de</t>
  </si>
  <si>
    <t>Repkina, Tatiana Y/L-9353-2015; Ponomareva, Vera/ABI-3076-2020; Portnyagin, Maxim V/G-9280-2011; Novikova, Anna/X-7475-2018; Koutsodendris, Andreas/G-8966-2013; Abbott, Peter/B-6769-2013</t>
  </si>
  <si>
    <t>Portnyagin, Maxim V/0000-0001-5197-6562; Novikova, Anna/0000-0003-3017-8961; Koutsodendris, Andreas/0000-0003-4236-7508; Abbott, Peter/0000-0002-6347-9499; Vakhrameeva, Polina/0000-0002-3660-2455</t>
  </si>
  <si>
    <t>Otto Schmidt Laboratory Fellowship Program [OSL-15-19]; GEOMAR Helmholtz Center for Ocean Research; Ministry of Education and Science of the Russian Federation [AAAA-A16-116032810089-5]</t>
  </si>
  <si>
    <t>Otto Schmidt Laboratory Fellowship Program; GEOMAR Helmholtz Center for Ocean Research(Helmholtz Association); Ministry of Education and Science of the Russian Federation(Ministry of Education and Science, Russian Federation)</t>
  </si>
  <si>
    <t>This study was financially supported by an Otto Schmidt Laboratory Fellowship Program to PV and VP (grant OSL-15-19). The authors are grateful to Siwan Davies for advice and support. We thank Gareth James and Anastasia Plechova for laboratory assistance. We acknowledge funding by the GEOMAR Helmholtz Center for Ocean Research for the electron probe microanalyses and thank Mario Thoner for his assistance during the analyses. The coring campaign was supported by the Ministry of Education and Science of the Russian Federation (AAAA-A16-116032810089-5). Fedor Romanenko, Nikolay Lugovoy and Natalia Shevchenko are thanked for their help in the field. Two anonymous reviewers are thanked for their constructive comments that have helped to further improve this paper.</t>
  </si>
  <si>
    <t>0267-8179</t>
  </si>
  <si>
    <t>1099-1417</t>
  </si>
  <si>
    <t>J QUATERNARY SCI</t>
  </si>
  <si>
    <t>J. Quat. Sci.</t>
  </si>
  <si>
    <t>10.1002/jqs.3190</t>
  </si>
  <si>
    <t>LJ3AY</t>
  </si>
  <si>
    <t>WOS:000515813000001</t>
  </si>
  <si>
    <t>Noh, HJ; Lee, YM; Park, CH; Lee, HK; Cho, JC; Hong, SG</t>
  </si>
  <si>
    <t>Noh, Hyun-Ju; Lee, Yung Mi; Park, Chae Haeng; Lee, Hong Kum; Cho, Jang-Cheon; Hong, Soon Gyu</t>
  </si>
  <si>
    <t>Microbiome in Cladonia squamosa Is Vertically Stratified According to Microclimatic Conditions</t>
  </si>
  <si>
    <t>Antarctica; lichen; bacteria; fungi; microalgae; microbiome</t>
  </si>
  <si>
    <t>KING-GEORGE-ISLAND; 16S RIBOSOMAL-RNA; BACTERIAL COMMUNITIES; LICHENICOLOUS FUNGI; LICHEN; DIVERSITY; ACID; SUN; POPULATIONS; PHOSPHATE</t>
  </si>
  <si>
    <t>Lichens are miniature ecosystems that contain fungi, microalgae, and bacteria. It is generally accepted that symbiosis between mycobiont and photobiont and microbial contribution to the ecosystem support the wide distribution of lichens in terrestrial ecosystems, including polar areas. The composition of symbiotic components can be affected by subtle microenvironmental differences within a thallus, as well as large-scale climate differences. In this study, we investigated fine-scale profiles of algal, fungal, and bacterial compositions through horizontal and vertical positions of the Antarctic lichen Cladonia squamosa colonies by next-generation sequencing of the nuclear large subunit rRNA gene (nucLSU) of eukaryotes and the 16S rRNA gene of bacteria. Apical parts of thalli were exposed to strong light, low moisture, and high variability of temperature compared with basal parts. Microbial diversity increased from apical parts to basal parts of thalli. Asterochloris erici was the major photobiont in apical positions of thalli, but other microalgal operational taxonomic units (OTUs) of Trebouxiophyceae and Ulvophyceae were major microalgal components in basal positions. Photochemical responses of algal components from apical and basal parts of thalli were quite different under variable temperature and humidity conditions. Several fungal OTUs that belonged to Arthoniomycetes and Lecanoromycetes, and diverse bacterial OTUs that belonged to Alphaproteobacteria, Acidobacteria_Gp1, and candidate division WPS-2 showed a clear distribution pattern according to their vertical positions within thalli. The overall lichen microbiome was significantly differentiated by the vertical position within a thallus. These results imply that different microclimate are formed at different lichen thallus parts, which can affect microbial compositions and physiological responses according to positions within the thalli.</t>
  </si>
  <si>
    <t>[Noh, Hyun-Ju; Lee, Yung Mi; Park, Chae Haeng; Lee, Hong Kum; Hong, Soon Gyu] Korea Polar Res Inst, Div Polar Life Sci, Incheon, South Korea; [Noh, Hyun-Ju; Cho, Jang-Cheon] Inha Univ, Dept Biol Sci, Incheon, South Korea</t>
  </si>
  <si>
    <t>Korea Polar Research Institute (KOPRI); Inha University</t>
  </si>
  <si>
    <t>Hong, SG (corresponding author), Korea Polar Res Inst, Div Polar Life Sci, Incheon, South Korea.</t>
  </si>
  <si>
    <t>polypore@kopri.re.kr</t>
  </si>
  <si>
    <t>Park, Chae Haeng/AAP-3939-2020; Cho, Jang-Cheon/B-4676-2013</t>
  </si>
  <si>
    <t>Korea Polar Research Institute [PE19090, PE20170]</t>
  </si>
  <si>
    <t>Korea Polar Research Institute(Korea Polar Research Institute of Marine Research Placement (KOPRI))</t>
  </si>
  <si>
    <t>This research was funded by the Korea Polar Research Institute (PE19090 and PE20170).</t>
  </si>
  <si>
    <t>FEB 25</t>
  </si>
  <si>
    <t>10.3389/fmicb.2020.00268</t>
  </si>
  <si>
    <t>LB4KY</t>
  </si>
  <si>
    <t>WOS:000524605600001</t>
  </si>
  <si>
    <t>Turney, CSM; Fogwill, CJ; Golledge, NR; Mckay, NP; van Sebille, E; Jones, RT; Etheridge, D; Rubino, M; Thornton, DP; Davies, SM; Ramsey, CB; Thomas, ZA; Bird, MI; Munksgaard, NC; Kohno, M; Woodward, J; Winter, K; Weyrich, LS; Rootes, CM; Millman, H; Albert, PG; Rivera, A; van Ommen, T; Curran, M; Moy, A; Rahmstorf, S; Kawamura, K; Hillenbrand, CD; Weber, ME; Manning, CJ; Young, J; Cooper, A</t>
  </si>
  <si>
    <t>Turney, Chris S. M.; Fogwill, Christopher J.; Golledge, Nicholas R.; McKay, Nicholas P.; van Sebille, Erik; Jones, Richard T.; Etheridge, David; Rubino, Mauro; Thornton, David P.; Davies, Siwan M.; Ramsey, Christopher Bronk; Thomas, Zoe A.; Bird, Michael I.; Munksgaard, Niels C.; Kohno, Mika; Woodward, John; Winter, Kate; Weyrich, Laura S.; Rootes, Camilla M.; Millman, Helen; Albert, Paul G.; Rivera, Andres; van Ommen, Tas; Curran, Mark; Moy, Andrew; Rahmstorf, Stefan; Kawamura, Kenji; Hillenbrand, Claus-Dieter; Weber, Michael E.; Manning, Christina J.; Young, Jennifer; Cooper, Alan</t>
  </si>
  <si>
    <t>Early Last Interglacial ocean warming drove substantial ice mass loss from Antarctica</t>
  </si>
  <si>
    <t>Antarctic ice sheets; marine ice sheet instability (MISI); paleoclimatology; polar amplification; tipping element</t>
  </si>
  <si>
    <t>WEDDELL SEA SECTOR; TEPHRA LAYERS; PATRIOT HILLS; HORSESHOE VALLEY; ATMOSPHERIC CO2; SHEET COLLAPSE; BIPOLAR SEESAW; GROUNDING LINE; CLIMATE RECORD; MOUNT-MOULTON</t>
  </si>
  <si>
    <t>The future response of the Antarctic ice sheet to rising temperatures remains highly uncertain. A useful period for assessing the sensitivity of Antarctica to warming is the Last Interglacial (LIG) (129 to 116 ky), which experienced warmer polar temperatures and higher global mean sea level (GMSL) (+6 to 9 m) relative to present day. LIG sea level cannot be fully explained by Greenland Ice Sheet melt (similar to 2 m), ocean thermal expansion, and melting mountain glaciers (similar to 1 m), suggesting substantial Antarctic mass loss was initiated by warming of Southern Ocean waters, resulting from a weakening Atlantic meridional overturning circulation in response to North Atlantic surface freshening. Here, we report a blue-ice record of ice sheet and environmental change from the Weddell Sea Embayment at the periphery of the marine-based West Antarctic Ice Sheet (WAIS), which is underlain by major methane hydrate reserves. Constrained by a widespread volcanic horizon and supported by ancient microbial DNA analyses, we provide evidence for substantial mass loss across the Weddell Sea Embayment during the LIG, most likely driven by ocean warming and associated with destabilization of subglacial hydrates. Ice sheet modeling supports this interpretation and suggests that millennial-scale warming of the Southern Ocean could have triggered a multimeter rise in global sea levels. Our data indicate that Antarctica is highly vulnerable to projected increases in ocean temperatures and may drive ice-climate feedbacks that further amplify warming.</t>
  </si>
  <si>
    <t>[Turney, Chris S. M.; Fogwill, Christopher J.; Thomas, Zoe A.; Millman, Helen] Univ New South Wales, Palaeontol Geobiol &amp; Earth Arch Res Ctr, Sch Biol Earth &amp; Environm Sci, Kensington, NSW 2033, Australia; [Turney, Chris S. M.; Thomas, Zoe A.] Univ New South Wales, Australian Res Council, Ctr Excellence Australian Biodivers &amp; Heritage, Sch Biol Earth &amp; Environm Sci, Kensington, NSW 2033, Australia; [Turney, Chris S. M.; Thomas, Zoe A.] Univ New South Wales, Chronos Carbon Cycle Facil 14, Sydney, NSW 2052, Australia; [Fogwill, Christopher J.; Rubino, Mauro] Keele Univ, Sch Geog Geol &amp; Environm, Keele ST5 5BG, Staffs, England; [Golledge, Nicholas R.] Victoria Univ Wellington, Antarctic Res Ctr, Wellington 6140, New Zealand; [Golledge, Nicholas R.] GNS Sci, Environm &amp; Climate, Lower Hutt 5011, New Zealand; [McKay, Nicholas P.] No Arizona Univ, Sch Earth &amp; Sustainabil, Flagstaff, AZ 86011 USA; [van Sebille, Erik] Imperial Coll London, Grantham Inst, London SW7 2AZ, England; [van Sebille, Erik] Imperial Coll London, Dept Phys, London SW7 2AZ, England; [van Sebille, Erik] Univ Utrecht, Inst Marine &amp; Atmospher Res Utrecht, NL-3584 CS Utrecht, Netherlands; [Jones, Richard T.] Exeter Univ, Dept Geog, Exeter EX4 4RJ, Devon, England; [Etheridge, David; Rubino, Mauro; Thornton, David P.] CSIRO, Climate Sci Ctr, Ocean &amp; Atmosphere, Aspendale, Vic 3195, Australia; [Rubino, Mauro] Univ Campania Luigi Vanvitelli, Dipartimento Matemat &amp; Fis, I-81100 Caserta, Italy; [Davies, Siwan M.] Swansea Univ, Dept Geog, Swansea SA2 8PP, W Glam, Wales; [Ramsey, Christopher Bronk; Albert, Paul G.] Univ Oxford, Res Lab Archaeol &amp; Hist Art, Oxford OX1 3TG, England; [Bird, Michael I.] James Cook Univ, Coll Sci &amp; Engn, Ctr Trop Environm &amp; Sustainabil Sci, Cairns, Qld 4870, Australia; [Bird, Michael I.; Munksgaard, Niels C.] James Cook Univ, Ctr Excellence Australian Biodivers &amp; Heritage, Australian Res Council, Cairns, Qld 4870, Australia; [Munksgaard, Niels C.] Charles Darwin Univ, Res Inst Environm &amp; Livelihoods, Darwin, NT 0909, Australia; [Kohno, Mika] Univ Gottingen, Dept Geochem, Geosci Ctr, D-37077 Gottingen, Germany; [Woodward, John; Winter, Kate] Northumbria Univ, Fac Engn &amp; Environm, Dept Geog &amp; Environm Sci, Newcastle Upon Tyne NE1 8ST, Tyne &amp; Wear, England; [Weyrich, Laura S.; Young, Jennifer] Univ Adelaide, Australian Ctr Ancient DNA, Adelaide, SA 5005, Australia; [Weyrich, Laura S.; Young, Jennifer] Univ Adelaide, Ctr Excellence Australian Biodivers &amp; Heritage, Australian Res Council, Adelaide, SA 5005, Australia; [Rootes, Camilla M.] Univ Sheffield, Dept Geog, Sheffield S3 7ND, S Yorkshire, England; [Rivera, Andres] Univ Chile, Dept Geog, Santiago 8331051, Chile; [van Ommen, Tas; Curran, Mark; Moy, Andrew] Australian Antarctic Div, Environm &amp; Energy Dept, Kingston, Tas 7050, Australia; [van Ommen, Tas; Curran, Mark; Moy, Andrew] Univ Tasmania, Antarctic Climate &amp; Ecosyst Cooperat Res Ctr, Hobart, Tas 7001, Australia; [Rahmstorf, Stefan] Potsdam Inst Climate Impact Res, Earth Syst Anal, D-14412 Potsdam, Germany; [Rahmstorf, Stefan] Univ Potsdam, Inst Phys &amp; Astron, D-14476 Golm, Germany; [Kawamura, Kenji] Natl Inst Polar Res, Res Org Informat &amp; Syst, Tachikawa, Tokyo 1908518, Japan; [Kawamura, Kenji] Grad Univ Adv Studies, Dept Polar Sci, Tachikawa, Tokyo 1908518, Japan; [Kawamura, Kenji] Japan Agcy Marine Earth Sci &amp; Technol, Inst Biogeosci, Yokosuka, Kanagawa 2370061, Japan; [Hillenbrand, Claus-Dieter] British Antarctic Survey, Palaeo Environm Ice Sheets &amp; Climate Change, Cambridge CB3 0ET, England; [Weber, Michael E.] Univ Bonn, Steinmann Inst, D-53115 Bonn, Germany; [Manning, Christina J.] Royal Holloway Univ London, Dept Earth Sci, Egham TW20 0EX, Surrey, England; [Cooper, Alan] South Australian Museum, Adelaide, SA 5005, Australia</t>
  </si>
  <si>
    <t>University of New South Wales Sydney; University of New South Wales Sydney; University of New South Wales Sydney; Keele University; Victoria University Wellington; GNS Science - New Zealand; Northern Arizona University; Imperial College London; Imperial College London; Utrecht University; University of Exeter; Commonwealth Scientific &amp; Industrial Research Organisation (CSIRO); Universita della Campania Vanvitelli; Swansea University; University of Oxford; James Cook University; James Cook University; Charles Darwin University; University of Gottingen; Northumbria University; University of Adelaide; University of Adelaide; University of Sheffield; Universidad de Chile; Australian Antarctic Division; University of Tasmania; Antarctic Climate &amp; Ecosystems Cooperative Research Centre (ACE CRC); Potsdam Institut fur Klimafolgenforschung; University of Potsdam; Research Organization of Information &amp; Systems (ROIS); National Institute of Polar Research (NIPR) - Japan; Graduate University for Advanced Studies - Japan; Japan Agency for Marine-Earth Science &amp; Technology (JAMSTEC); UK Research &amp; Innovation (UKRI); Natural Environment Research Council (NERC); NERC British Antarctic Survey; University of Bonn; University of London; Royal Holloway University London; South Australian Museum</t>
  </si>
  <si>
    <t>Turney, CSM (corresponding author), Univ New South Wales, Palaeontol Geobiol &amp; Earth Arch Res Ctr, Sch Biol Earth &amp; Environm Sci, Kensington, NSW 2033, Australia.;Turney, CSM (corresponding author), Univ New South Wales, Australian Res Council, Ctr Excellence Australian Biodivers &amp; Heritage, Sch Biol Earth &amp; Environm Sci, Kensington, NSW 2033, Australia.;Turney, CSM (corresponding author), Univ New South Wales, Chronos Carbon Cycle Facil 14, Sydney, NSW 2052, Australia.</t>
  </si>
  <si>
    <t>c.turney@unsw.edu.au</t>
  </si>
  <si>
    <t>Rahmstorf, Stefan/A-8465-2010; Fogwill, Christopher/HPF-1150-2023; Rubino, Mauro/Q-5578-2016; Weber, Michael E/G-8707-2012; Fogwill, Chris/AAW-3502-2021; Bird, Michael/G-5364-2010; van Sebille, Erik/F-6781-2010; Ramsey, Christopher Bronk/AAQ-2227-2021; Etheridge, David M/B-7334-2013; Manning, Christina J/C-1135-2013; McKay, Nicholas Paul/JYQ-5440-2024; Woodward, John/I-1046-2013; Turney, Chris/P-8701-2018; Kawamura, Kenji/C-7660-2011; van Ommen, Tas/B-5020-2012; Davies, Siwan/E-6915-2011; Thomas, Zoe/D-1656-2016</t>
  </si>
  <si>
    <t>Rahmstorf, Stefan/0000-0001-6786-7723; Fogwill, Chris/0000-0002-6471-1106; Bird, Michael/0000-0003-1801-8703; Ramsey, Christopher Bronk/0000-0002-8641-9309; Albert, Paul/0000-0002-6757-1452; Weber, Michael E/0000-0003-2175-8980; Etheridge, David/0000-0001-7970-2002; McKay, Nicholas/0000-0003-3598-5113; Turney, Chris/0000-0001-6733-0993; Kawamura, Kenji/0000-0003-1163-700X; Woodward, John/0000-0002-4980-4080; Winter, Kate/0000-0003-2389-8637; Rubino, Mauro/0000-0002-8721-4508; Young, Jennifer/0000-0002-2971-5486; van Ommen, Tas/0000-0002-2463-1718; Golledge, Nicholas/0000-0001-7676-8970; Weyrich, Laura/0000-0001-5243-4634; Davies, Siwan/0000-0003-0999-7233; Cooper, Alan/0000-0002-7738-7851; Thomas, Zoe/0000-0002-2323-4366</t>
  </si>
  <si>
    <t>Australian Research Council (ARC); Royal Society of New Zealand; Linkage Partner Antarctic Logistics and Expeditions [LP120200724]; Natural Environment Research Council [NE/I027576/1]; Coleg Cymraeg Cenedlaethol; European Research Council; Fulbright Commission [259253]; Japan Society for the Promotion of Science; Ministry of Education, Culture, Sports, Science and Technology [15KK0027, 17H06320]; Australian Climate Change Science Program, an Australian Government Initiative; NERC [NE/I027576/1, bas0100030, NE/H007865/1] Funding Source: UKRI; Grants-in-Aid for Scientific Research [17H06320, 15KK0027] Funding Source: KAKEN; Australian Research Council [LP120200724] Funding Source: Australian Research Council</t>
  </si>
  <si>
    <t>Australian Research Council (ARC)(Australian Research Council); Royal Society of New Zealand(Royal Society of New Zealand); Linkage Partner Antarctic Logistics and Expeditions; Natural Environment Research Council(UK Research &amp; Innovation (UKRI)Natural Environment Research Council (NERC)); Coleg Cymraeg Cenedlaethol; European Research Council(European Research Council (ERC)); Fulbright Commission; Japan Society for the Promotion of Science(Ministry of Education, Culture, Sports, Science and Technology, Japan (MEXT)Japan Society for the Promotion of Science); Ministry of Education, Culture, Sports, Science and Technology(Ministry of Education, Culture, Sports, Science and Technology, Japan (MEXT)); Australian Climate Change Science Program, an Australian Government Initiative(Australian Government); NERC(UK Research &amp; Innovation (UKRI)Natural Environment Research Council (NERC)); Grants-in-Aid for Scientific Research(Ministry of Education, Culture, Sports, Science and Technology, Japan (MEXT)Japan Society for the Promotion of ScienceGrants-in-Aid for Scientific Research (KAKENHI)); Australian Research Council(Australian Research Council)</t>
  </si>
  <si>
    <t>C.S.M.T., C.J.F., M.I.B., A.C., and N.R.G. are supported by their respective Australian Research Council (ARC) and Royal Society of New Zealand fellowships. Fieldwork was undertaken under ARC Linkage Project (LP120200724), supported by Linkage Partner Antarctic Logistics and Expeditions. J.W. and K.W. undertook GPR survey of the Patriot Hills record through the Natural Environment Research Council Project (NE/I027576/1) with logistic field support from the British Antarctic Survey. S.M.D. acknowledges financial support from Coleg Cymraeg Cenedlaethol, the European Research Council, and the Fulbright Commission (259253 and FP7/2007-2013). K.K. was supported by Japan Society for the Promotion of Science and the Ministry of Education, Culture, Sports, Science and Technology's Grants-in-Aid for Scientific Research (15KK0027 and 17H06320). We thank Dr. Chris Hayward and Dr. Gwydion Jones for electron microprobe assistance; Kathryn Lacey and Gareth James for help with preparing the tephra samples; Drs. Nelia Dunbar, Nels Iverson, and Andrei Kurbatov for discussions on the tephra correlations; CSIRO GASLAB personnel for support of gas analysis; Prof. Bill Sturges and Dr. Sam Allin of the Centre for Ocean and Atmospheric Sciences (University of East Anglia, Norwich, UK) for performing the sulfur hexafluoride analyses; Levke Caesar (Potsdam Institute for Climate Impact Research) for preparing the recent trend in SSTs in Fig. 1; Vicki Taylor (British Ocean Sediment Core Research Facility, Southampton, UK) for assistance with marine core sampling; and Dr. Emilie Capron (British Antarctic Survey) for advice on reconstructing early southern LIG temperatures. We thank CSIRO's contribution, which was supported in part by the Australian Climate Change Science Program, an Australian Government Initiative. We also acknowledge Johannes Sutter, Torsten Albrecht, and Jonathan Kingslake for advice and data on their model simulations. We also thank the editor and two anonymous reviewers for their insightful comments that helped improve this manuscript.</t>
  </si>
  <si>
    <t>10.1073/pnas.1902469117</t>
  </si>
  <si>
    <t>KQ2PV</t>
  </si>
  <si>
    <t>Green Published, Green Accepted, hybrid, Green Submitted</t>
  </si>
  <si>
    <t>WOS:000516771500022</t>
  </si>
  <si>
    <t>Dreujou, E; Carrier-Belleau, C; Goldsmit, J; Fiorentino, D; Ben-Harnadou, R; Muelbert, JH; Godbold, JA; Daigle, RM; Beauchesne, D</t>
  </si>
  <si>
    <t>Dreujou, Elliot; Carrier-Belleau, Charlotte; Goldsmit, Jesica; Fiorentino, Dario; Ben-Harnadou, Radhouane; Muelbert, Jose H.; Godbold, Jasmin A.; Daigle, Remi M.; Beauchesne, David</t>
  </si>
  <si>
    <t>Holistic Environmental Approaches and Aichi Biodiversity Targets: accomplishments and perspectives for marine ecosystems</t>
  </si>
  <si>
    <t>PEERJ</t>
  </si>
  <si>
    <t>Marine conservation; Research priorities; Holistic approaches; Strategic plan for biodiversity; Aichi Biodiversity Targets</t>
  </si>
  <si>
    <t>PROTECTED AREAS; COASTAL; CONSERVATION; MANAGEMENT; SERVICES; SCIENCE; FRAMEWORK; NETWORK; IMPACT; FUTURE</t>
  </si>
  <si>
    <t>In order to help safeguard biodiversity from global changes, the Conference of the Parties developed a Strategic Plan for Biodiversity for the period 2011-2020 that included a list of twenty specific objectives known as the Aichi Biodiversity Targets. With the end of that timeframe in sight, and despite major advancements in biodiversity conservation, evidence suggests that the majority of the Targets are unlikely to be met. This article is part of a series of perspective pieces from the 4th World Conference on Marine Biodiversity (May 2018, Montreal, Canada) to identify next steps towards successful biodiversity conservation in marine environments. We specifically reviewed holistic environmental assessment studies (HEA) and their contribution to reaching the Targets. Our analysis was based on multiple environmental approaches which can be considered as holistic, and we discuss how HEA can contribute to the Aichi Biodiversity Targets in the near future. We found that only a few HEA articles considered a specific Biodiversity Target in their research, and that Target 11, which focuses on marine protected areas, was the most commonly cited. We propose five research priorities to enhance HEA for marine biodiversity conservation beyond 2020: (i) expand the use of holistic approaches in environmental assessments, (ii) standardize HEA vocabulary, (iii) enhance data collection, sharing and management, (iv) consider ecosystem spatiotemporal variability and (v) integrate ecosystem services in HEA. The consideration of these priorities will promote the value of HEA and will benefit the Strategic Plan for Biodiversity.</t>
  </si>
  <si>
    <t>[Dreujou, Elliot; Beauchesne, David] Univ Quebec Rimouski, Inst Sci Mer, Rimouski, PQ, Canada; [Dreujou, Elliot; Carrier-Belleau, Charlotte; Goldsmit, Jesica; Daigle, Remi M.] Laval Univ, Dept Biol, Quebec City, PQ, Canada; [Goldsmit, Jesica] Fisheries &amp; Oceans Canada, Maurice Lamontagne Inst, Mont Joli, PQ, Canada; [Fiorentino, Dario] Carl von Ossietzky Univ Oldenburg, Helmholtz Inst Funct Marine Biodivers, Oldenburg, Germany; [Fiorentino, Dario] Alfred Wagner Inst, Helmholtz Ctr Polar &amp; Marine Res, Bremerhaven, Germany; [Ben-Harnadou, Radhouane] Qatar Univ, Coll Arts &amp; Sci, Dept Biol &amp; Environm Sci, Doha, Qatar; [Muelbert, Jose H.] Univ Fed Rio Grande, Inst Oceanog, Rio Grande, Brazil; [Muelbert, Jose H.] Univ Tasmania, Inst Marine &amp; Antarctic Sci, Hobart, Tas, Australia; [Godbold, Jasmin A.] Univ Southampton, Natl Oceanog Ctr, Sch Ocean &amp; Earth Sci, Southampton, Hants, England</t>
  </si>
  <si>
    <t>University of Quebec; Universite du Quebec a Rimouski; Laval University; Fisheries &amp; Oceans Canada; Carl von Ossietzky Universitat Oldenburg; Helmholtz Association; Alfred Wegener Institute, Helmholtz Centre for Polar &amp; Marine Research; Qatar University; Universidade Federal do Rio Grande; University of Tasmania; University of Southampton; NERC National Oceanography Centre</t>
  </si>
  <si>
    <t>Dreujou, E (corresponding author), Univ Quebec Rimouski, Inst Sci Mer, Rimouski, PQ, Canada.;Dreujou, E (corresponding author), Laval Univ, Dept Biol, Quebec City, PQ, Canada.</t>
  </si>
  <si>
    <t>elliot.dreujou@uqar.ca</t>
  </si>
  <si>
    <t>Beauchesne, David/HHC-3582-2022; Ben-Hamadou, Radhouan/F-8192-2011; Godbold, Jasmin/AAB-2522-2022; Godbold, Jasmin A/F-1577-2012; Muelbert, Jose H/J-5110-2014</t>
  </si>
  <si>
    <t>Ben-Hamadou, Radhouan/0000-0003-2686-5822; Godbold, Jasmin/0000-0001-5558-8188; Beauchesne, David/0000-0002-3590-8161; Dreujou, Elliot/0000-0002-9885-2759; Muelbert, Jose H/0000-0002-2319-2469</t>
  </si>
  <si>
    <t>4th World Conference on Marine Biodiversity; NSERC Canadian Healthy Oceans Network (CHONe); Department of Fisheries and Oceans Canada; INREST</t>
  </si>
  <si>
    <t>This work was supported by the 4th World Conference on Marine Biodiversity, and by the NSERC Canadian Healthy Oceans Network (CHONe) and its Partners: Department of Fisheries and Oceans Canada and INREST (representing the Port of Sept-Iles and City of Sept-Iles). The funders had no role in study design, data collection and analysis, decision to publish, or preparation of the manuscript.</t>
  </si>
  <si>
    <t>PEERJ INC</t>
  </si>
  <si>
    <t>341-345 OLD ST, THIRD FLR, LONDON, EC1V 9LL, ENGLAND</t>
  </si>
  <si>
    <t>2167-8359</t>
  </si>
  <si>
    <t>PeerJ</t>
  </si>
  <si>
    <t>e8171</t>
  </si>
  <si>
    <t>10.7717/peerj.8171</t>
  </si>
  <si>
    <t>KO5GJ</t>
  </si>
  <si>
    <t>WOS:000515577500001</t>
  </si>
  <si>
    <t>Tharaka, K; Benitez-Santana, T; Gunathilaka, BE; Kim, MG; Lee, C; Shin, J; Lee, KJ</t>
  </si>
  <si>
    <t>Tharaka, Kasun; Benitez-Santana, Tibiabin; Gunathilaka, Buddhi E.; Kim, Min-Gi; Lee, Chorong; Shin, Jaehyeong; Lee, Kyeong-Jun</t>
  </si>
  <si>
    <t>Evaluation of Antarctic krill (Euphausia superba) meal supplementation in diets for olive flounder (Paralichthys olivaceus)</t>
  </si>
  <si>
    <t>AQUACULTURE RESEARCH</t>
  </si>
  <si>
    <t>digestibility; Edwardsiella tarda; growth performance; innate immunity; krill meal; low fish meal diet; olive flounder</t>
  </si>
  <si>
    <t>SALMON SALMO-SALAR; COD GADUS-MORHUA; BREAM SPARUS-AURATA; FISH-MEAL; ATLANTIC SALMON; GROWTH-PERFORMANCE; RAINBOW-TROUT; CHEMICAL-COMPOSITION; INNATE IMMUNITY; PLANT-PROTEINS</t>
  </si>
  <si>
    <t>The supplemental effect of Antarctic krill meal (KM) into a low fish meal (FM) diet was evaluated for olive flounder (Paralichthys olivaceus). A 56% FM-based diet was regarded as a high FM inclusion diet (HFM), and a low-FM diet (LFM) was prepared by replacing 50% FM from the HFM. Four other diets were prepared by supplementing 3%, 6%, 9% and 12% KM into the LFM diet gradually replacing soy protein concentrate and tankage meal (designated as KM3, KM6, KM9 and KM12 respectively). Quadruplicate groups of fish were fed one of the diets for 12 weeks. The growth performance and feed utilization efficiency were improved by the dietary KM supplementation. Digestibility of dietary protein and dry matter was increased by the KM3-9 diets. Haematocrit and haemoglobin were increased by KM supplementation. The innate immunity and antioxidant capacity assessed by Ig, antiprotease, lysozyme, GPx and SOD and the condition factor of fish were significantly increased by KM3-9 diets. Moreover, goblet cell counts, villi length and fillet yield of fish were significantly improved by all the KM-containing diets (KM3-12). A 25-day-long challenge test with the Edwardsiella tarda pathogen showed that the cumulative mortality was higher in fish fed the LFM diet than in fish fed the HFM or KM-supplemented diets. The results indicate that dietary KM supplementation in a LFM diet can increase growth performance and feed utilization efficiency, diet digestibility, intestinal development and functions, innate immunity and disease resistance of olive flounder. The recommended level of KM inclusion in a LFM diet seems to be 6.6% according to quadratic regression analysis.</t>
  </si>
  <si>
    <t>[Tharaka, Kasun; Gunathilaka, Buddhi E.; Kim, Min-Gi; Lee, Chorong; Shin, Jaehyeong; Lee, Kyeong-Jun] Jeju Natl Univ, Dept Marine Life Sci, Jeju 63243, South Korea; [Benitez-Santana, Tibiabin] Aker Biomarine AS, Lysaker, Norway; [Lee, Kyeong-Jun] Jeju Natl Univ, Marine Sci Inst, Jeju, South Korea</t>
  </si>
  <si>
    <t>Jeju National University; Jeju National University</t>
  </si>
  <si>
    <t>Lee, KJ (corresponding author), Jeju Natl Univ, Dept Marine Life Sci, Jeju 63243, South Korea.</t>
  </si>
  <si>
    <t>kjlee@jejunu.ac.kr</t>
  </si>
  <si>
    <t>Lee, Chorong/0000-0002-4876-4742; J, Kasun Tharaka/0000-0003-0960-5287; Gunathilaka, Galinnawaththe Lekamalage Buddhi Eranga/0000-0002-0654-9980</t>
  </si>
  <si>
    <t>Jeju National University; Aker Biomarine AS</t>
  </si>
  <si>
    <t>1355-557X</t>
  </si>
  <si>
    <t>1365-2109</t>
  </si>
  <si>
    <t>AQUAC RES</t>
  </si>
  <si>
    <t>Aquac. Res.</t>
  </si>
  <si>
    <t>10.1111/are.14573</t>
  </si>
  <si>
    <t>LL6UI</t>
  </si>
  <si>
    <t>WOS:000515408400001</t>
  </si>
  <si>
    <t>St Germaine, T; Ade, PAR; Ahmed, Z; Amiri, M; Barkats, D; Thakur, RB; Bischoff, CA; Bock, JJ; Boenish, H; Bullock, E; Buza, V; Cheshire, J; Connors, J; Cornelison, J; Crumrine, M; Cukierman, A; Dierickx, M; Duband, L; Fatigoni, S; Filippini, JP; Fliescher, S; Grayson, JA; Hall, G; Halpern, M; Harrison, S; Hildebrandt, SR; Hilton, GC; Hui, H; Irwin, KD; Kang, J; Karkare, KS; Karpel, E; Kefeli, S; Kernasovskiy, SA; Kovac, JM; Kuo, CL; Lau, K; Leitch, EM; Megerian, KG; Moncelsi, L; Namikawa, T; Netterfield, CB; Nguyen, HT; O'Brient, R; Ogburn, RW; Palladino, S; Pryke, C; Racine, B; Reintsema, CD; Richter, S; Schillaci, A; Schwarz, R; Sheehy, CD; Soliman, A; Steinbach, B; Sudiwala, RV; Thompson, KL; Tolan, JE; Tucker, C; Turner, AD; Umiltà, C; Vieregg, AG; Wandui, A; Weber, AC; Wiebe, DV; Willmert, J; Wong, CL; Wu, WLK; Yang, E; Yoon, KW; Young, E; Yu, C; Zhang, C</t>
  </si>
  <si>
    <t>St Germaine, T.; Ade, P. A. R.; Ahmed, Z.; Amiri, M.; Barkats, D.; Thakur, R. Basu; Bischoff, C. A.; Bock, J. J.; Boenish, H.; Bullock, E.; Buza, V; Cheshire, J.; Connors, J.; Cornelison, J.; Crumrine, M.; Cukierman, A.; Dierickx, M.; Duband, L.; Fatigoni, S.; Filippini, J. P.; Fliescher, S.; Grayson, J. A.; Hall, G.; Halpern, M.; Harrison, S.; Hildebrandt, S. R.; Hilton, G. C.; Hui, H.; Irwin, K. D.; Kang, J.; Karkare, K. S.; Karpel, E.; Kefeli, S.; Kernasovskiy, S. A.; Kovac, J. M.; Kuo, C. L.; Lau, K.; Leitch, E. M.; Megerian, K. G.; Moncelsi, L.; Namikawa, T.; Netterfield, C. B.; Nguyen, H. T.; O'Brient, R.; Ogburn, R. W.; Palladino, S.; Pryke, C.; Racine, B.; Reintsema, C. D.; Richter, S.; Schillaci, A.; Schwarz, R.; Sheehy, C. D.; Soliman, A.; Steinbach, B.; Sudiwala, R., V; Thompson, K. L.; Tolan, J. E.; Tucker, C.; Turner, A. D.; Umilta, C.; Vieregg, A. G.; Wandui, A.; Weber, A. C.; Wiebe, D., V; Willmert, J.; Wong, C. L.; Wu, W. L. K.; Yang, E.; Yoon, K. W.; Young, E.; Yu, C.; Zhang, C.</t>
  </si>
  <si>
    <t>Optical Characterization of the Keck Array and BICEP3 CMB Polarimeters from 2016 to 2019</t>
  </si>
  <si>
    <t>JOURNAL OF LOW TEMPERATURE PHYSICS</t>
  </si>
  <si>
    <t>Cosmic microwave background; Inflation; Polarization; Transition-edge sensor; Keck Array; BICEP3</t>
  </si>
  <si>
    <t>The BICEP/Keck experiment (BK) is a series of small-aperture refracting telescopes observing degree-scale cosmic microwave background (CMB) polarization from the South Pole in search of a primordial B-mode signature. This B-mode signal arises from primordial gravitational waves interacting with the CMB and has amplitude parametrized by the tensor-to-scalar ratio r. Since 2016, BICEP3 and the Keck Array have been observing with 4800 total antenna-coupled transition-edge sensor detectors, with frequency bands spanning 95, 150, 220, and 270 GHz. Here we present the optical performance of these receivers from 2016 to 2019, including far-field beams measured in situ with an improved chopped thermal source and instrument spectral response measured with a field-deployable Fourier transform spectrometer. As a pair differencing experiment, an important systematic that must be controlled is the differential beam response between the co-located, orthogonally polarized detectors. We generate per-detector far-field beam maps and the corresponding differential beam mismatch that is used to estimate the temperature-to-polarization leakage in our CMB maps and to give feedback on detector and optics fabrication. The differential beam parameters presented here were estimated using improved low-level beam map analysis techniques, including efficient removal of non-Gaussian noise as well as improved spatial masking. These techniques help minimize systematic uncertainty in the beam analysis, with the goal of constraining the bias on r induced by temperature-to-polarization leakage to be subdominant to the statistical uncertainty. This is essential as we progress to higher detector counts in the next generation of CMB experiments.</t>
  </si>
  <si>
    <t>[St Germaine, T.; Barkats, D.; Boenish, H.; Buza, V; Connors, J.; Cornelison, J.; Dierickx, M.; Hall, G.; Harrison, S.; Karkare, K. S.; Kovac, J. M.; Racine, B.; Richter, S.; Wong, C. L.] Harvard Smithsonian Ctr Astrophys, 60 Garden St, Cambridge, MA 02138 USA; [Ade, P. A. R.; Sudiwala, R., V; Tucker, C.] Cardiff Univ, Sch Phys &amp; Astron, Cardiff CF24 3AA, Wales; [Ahmed, Z.; Cukierman, A.; Irwin, K. D.; Yang, E.] SLAC Natl Accelerator Lab, Kavli Inst Particle Astrophys &amp; Cosmol, 2575 Sand Hill Rd, Menlo Pk, CA 94025 USA; [Ahmed, Z.; Cukierman, A.; Grayson, J. A.; Irwin, K. D.; Kang, J.; Karpel, E.; Kernasovskiy, S. A.; Kuo, C. L.; Ogburn, R. W.; Thompson, K. L.; Tolan, J. E.; Yang, E.; Yoon, K. W.; Young, E.; Yu, C.] Stanford Univ, Dept Phys, Stanford, CA 94305 USA; [Amiri, M.; Fatigoni, S.; Halpern, M.; Wiebe, D., V] Univ British Columbia, Dept Phys &amp; Astron, Vancouver, BC V6T 1Z1, Canada; [Thakur, R. Basu; Bock, J. J.; Hui, H.; Kefeli, S.; Moncelsi, L.; Nguyen, H. T.; O'Brient, R.; Schillaci, A.; Soliman, A.; Steinbach, B.; Wandui, A.; Zhang, C.] CALTECH, Dept Phys, Pasadena, CA 91125 USA; [Bischoff, C. A.; Palladino, S.; Umilta, C.] Univ Cincinnati, Dept Phys, Cincinnati, OH 45221 USA; [Bock, J. J.; Hildebrandt, S. R.; Megerian, K. G.; Nguyen, H. T.; O'Brient, R.; Turner, A. D.; Weber, A. C.] Jet Prop Lab, Pasadena, CA 91109 USA; [Bullock, E.; Cheshire, J.; Crumrine, M.; Fliescher, S.; Hall, G.; Lau, K.; Pryke, C.; Schwarz, R.; Willmert, J.] Univ Minnesota, Minnesota Inst Astrophys, Minneapolis, MN 55455 USA; [Duband, L.] Commissariat Energie Atom, Serv Basses Temp, F-38054 Grenoble, France; [Filippini, J. P.] Univ Illinois, Dept Phys, Urbana, IL 61801 USA; [Filippini, J. P.] Univ Illinois, Dept Astron, Urbana, IL 61801 USA; [Hilton, G. C.; Reintsema, C. D.] NIST, Boulder, CO 80305 USA; [Karkare, K. S.; Leitch, E. M.; Vieregg, A. G.; Wu, W. L. K.] Univ Chicago, Kavli Inst Cosmol Phys, Chicago, IL 60637 USA; [Namikawa, T.] Univ Cambridge, Dept Appl Math &amp; Theoret Phys, Wilberforce Rd, Cambridge CB3 0WA, England; [Netterfield, C. B.] Univ Toronto, Dept Phys, Toronto, ON M5S 1A7, Canada; [Netterfield, C. B.] Canadian Inst Adv Res, Toronto, ON M5G 1Z8, Canada; [Sheehy, C. D.] Brookhaven Natl Lab, Dept Phys, Upton, NY 11973 USA</t>
  </si>
  <si>
    <t>Smithsonian Institution; Harvard University; Smithsonian Astrophysical Observatory; Cardiff University; Stanford University; United States Department of Energy (DOE); SLAC National Accelerator Laboratory; Stanford University; University of British Columbia; California Institute of Technology; University System of Ohio; University of Cincinnati; National Aeronautics &amp; Space Administration (NASA); NASA Jet Propulsion Laboratory (JPL); University of Minnesota System; University of Minnesota Twin Cities; CEA; Communaute Universite Grenoble Alpes; Universite Grenoble Alpes (UGA); University of Illinois System; University of Illinois Urbana-Champaign; University of Illinois System; University of Illinois Urbana-Champaign; National Institute of Standards &amp; Technology (NIST) - USA; University of Chicago; University of Cambridge; University of Toronto; Canadian Institute for Advanced Research (CIFAR); United States Department of Energy (DOE); Brookhaven National Laboratory</t>
  </si>
  <si>
    <t>St Germaine, T (corresponding author), Harvard Smithsonian Ctr Astrophys, 60 Garden St, Cambridge, MA 02138 USA.</t>
  </si>
  <si>
    <t>stgermaine@g.harvard.edu</t>
  </si>
  <si>
    <t>Nguyễn, Hương/JUV-6128-2023; Chen, Shuo/JEO-6350-2023; Moncelsi, Lorenzo/AAU-1009-2020; sun, huan/JEO-7152-2023; Nguyen, H.T/AAG-1974-2021</t>
  </si>
  <si>
    <t>Moncelsi, Lorenzo/0000-0002-4242-3015; Nguyen, H.T/0000-0001-5580-2877; Hui, Howard/0000-0001-5812-1903; Dierickx, Marion/0000-0002-3519-8593; Tucker, Carole/0000-0002-1851-3918; Ahmed, Zeeshan/0000-0002-9957-448X; Namikawa, Toshiya/0000-0003-3070-9240; Hildebrandt, Sergi/0000-0003-0220-0009; Irwin, Kent/0000-0002-2998-9743; Kang, Jae Hwan/0000-0002-3470-2954; Lau, King/0000-0002-6445-2407; Kovac, John/0009-0003-5432-7180; Cheshire, James/0000-0002-1630-7854; Schillaci, Alessandro/0000-0002-0512-1042</t>
  </si>
  <si>
    <t>National Science Foundation [0742818, 0742592, 1044978, 1110087, 1145172, 1145143, 1145248, 1639040, 1638957, 1638978, 1638970, 1726917]; Gordon and Betty Moore Foundation; Keck Foundation; John Templeton Foundation [55802]; JPL Research and Technology Development Fund; NASA [06-ARPA206-0040, 10-SAT10-0017, 12-SAT12-0031, 14-SAT14-0009, 16-SAT16-0002]; Gordon and Betty Moore Foundation at Caltech; Canada Foundation for Innovation grant; FAS Science Division Research Computing Group at Harvard University; U.S. DoE Office of Science; STFC [ST/S00033X/1] Funding Source: UKRI</t>
  </si>
  <si>
    <t>National Science Foundation(National Science Foundation (NSF)); Gordon and Betty Moore Foundation(Gordon and Betty Moore Foundation); Keck Foundation(W.M. Keck Foundation); John Templeton Foundation; JPL Research and Technology Development Fund; NASA(National Aeronautics &amp; Space Administration (NASA)); Gordon and Betty Moore Foundation at Caltech(Gordon and Betty Moore Foundation); Canada Foundation for Innovation grant(Canada Foundation for Innovation); FAS Science Division Research Computing Group at Harvard University; U.S. DoE Office of Science(United States Department of Energy (DOE)); STFC(UK Research &amp; Innovation (UKRI)Science &amp; Technology Facilities Council (STFC))</t>
  </si>
  <si>
    <t>The BICEP/Keck projects have been made possible through a series of Grants from the National Science Foundation including 0742818, 0742592, 1044978, 1110087, 1145172, 1145143, 1145248, 1639040, 1638957, 1638978, 1638970, and 1726917, by the Gordon and Betty Moore Foundation, by the Keck Foundation, and by the Grant 55802 from John Templeton Foundation. The development of antenna-coupled detector technology was supported by the JPL Research and Technology Development Fund and NASA Grants 06-ARPA206-0040, 10-SAT10-0017, 12-SAT12-0031, 14-SAT14-0009 and 16-SAT16-0002.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We thank all those who have contributed past efforts to the BICEP/Keck series of experiments, including the Bicep1 team. Tireless administrative support was provided by Kathy Deniston, Sheri Stoll, Irene Coyle, Donna Hernandez, Dana Volponi, and Julie Shih.</t>
  </si>
  <si>
    <t>SPRINGER/PLENUM PUBLISHERS</t>
  </si>
  <si>
    <t>233 SPRING ST, NEW YORK, NY 10013 USA</t>
  </si>
  <si>
    <t>0022-2291</t>
  </si>
  <si>
    <t>1573-7357</t>
  </si>
  <si>
    <t>J LOW TEMP PHYS</t>
  </si>
  <si>
    <t>J. Low Temp. Phys.</t>
  </si>
  <si>
    <t>10.1007/s10909-020-02392-8</t>
  </si>
  <si>
    <t>Physics, Applied; Physics, Condensed Matter</t>
  </si>
  <si>
    <t>Physics</t>
  </si>
  <si>
    <t>LL9UX</t>
  </si>
  <si>
    <t>Green Submitted, Green Accepted</t>
  </si>
  <si>
    <t>WOS:000516400800006</t>
  </si>
  <si>
    <t>Zhang, C; Ade, PAR; Ahmed, Z; Amiri, M; Barkats, D; Thakur, RB; Bischoff, CA; Bock, JJ; Boenish, H; Bullock, E; Buza, V; Cheshire, J; Connors, J; Cornelison, J; Crumrine, M; Cukierman, A; Dierickx, M; Duband, L; Fatigoni, S; Filippini, JP; Hall, G; Halpern, M; Harrison, S; Henderson, S; Hildebrandt, SR; Hilton, GC; Hui, H; Irwin, KD; Kang, J; Karkare, KS; Karpel, E; Kefeli, S; Kovac, JM; Kuo, CL; Lau, K; Megerian, KG; Moncelsi, L; Namikawa, T; Nguyen, HT; O'Brient, R; Palladino, S; Precup, N; Prouvé, T; Pryke, C; Racine, B; Reintsema, CD; Richter, S; Schillaci, A; Schmitt, B; Schwarz, R; Sheehy, CD; Soliman, A; St Germaine, T; Steinbach, B; Sudiwala, RV; Thompson, KL; Tucker, C; Turner, AD; Umiltà, C; Vieregg, AG; Wandui, A; Weber, AC; Wiebe, DV; Willmert, J; Wu, WLK; Yang, E; Yoon, KW; Young, E; Yu, C</t>
  </si>
  <si>
    <t>Zhang, C.; Ade, P. A. R.; Ahmed, Z.; Amiri, M.; Barkats, D.; Thakur, R. Basu; Bischoff, C. A.; Bock, J. J.; Boenish, H.; Bullock, E.; Buza, V; Cheshire, J.; Connors, J.; Cornelison, J.; Crumrine, M.; Cukierman, A.; Dierickx, M.; Duband, L.; Fatigoni, S.; Filippini, J. P.; Hall, G.; Halpern, M.; Harrison, S.; Henderson, S.; Hildebrandt, S. R.; Hilton, G. C.; Hui, H.; Irwin, K. D.; Kang, J.; Karkare, K. S.; Karpel, E.; Kefeli, S.; Kovac, J. M.; Kuo, C. L.; Lau, K.; Megerian, K. G.; Moncelsi, L.; Namikawa, T.; Nguyen, H. T.; O'Brient, R.; Palladino, S.; Precup, N.; Prouve, T.; Pryke, C.; Racine, B.; Reintsema, C. D.; Richter, S.; Schillaci, A.; Schmitt, B.; Schwarz, R.; Sheehy, C. D.; Soliman, A.; St Germaine, T.; Steinbach, B.; Sudiwala, R., V; Thompson, K. L.; Tucker, C.; Turner, A. D.; Umilta, C.; Vieregg, A. G.; Wandui, A.; Weber, A. C.; Wiebe, D., V; Willmert, J.; Wu, W. L. K.; Yang, E.; Yoon, K. W.; Young, E.; Yu, C.</t>
  </si>
  <si>
    <t>Characterizing the Sensitivity of 40 GHz TES Bolometers for BICEP Array</t>
  </si>
  <si>
    <t>Cosmology; B-Mode polarization; Inflation; CMB; TES</t>
  </si>
  <si>
    <t>The BICEP/Keck (BK) experiment aims to detect the imprint of primordial gravitational waves in the cosmic microwave background polarization, which would be direct evidence of the inflation theory. While the tensor-to-scalar ratio has been constrained to be r(0.05) &lt; 0.06 at 95% c.l., further improvements on this upper limit are hindered by polarized galactic foreground emissions and removal of gravitational lensing polarization. The 30/40 GHz receiver of the BICEP Array (BA) will deploy at the end of 2019 and will constrain the synchrotron foreground with unprecedented accuracy within the BK sky patch. We will show the design of the 30/40 GHz detectors and test results summarizing its performance. The low optical and atmospheric loading at these frequencies requires our TES detectors to have low saturation power in order to be photon noise dominated. To realize the low thermal conductivity required from a 250 mK base temperature, we developed new bolometer leg designs. We will present the relevant measured detector parameters: G, T-c, R-n, P-sat, and spectral bands, and noise spectra. We achieved a per bolometer NEP including all noise components of 2.07x10(-17) W/root Hz, including an anticipated photon noise level 1.54x10(-17) W/root Hz.</t>
  </si>
  <si>
    <t>[Zhang, C.; Thakur, R. Basu; Bock, J. J.; Hui, H.; Kefeli, S.; Moncelsi, L.; O'Brient, R.; Schillaci, A.; Soliman, A.; Steinbach, B.; Wandui, A.] CALTECH, Dept Phys, Pasadena, CA 91125 USA; [Ade, P. A. R.; Sudiwala, R., V; Tucker, C.] Cardiff Univ, Sch Phys &amp; Astron, Cardiff CF24 3AA, Wales; [Ahmed, Z.; Henderson, S.; Irwin, K. D.; Kuo, C. L.; Thompson, K. L.] SLAC Natl Accelerator Lab, Kavli Inst Particle Astrophys &amp; Cosmol, 2575 Sand Hill Rd, Menlo Pk, CA 94025 USA; [Ahmed, Z.; Cukierman, A.; Henderson, S.; Irwin, K. D.; Kang, J.; Karpel, E.; Kuo, C. L.; Thompson, K. L.; Yang, E.; Yoon, K. W.; Young, E.; Yu, C.] Stanford Univ, Dept Phys, Stanford, CA 94305 USA; [Amiri, M.; Fatigoni, S.; Halpern, M.; Wiebe, D., V] Univ British Columbia, Dept Phys &amp; Astron, Vancouver, BC V6T 1Z1, Canada; [Barkats, D.; Boenish, H.; Buza, V; Connors, J.; Cornelison, J.; Dierickx, M.; Harrison, S.; Karkare, K. S.; Kovac, J. M.; Racine, B.; Richter, S.; Schmitt, B.; Schwarz, R.; St Germaine, T.] Harvard Smithsonian Ctr Astrophys, 60 Garden St, Cambridge, MA 02138 USA; [Bischoff, C. A.; Palladino, S.; Umilta, C.] Univ Cincinnati, Dept Phys, Cincinnati, OH 45221 USA; [Bock, J. J.; Hildebrandt, S. R.; Megerian, K. G.; Nguyen, H. T.; O'Brient, R.; Turner, A. D.; Weber, A. C.] Jet Prop Lab, Pasadena, CA 91109 USA; [Bullock, E.; Cheshire, J.; Crumrine, M.; Hall, G.; Lau, K.; Precup, N.; Pryke, C.; Willmert, J.] Univ Minnesota, Minnesota Inst Astrophys, Minneapolis, MN 55455 USA; [Duband, L.; Prouve, T.] Commissariat Energie Atom, Serv Basses Temp, F-38054 Grenoble, France; [Filippini, J. P.] Univ Illinois, Dept Phys, Urbana, IL 61801 USA; [Filippini, J. P.] Univ Illinois, Dept Astron, Urbana, IL 61801 USA; [Hilton, G. C.; Reintsema, C. D.] NIST, Boulder, CO 80305 USA; [Karkare, K. S.; Vieregg, A. G.; Wu, W. L. K.] Univ Chicago, Kavli Inst Cosmol Phys, Chicago, IL 60637 USA; [Namikawa, T.] Univ Cambridge, Dept Appl Math &amp; Theoret Phys, Wilberforce Rd, Cambridge CB3 0WA, England; [Sheehy, C. D.] Brookhaven Natl Lab, Dept Phys, Upton, NY 11973 USA</t>
  </si>
  <si>
    <t>California Institute of Technology; Cardiff University; Stanford University; United States Department of Energy (DOE); SLAC National Accelerator Laboratory; Stanford University; University of British Columbia; Harvard University; Smithsonian Institution; Smithsonian Astrophysical Observatory; University System of Ohio; University of Cincinnati; National Aeronautics &amp; Space Administration (NASA); NASA Jet Propulsion Laboratory (JPL); University of Minnesota System; University of Minnesota Twin Cities; CEA; Communaute Universite Grenoble Alpes; Universite Grenoble Alpes (UGA); University of Illinois System; University of Illinois Urbana-Champaign; University of Illinois System; University of Illinois Urbana-Champaign; National Institute of Standards &amp; Technology (NIST) - USA; University of Chicago; University of Cambridge; United States Department of Energy (DOE); Brookhaven National Laboratory</t>
  </si>
  <si>
    <t>Zhang, C (corresponding author), CALTECH, Dept Phys, Pasadena, CA 91125 USA.</t>
  </si>
  <si>
    <t>czzhang@caltech.edu</t>
  </si>
  <si>
    <t>Nguyễn, Hương/JUV-6128-2023; Nguyen, H.T/AAG-1974-2021; sun, huan/JEO-7152-2023; Moncelsi, Lorenzo/AAU-1009-2020; Chen, Shuo/JEO-6350-2023</t>
  </si>
  <si>
    <t>Nguyen, H.T/0000-0001-5580-2877; Moncelsi, Lorenzo/0000-0002-4242-3015; Namikawa, Toshiya/0000-0003-3070-9240; Kovac, John/0009-0003-5432-7180; Hui, Howard/0000-0001-5812-1903; Dierickx, Marion/0000-0002-3519-8593; Tucker, Carole/0000-0002-1851-3918; Lau, King/0000-0002-6445-2407; Schillaci, Alessandro/0000-0002-0512-1042; Irwin, Kent/0000-0002-2998-9743; Kang, Jae Hwan/0000-0002-3470-2954; Ahmed, Zeeshan/0000-0002-9957-448X; Cheshire, James/0000-0002-1630-7854; Hildebrandt, Sergi/0000-0003-0220-0009</t>
  </si>
  <si>
    <t>National Science Foundation [0742818, 0742592, 1044978, 1110087, 1145172, 1145143, 1145248, 1639040, 1638957, 1638978, 1638970, 1726917]; Keck Foundation; JPL Research and Technology Development Fund; NASA [06-ARPA206-0040, 10-SAT10-0017, 12-SAT12-0031, 14-SAT-140009, 16-SAT16-0002]; Gordon and Betty Moore Foundation at Caltech; Canada Foundation for Innovation grant; FAS Science Division Research Computing Group at Harvard University; U.S. DoE Office of Science; STFC [ST/S00033X/1] Funding Source: UKRI</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</si>
  <si>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 grant(Canada Foundation for Innovation); FAS Science Division Research Computing Group at Harvard University; U.S. DoE Office of Science(United States Department of Energy (DOE)); STFC(UK Research &amp; Innovation (UKRI)Science &amp; Technology Facilities Council (STFC))</t>
  </si>
  <si>
    <t>The BICEP/Keck project have been made possible through a series of grants from the National Science Foundation including 0742818, 0742592, 1044978, 1110087, 1145172, 1145143, 1145248, 1639040, 1638957, 1638978, 1638970, and 1726917 and by the Keck Foundation. The development of antenna-coupled detector technology was supported by the JPL Research and Technology Development Fund and NASA Grants 06-ARPA206-0040, 10-SAT10-0017, 12-SAT12-0031, 14-SAT-140009 and 16-SAT16-0002.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Tireless administrative support was provided by Kathy Deniston, Sheri Stoll, Irene Coyle, Donna Hernandez, and Dana Volponi.</t>
  </si>
  <si>
    <t>10.1007/s10909-020-02411-8</t>
  </si>
  <si>
    <t>Green Accepted, Green Submitted</t>
  </si>
  <si>
    <t>WOS:000516400800011</t>
  </si>
  <si>
    <t>Soliman, A; Ade, PAR; Ahmed, Z; Amiri, M; Barkats, D; Thakur, RB; Bischoff, CA; Bock, JJ; Boenish, H; Bullock, E; Buza, V; Cheshire, J; Connors, J; Cornelison, J; Crumrine, M; Cukierman, A; Dierickx, M; Duband, L; Fatigoni, S; Filippini, JP; Hall, G; Halpern, M; Harrison, S; Henderson, S; Hildebrandt, SR; Hilton, GC; Hui, H; Irwin, KD; Kang, J; Karkare, KS; Karpel, E; Kefeli, S; Kovac, JM; Kuo, CL; Lau, K; Megerian, KG; Moncelsi, L; Namikawa, T; Nguyen, HT; O'Brient, R; Palladino, S; Prouve, T; Precup, N; Pryke, C; Racine, B; Reintsema, CD; Richter, S; Schmitt, B; Schwarz, R; Sheehy, CD; Schillaci, A; St Germaine, T; Steinbach, B; Sudiwala, RV; Thompson, KL; Tucker, C; Turner, AD; Umiltà, C; Vieregg, AG; Wandui, A; Weber, AC; Wiebe, DV; Willmert, J; Wu, WLK; Yang, E; Yoon, KW; Young, E; Yu, C; Zhang, C</t>
  </si>
  <si>
    <t>Soliman, A.; Ade, P. A. R.; Ahmed, Z.; Amiri, M.; Barkats, D.; Thakur, R. Basu; Bischoff, C. A.; Bock, J. J.; Boenish, H.; Bullock, E.; Buza, V; Cheshire, J.; Connors, J.; Cornelison, J.; Crumrine, M.; Cukierman, A.; Dierickx, M.; Duband, L.; Fatigoni, S.; Filippini, J. P.; Hall, G.; Halpern, M.; Harrison, S.; Henderson, S.; Hildebrandt, S. R.; Hilton, G. C.; Hui, H.; Irwin, K. D.; Kang, J.; Karkare, K. S.; Karpel, E.; Kefeli, S.; Kovac, J. M.; Kuo, C. L.; Lau, K.; Megerian, K. G.; Moncelsi, L.; Namikawa, T.; Nguyen, H. T.; O'Brient, R.; Palladino, S.; Prouve, T.; Precup, N.; Pryke, C.; Racine, B.; Reintsema, C. D.; Richter, S.; Schmitt, B.; Schwarz, R.; Sheehy, C. D.; Schillaci, A.; St Germaine, T.; Steinbach, B.; Sudiwala, R., V; Thompson, K. L.; Tucker, C.; Turner, A. D.; Umilta, C.; Vieregg, A. G.; Wandui, A.; Weber, A. C.; Wiebe, D., V; Willmert, J.; Wu, W. L. K.; Yang, E.; Yoon, K. W.; Young, E.; Yu, C.; Zhang, C.</t>
  </si>
  <si>
    <t>Optical Design and Characterization of 40-GHz Detector and Module for the BICEP Array</t>
  </si>
  <si>
    <t>BICEP array; Cosmology; Inflation; CMB; Antennas; Detectors; Polarization</t>
  </si>
  <si>
    <t>Families of cosmic inflation models predict a primordial gravitational-wave background that imprints B-mode polarization pattern in the cosmic microwave background (CMB). High-sensitivity instruments with wide frequency coverage and well-controlled systematic errors are needed to constrain the faint B-mode amplitude. We have developed antenna-coupled transition edge sensor arrays for high-sensitivity polarized CMB observations over a wide range of millimeter-wave bands. BICEP array, the latest phase of the BICEP/Keck experiment series, is a multi-receiver experiment designed to search for inflationary B-mode polarization to a precision sigma(r) between 0.002 and 0.004 after 3 full years of observations, depending on foreground complexity and the degree of lensing removal. We describe the electromagnetic design and measured performance of BICEP array's low-frequency 40-GHz detector, their packaging in focal plane modules, and optical characterization including efficiency and beam matching between polarization pairs. We summarize the design and simulated optical performance, including an approach to improve the optical efficiency due to mismatch losses. We report the measured beam maps for a new broadband corrugation design to minimize beam differential ellipticity between polarization pairs caused by interactions with the module housing frame, which helps minimize polarized beam mismatch that converts CMB temperature to polarization (T -&gt; P) anisotropy in CMB maps.</t>
  </si>
  <si>
    <t>[Soliman, A.; Thakur, R. Basu; Bock, J. J.; Hui, H.; Kefeli, S.; Moncelsi, L.; O'Brient, R.; Schillaci, A.; Steinbach, B.; Wandui, A.; Zhang, C.] CALTECH, Dept Phys, Pasadena, CA 91125 USA; [Ade, P. A. R.; Sudiwala, R., V; Tucker, C.] Cardiff Univ, Sch Phys &amp; Astron, Cardiff CF24 3AA, Wales; [Ahmed, Z.; Henderson, S.; Irwin, K. D.; Kuo, C. L.; Thompson, K. L.] SLAC Natl Accelerator Lab, Kavli Inst Particle Astrophys &amp; Cosmol, 2575 Sand Hill Rd, Menlo Pk, CA 94025 USA; [Ahmed, Z.; Cukierman, A.; Henderson, S.; Irwin, K. D.; Kang, J.; Karpel, E.; Kuo, C. L.; Thompson, K. L.; Yang, E.; Yoon, K. W.; Young, E.; Yu, C.] Stanford Univ, Dept Phys, Stanford, CA 94305 USA; [Amiri, M.; Fatigoni, S.; Halpern, M.; Wiebe, D., V] Univ British Columbia, Dept Phys &amp; Astron, Vancouver, BC V6T 1Z1, Canada; [Barkats, D.; Boenish, H.; Buza, V; Connors, J.; Cornelison, J.; Dierickx, M.; Harrison, S.; Karkare, K. S.; Kovac, J. M.; Racine, B.; Richter, S.; Schmitt, B.; Schwarz, R.; St Germaine, T.] Harvard Smithsonian Ctr Astrophys, 60 Garden St, Cambridge, MA 02138 USA; [Bischoff, C. A.; Palladino, S.; Umilta, C.] Univ Cincinnati, Dept Phys, Cincinnati, OH 45221 USA; [Bock, J. J.; Hildebrandt, S. R.; Megerian, K. G.; Nguyen, H. T.; O'Brient, R.; Turner, A. D.; Weber, A. C.] Jet Prop Lab, Pasadena, CA 91109 USA; [Bullock, E.; Cheshire, J.; Crumrine, M.; Hall, G.; Lau, K.; Precup, N.; Pryke, C.; Willmert, J.] Univ Minnesota, Minnesota Inst Astrophys, Minneapolis, MN 55455 USA; [Duband, L.; Prouve, T.] Commissariat Energie Atom, Serv Basses Temp, F-38054 Grenoble, France; [Filippini, J. P.] Univ Illinois, Dept Phys, Urbana, IL 61801 USA; [Filippini, J. P.] Univ Illinois, Dept Astron, Urbana, IL 61801 USA; [Hilton, G. C.; Irwin, K. D.; Reintsema, C. D.] NIST, Boulder, CO 80305 USA; [Karkare, K. S.; Vieregg, A. G.; Wu, W. L. K.] Univ Chicago, Kavli Inst Cosmol Phys, Chicago, IL 60637 USA; [Namikawa, T.] Natl Taiwan Univ, Leung Ctr Cosmol &amp; Particle Astrophys, Taipei 10617, Taiwan; [Sheehy, C. D.] Brookhaven Natl Lab, Dept Phys, Upton, NY 11973 USA</t>
  </si>
  <si>
    <t>California Institute of Technology; Cardiff University; Stanford University; United States Department of Energy (DOE); SLAC National Accelerator Laboratory; Stanford University; University of British Columbia; Smithsonian Institution; Smithsonian Astrophysical Observatory; Harvard University; University System of Ohio; University of Cincinnati; National Aeronautics &amp; Space Administration (NASA); NASA Jet Propulsion Laboratory (JPL); University of Minnesota System; University of Minnesota Twin Cities; CEA; Communaute Universite Grenoble Alpes; Universite Grenoble Alpes (UGA); University of Illinois System; University of Illinois Urbana-Champaign; University of Illinois System; University of Illinois Urbana-Champaign; National Institute of Standards &amp; Technology (NIST) - USA; University of Chicago; National Taiwan University; United States Department of Energy (DOE); Brookhaven National Laboratory</t>
  </si>
  <si>
    <t>Soliman, A (corresponding author), CALTECH, Dept Phys, Pasadena, CA 91125 USA.</t>
  </si>
  <si>
    <t>asoliman@caltech.edu</t>
  </si>
  <si>
    <t>Nguyen, H.T/AAG-1974-2021; sun, huan/JEO-7152-2023; Moncelsi, Lorenzo/AAU-1009-2020; Chen, Shuo/JEO-6350-2023; Nguyễn, Hương/JUV-6128-2023</t>
  </si>
  <si>
    <t>Nguyen, H.T/0000-0001-5580-2877; Moncelsi, Lorenzo/0000-0002-4242-3015; Dierickx, Marion/0000-0002-3519-8593; Hildebrandt, Sergi/0000-0003-0220-0009; Namikawa, Toshiya/0000-0003-3070-9240; Ahmed, Zeeshan/0000-0002-9957-448X; Lau, King/0000-0002-6445-2407; Cheshire, James/0000-0002-1630-7854; Schillaci, Alessandro/0000-0002-0512-1042; Irwin, Kent/0000-0002-2998-9743; Kovac, John/0009-0003-5432-7180; Zhang, Cheng/0000-0001-8288-5823; Tucker, Carole/0000-0002-1851-3918; Kang, Jae Hwan/0000-0002-3470-2954; Hui, Howard/0000-0001-5812-1903</t>
  </si>
  <si>
    <t>National Science Foundation [0742818, 0742592, 1044978, 1110087, 1145172, 1145143, 1145248, 1639040, 1638957, 1638978, 1638970, 1726917]; JPL Research and Technology Development Fund; NASA [06-ARPA206-0040, 10-SAT10-0017, 12-SAT12-0031, 14-SAT14-0009, 16SAT16-0002]; Gordon and Betty Moore Foundation at Caltech; Canada Foundation for Innovation grant; FAS Science Division Research Computing Group at Harvard University; US DoE Office of Science; Keck Foundation; STFC [ST/S00033X/1] Funding Source: UKRI</t>
  </si>
  <si>
    <t>National Science Foundation(National Science Foundation (NSF)); JPL Research and Technology Development Fund; NASA(National Aeronautics &amp; Space Administration (NASA)); Gordon and Betty Moore Foundation at Caltech(Gordon and Betty Moore Foundation); Canada Foundation for Innovation grant(Canada Foundation for Innovation); FAS Science Division Research Computing Group at Harvard University; US DoE Office of Science(United States Department of Energy (DOE)); Keck Foundation(W.M. Keck Foundation); STFC(UK Research &amp; Innovation (UKRI)Science &amp; Technology Facilities Council (STFC))</t>
  </si>
  <si>
    <t>The BICEP/Keck project has been made possible through a series of grants from the National Science Foundation including 0742818, 0742592, 1044978, 1110087, 1145172, 1145143, 1145248, 1639040, 1638957, 1638978, 1638970,&amp; 1726917 and by theKeck Foundation. The development of antenna-coupled detector technology was supported by the JPL Research and Technology Development Fund and NASA Grants 06-ARPA206-0040, 10-SAT10-0017, 12-SAT12-0031, 14-SAT14-0009 &amp; 16SAT16-0002.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Tireless administrative support was provided by Kathy Deniston, Sheri Stoll, Irene Coyle, Donna Hernandez, and Dana Volponi.</t>
  </si>
  <si>
    <t>10.1007/s10909-019-02299-z</t>
  </si>
  <si>
    <t>WOS:000516400800007</t>
  </si>
  <si>
    <t>Chapman, CC; Lea, MA; Meyer, A; Sallée, JB; Hindell, M</t>
  </si>
  <si>
    <t>Chapman, Christopher C.; Lea, Mary-Anne; Meyer, Amelie; Sallee, Jean-Baptiste; Hindell, Mark</t>
  </si>
  <si>
    <t>Defining Southern Ocean fronts and their influence on biological and physical processes in a changing climate</t>
  </si>
  <si>
    <t>NATURE CLIMATE CHANGE</t>
  </si>
  <si>
    <t>ANTARCTIC CIRCUMPOLAR CURRENT; POLAR FRONT; OCEANOGRAPHIC FEATURES; SPATIAL-DISTRIBUTION; MESOSCALE EDDIES; ELEPHANT SEALS; KING PENGUINS; FUR SEALS; VARIABILITY; KERGUELEN</t>
  </si>
  <si>
    <t>The Southern Ocean is a critical component of the global climate system and an important ecoregion that contains a diverse range of interdependent flora and fauna. It also hosts numerous fronts: sharp boundaries between waters with different characteristics. As they strongly influence exchanges between the ocean, atmosphere and cryosphere, fronts are of fundamental importance to the climate system. However, rapid advances in physical oceanography over the past 20 years have challenged previous definitions of fronts and their response to anthropogenic climate change. Here we review the implications of this recent research for the study of climate, ecology and biology in the Southern Ocean. We include a frontal definition 'user's guide' to clarify the current debate and aid in future research. Ocean fronts and other hydrographic features are important for climate and ecology. This Review discussed fronts in the Southern Ocean, their detection and response to climate change, alongside the implications for studying the biology of the region.</t>
  </si>
  <si>
    <t>[Chapman, Christopher C.] CSIRO Oceans &amp; Atmosphere, Hobart, Tas, Australia; [Lea, Mary-Anne; Meyer, Amelie; Hindell, Mark] Univ Tasmania, Inst Marine &amp; Antarctic Studies, Hobart, Tas, Australia; [Meyer, Amelie] Univ Tasmania, Australian Res Council, Ctr Excellence Climate Extremes, Hobart, Tas, Australia; [Sallee, Jean-Baptiste] Sorbonne Univ, CNRS, LOCEAN, Paris, France</t>
  </si>
  <si>
    <t>Commonwealth Scientific &amp; Industrial Research Organisation (CSIRO); University of Tasmania; University of Tasmania; Museum National d'Histoire Naturelle (MNHN); Centre National de la Recherche Scientifique (CNRS); Sorbonne Universite</t>
  </si>
  <si>
    <t>Chapman, CC (corresponding author), CSIRO Oceans &amp; Atmosphere, Hobart, Tas, Australia.</t>
  </si>
  <si>
    <t>chris.chapman@csiro.au</t>
  </si>
  <si>
    <t>Chapman, Christopher/AAV-2844-2021; Hindell, Mark A/K-1131-2013; SALLEE, Jean baptiste/HDO-5355-2022; Lea, Mary-Anne/E-9054-2013; SALLEE, Jean baptiste/A-5837-2010</t>
  </si>
  <si>
    <t>Chapman, Christopher/0000-0002-0877-4778; Lea, Mary-Anne/0000-0001-8318-9299; Hindell, Mark/0000-0002-7823-7185; Meyer, Amelie/0000-0003-0447-795X; SALLEE, Jean baptiste/0000-0002-6109-5176</t>
  </si>
  <si>
    <t>CSIRO Decadal Climate Forecasting Project; Earth Systems and Climate Change Hub of the Australian Government's National Environmental Science Program; ARC Centre of Excellence for Climate Extremes [CE170100023]; European Research Council (ERC) under the European Union's Horizon 2020 research and innovation programme [637770]</t>
  </si>
  <si>
    <t>CSIRO Decadal Climate Forecasting Project; Earth Systems and Climate Change Hub of the Australian Government's National Environmental Science Program; ARC Centre of Excellence for Climate Extremes; European Research Council (ERC) under the European Union's Horizon 2020 research and innovation programme(European Research Council (ERC))</t>
  </si>
  <si>
    <t>C.C.C. received funding through the CSIRO Decadal Climate Forecasting Project and the Earth Systems and Climate Change Hub of the Australian Government's National Environmental Science Program. A.M. acknowledges support from the ARC Centre of Excellence for Climate Extremes (CE170100023). The Ssalto/Duacs altimeter products were produced and distributed by the Copernicus Marine and Environment Monitoring Service (CMEMS) (http://www.marine.copernicus.eu).J.-B.S.received funding from the European Research Council (ERC) under the European Union's Horizon 2020 research and innovation programme (grant agreement 637770).</t>
  </si>
  <si>
    <t>1758-678X</t>
  </si>
  <si>
    <t>1758-6798</t>
  </si>
  <si>
    <t>NAT CLIM CHANGE</t>
  </si>
  <si>
    <t>Nat. Clim. Chang.</t>
  </si>
  <si>
    <t>10.1038/s41558-020-0705-4</t>
  </si>
  <si>
    <t>Environmental Sciences; Environmental Studies; Meteorology &amp; Atmospheric Sciences</t>
  </si>
  <si>
    <t>KU1MC</t>
  </si>
  <si>
    <t>WOS:000515477200003</t>
  </si>
  <si>
    <t>Clemente-Moreno, MJ; Omranian, N; Sáez, PL; Figueroa, CM; Del-Saz, N; Elso, M; Poblete, L; Orf, I; Cuadros-Inostroza, A; Cavieres, LA; Bravo, L; Fernie, AR; Ribas-Carbó, M; Flexas, J; Nikoloski, Z; Brotman, Y; Gago, J</t>
  </si>
  <si>
    <t>Clemente-Moreno, Maria Jose; Omranian, Nooshin; Saez, Patricia L.; Figueroa, Carlos Maria; Del-Saz, Nestor; Elso, Mhartyn; Poblete, Leticia; Orf, Isabel; Cuadros-Inostroza, Alvaro; Cavieres, Lohengrin A.; Bravo, Leon; Fernie, Alisdair R.; Ribas-Carbo, Miquel; Flexas, Jaume; Nikoloski, Zoran; Brotman, Yariv; Gago, Jorge</t>
  </si>
  <si>
    <t>Low-temperature tolerance of the Antarctic species Deschampsia antarctica: A complex metabolic response associated with nutrient remobilization</t>
  </si>
  <si>
    <t>PLANT CELL AND ENVIRONMENT</t>
  </si>
  <si>
    <t>membrane stabilization; nutrient mobilization; osmoprotection; photosynthesis; primary metabolism; stress antioxidant response</t>
  </si>
  <si>
    <t>MESOPHYLL DIFFUSION CONDUCTANCE; APOPLASTIC ANTIOXIDANT SYSTEM; COLD-ACCLIMATION; COLOBANTHUS-QUITENSIS; FREEZING TOLERANCE; VASCULAR PLANTS; INTERNAL CONDUCTANCE; ARABIDOPSIS-THALIANA; CO2 ASSIMILATION; HIGH LIGHT</t>
  </si>
  <si>
    <t>The species Deschampsia antarctica (DA) is one of the only two native vascular species that live in Antarctica. We performed ecophysiological, biochemical, and metabolomic studies to investigate the responses of DA to low temperature. In parallel, we assessed the responses in a non-Antarctic reference species (Triticum aestivum [TA]) from the same family (Poaceae). At low temperature (4 degrees C), both species showed lower photosynthetic rates (reductions were 70% and 80% for DA and TA, respectively) and symptoms of oxidative stress but opposite responses of antioxidant enzymes (peroxidases and catalase). We employed fused least absolute shrinkage and selection operator statistical modelling to associate the species-dependent physiological and antioxidant responses to primary metabolism. Model results for DA indicated associations with osmoprotection, cell wall remodelling, membrane stabilization, and antioxidant secondary metabolism (synthesis of flavonols and phenylpropanoids), coordinated with nutrient mobilization from source to sink tissues (confirmed by elemental analysis), which were not observed in TA. The metabolic behaviour of DA, with significant changes in particular metabolites, was compared with a newly compiled multispecies dataset showing a general accumulation of metabolites in response to low temperatures. Altogether, the responses displayed by DA suggest a compromise between catabolism and maintenance of leaf functionality.</t>
  </si>
  <si>
    <t>[Clemente-Moreno, Maria Jose; Ribas-Carbo, Miquel; Flexas, Jaume; Gago, Jorge] Univ Illes Balears, Inst Agroecol &amp; Econ Agua INAGEA, Res Grp Plant Biol Mediterranean Condit, Cta Valldemossa Km 7,5, Palma De Mallorca, Spain; [Omranian, Nooshin; Nikoloski, Zoran] Max Planck Inst Mol Pflanzenphysiol, Syst Biol &amp; Math Modeling Grp, D-14476 Potsdam, Germany; [Omranian, Nooshin; Nikoloski, Zoran] Univ Potsdam, Inst Biochem &amp; Biol, Bioinformat, D-14476 Potsdam, Germany; [Saez, Patricia L.; Elso, Mhartyn; Poblete, Leticia] Univ Concepcion, Fac Ciencias Forestales, Dept Silvicultura, Lab Cultivo Tejidos Vegetales,Ctr Biotecnol, Concepcion, Chile; [Figueroa, Carlos Maria] UNL, CONICET, FBCB, Inst Agrobiotecnol Litoral, Santa Fe, Argentina; [Del-Saz, Nestor] Univ Concepcion, Fac Ciencias Nat &amp; Oceanog, Dept Bot, Lab Fisiol Vegetal, Concepcion, Chile; [Orf, Isabel; Brotman, Yariv] Ben Gurion Univ Negev, Dept Life Sci, Beer Sheva, Israel; [Cuadros-Inostroza, Alvaro] Metasysx GmbH, Potsdam, Germany; [Cavieres, Lohengrin A.] Univ Concepcion, Fac Ciencias Nat &amp; Oceanog, Dept Bot, ECOBIOSIS, Concepcion, Chile; [Cavieres, Lohengrin A.] IEB, Concepcion, Chile; [Bravo, Leon] Univ La Frontera, Lab Fisiol &amp; Biol Mol Vegetal, Dept Cs Agron &amp; Recursos Nat, Fac Cs Agr &amp; Forestales,Inst Agroind, Temuco, Chile; [Bravo, Leon] Univ La Frontera, Sci &amp; Technol Bioresource Nucleus, Ctr Plant Soil Interact &amp; Nat Resources Biotechno, Temuco, Chile; [Fernie, Alisdair R.] Max Planck Inst Mol Pflanzenphysiol, Dept Mol Physiol, Cent Metab Grp, Potsdam, Germany; [Nikoloski, Zoran] Ctr Plant Syst Biol &amp; Biotechnol, Plovdiv, Bulgaria</t>
  </si>
  <si>
    <t>Universitat de les Illes Balears; Max Planck Society; University of Potsdam; Universidad de Concepcion; Consejo Nacional de Investigaciones Cientificas y Tecnicas (CONICET); National University of the Littoral; Universidad de Concepcion; Ben Gurion University; Universidad de Concepcion; Universidad de La Frontera; Universidad de La Frontera; Max Planck Society</t>
  </si>
  <si>
    <t>Gago, J (corresponding author), Univ Illes Balears, Inst Agroecol &amp; Econ Agua INAGEA, Res Grp Plant Biol Mediterranean Condit, Cta Valldemossa Km 7,5, Palma De Mallorca, Spain.</t>
  </si>
  <si>
    <t>xurxogago@gmail.com</t>
  </si>
  <si>
    <t>Flexas, Jaume/C-1898-2012; Bravo, León/AAO-8437-2020; omranian, nooshin/F-1233-2011; Gago, Jorge/N-3591-2013; Clemente-Moreno, Maria Jose/G-5339-2011; Del-Saz, Néstor Fernández/JBR-8224-2023; Del-Saz, Néstor Fernández/C-4425-2018; fernie, alisdair/IWD-9278-2023; Ribas-Carbo, Miquel/N-1634-2013; Cavieres, Lohengrin A./A-9542-2010</t>
  </si>
  <si>
    <t>Bravo, León/0000-0003-4705-4842; Clemente-Moreno, Maria Jose/0000-0003-3288-6312; Del-Saz, Néstor Fernández/0000-0002-9934-2427; Cavieres, Lohengrin A./0000-0001-9122-3020; Orf, Isabel/0000-0002-7224-9134; Figueroa, Carlos Maria/0000-0003-4047-0480</t>
  </si>
  <si>
    <t>REDES-CONICYT [170102]; Horizon 2020 Framework Programme; Fondo Nacional de Desarrollo Cientifico y Tecnologico [11130332]; Max-PlanckGesellschaft; European Regional Development Fund; Ministerio de Economia y Competitividad [CTM2014-53902-C2-1-P]; NEXER-UFRO [NXR17-002]</t>
  </si>
  <si>
    <t>REDES-CONICYT; Horizon 2020 Framework Programme(Horizon 2020); Fondo Nacional de Desarrollo Cientifico y Tecnologico(Comision Nacional de Investigacion Cientifica y Tecnologica (CONICYT)CONICYT FONDECYT); Max-PlanckGesellschaft(Max Planck Society); European Regional Development Fund(European Union (EU)); Ministerio de Economia y Competitividad(Spanish Government); NEXER-UFRO</t>
  </si>
  <si>
    <t>REDES-CONICYT 170102; Horizon 2020 Framework Programme; NEXER-UFRO, Grant/Award Number: NXR17-002; Fondo Nacional de Desarrollo Cientifico y Tecnologico, Grant/Award Number: 11130332; Max-PlanckGesellschaft; European Regional Development Fund; Ministerio de Economia y Competitividad, Grant/Award Number: CTM2014-53902-C2-1-P</t>
  </si>
  <si>
    <t>0140-7791</t>
  </si>
  <si>
    <t>1365-3040</t>
  </si>
  <si>
    <t>PLANT CELL ENVIRON</t>
  </si>
  <si>
    <t>Plant Cell Environ.</t>
  </si>
  <si>
    <t>10.1111/pce.13737</t>
  </si>
  <si>
    <t>Plant Sciences</t>
  </si>
  <si>
    <t>LR7DH</t>
  </si>
  <si>
    <t>WOS:000515311300001</t>
  </si>
  <si>
    <t>Jones, KA; Ratcliffe, N; Votier, SC; Newton, J; Forcada, J; Dickens, J; Stowasser, G; Staniland, IJ</t>
  </si>
  <si>
    <t>Jones, Kayleigh A.; Ratcliffe, Norman; Votier, Stephen C.; Newton, Jason; Forcada, Jaume; Dickens, John; Stowasser, Gabriele; Staniland, Iain J.</t>
  </si>
  <si>
    <t>Intra-specific Niche Partitioning in Antarctic Fur Seals, Arctocephalus gazella</t>
  </si>
  <si>
    <t>SEXUAL SEGREGATION; STABLE-ISOTOPES; FORAGING STRATEGIES; BODY-SIZE; INTRASPECIFIC COMPETITION; INDIVIDUAL SPECIALIZATION; PLANKTON DELTA-C-13; PREY SELECTION; SOUTH GEORGIA; POPULATION</t>
  </si>
  <si>
    <t>Competition for resources within a population can lead to niche partitioning between sexes, throughout ontogeny and among individuals, allowing con-specifics to co-exist. We aimed to quantify such partitioning in Antarctic fur seals, Arctocephalus gazella, breeding at South Georgia, which hosts similar to 95% of the world's population. Whiskers were collected from 20 adult males and 20 adult females and stable isotope ratios were quantified every 5 mm along the length of each whisker. Nitrogen isotope ratios (delta N-15) were used as proxies for trophic position and carbon isotope ratios (delta C-13) indicated foraging habitat. Sexual segregation was evident: delta C-13 values were significantly lower in males than females, indicating males spent more time foraging south of the Polar Front in maritime Antarctica. In males delta C-13 values declined with age, suggesting males spent more time foraging south throughout ontogeny. In females delta C-13 values revealed two main foraging strategies: 70% of females spent most time foraging south of the Polar Front and had similar delta N-15 values to males, while 30% of females spent most time foraging north of the Polar Front and had significantly higher delta N-15 values. This niche partitioning may relax competition and ultimately elevate population carrying capacity with implications for ecology, evolution and conservation.</t>
  </si>
  <si>
    <t>[Jones, Kayleigh A.; Ratcliffe, Norman; Forcada, Jaume; Dickens, John; Stowasser, Gabriele; Staniland, Iain J.] British Antarctic Survey, Cambridge, England; [Votier, Stephen C.] Univ Exeter, Exeter, Devon, England; [Newton, Jason] Scottish Univ Environm Res Ctr, E Kilbride, Lanark, Scotland</t>
  </si>
  <si>
    <t>UK Research &amp; Innovation (UKRI); Natural Environment Research Council (NERC); NERC British Antarctic Survey; University of Exeter; Scottish Universities Research &amp; Reactor Center</t>
  </si>
  <si>
    <t>Jones, KA (corresponding author), British Antarctic Survey, Cambridge, England.</t>
  </si>
  <si>
    <t>kaynes85@bas.ac.uk</t>
  </si>
  <si>
    <t>Votier, Stephen/IUO-0154-2023; Newton, Jason/A-9536-2009; Staniland, Iain/I-4725-2012; Forcada, Jaume/GYU-0677-2022</t>
  </si>
  <si>
    <t>Votier, Stephen/0000-0002-0976-0167; Newton, Jason/0000-0001-7594-3693; Staniland, Iain/0000-0003-2736-9134; Jones, Kayleigh/0000-0001-9509-5185</t>
  </si>
  <si>
    <t>Natural Environment Research Council (NERC) Capability Fund; NERC Life Sciences Mass Spectrometry Facility; NERC Great Western Four+ Doctoral Training Partnership (GW4+ DTP) [NE/L002434/1]; NERC [bas0100035] Funding Source: UKRI</t>
  </si>
  <si>
    <t>Natural Environment Research Council (NERC) Capability Fund(UK Research &amp; Innovation (UKRI)Natural Environment Research Council (NERC)); NERC Life Sciences Mass Spectrometry Facility; NERC Great Western Four+ Doctoral Training Partnership (GW4+ DTP); NERC(UK Research &amp; Innovation (UKRI)Natural Environment Research Council (NERC))</t>
  </si>
  <si>
    <t>We sincerely thank Dr Emily Humble and James Robbins for their help collecting Antarctic fur seal whiskers at Bird Island, South Georgia, during the 2016-2017 breeding season. We also thank Oliver Thomas for his contribution aging male Antarctic fur seal teeth and Dr Rona McGill for her support while running whisker samples through the Isotope Ratio Mass Spectrometer at the Scottish Universities Environmental Research Centre. This project was led by the British Antarctic Survey and supported by the Natural Environment Research Council (NERC) Capability Fund, the NERC Life Sciences Mass Spectrometry Facility, and the NERC Great Western Four+ Doctoral Training Partnership (GW4+ DTP, NE/L002434/1).</t>
  </si>
  <si>
    <t>FEB 24</t>
  </si>
  <si>
    <t>10.1038/s41598-020-59992-3</t>
  </si>
  <si>
    <t>NF4LC</t>
  </si>
  <si>
    <t>Green Accepted, Green Published, gold</t>
  </si>
  <si>
    <t>WOS:000563268400013</t>
  </si>
  <si>
    <t>Krock, B; Schloss, IR; Trefault, N; Tillmann, U; Hernando, M; Deregibus, D; Antoni, J; Almandoz, GO; Hoppenrath, M</t>
  </si>
  <si>
    <t>Krock, Bernd; Schloss, Irene R.; Trefault, Nicole; Tillmann, Urban; Hernando, Marcelo; Deregibus, Dolores; Antoni, Julieta; Almandoz, Gaston O.; Hoppenrath, Mona</t>
  </si>
  <si>
    <t>Detection of the phycotoxin pectenotoxin-2 in waters around King George Island, Antarctica</t>
  </si>
  <si>
    <t>Protistan plankton community; Dinoflagellates; Phycotoxin; Liquid chromatography-tandem mass spectrometry (LC-MS; MS); Solid phase adsorption toxins tracking (SPATT); Harmful algae bloom (HAB)</t>
  </si>
  <si>
    <t>HARMFUL ALGAL BLOOMS; PHYTOPLANKTON COMMUNITY; LIQUID-CHROMATOGRAPHY; DINOPHYSIS TOXINS; PASSIVE SAMPLERS; MONITORING TOOL; CLIMATE-CHANGE; POTTER COVE; FOOD-WEB; PENINSULA</t>
  </si>
  <si>
    <t>In order to set a base line for the observation of planktonic community changes due to global change, protistan plankton sampling in combination with phycotoxin measurements and solid phase adsorption toxin tracking (SPATT) was performed in two bays of King George Island (KGI) in January 2013 and 2014. In addition, SPATT sampling was performed in Potter Cove during a one-year period from January 2014 until January 2015. Known toxigenic taxa were not firmly identified in plankton samples but there was microscopical evidence for background level presence of Dinophysis spp. in the area. This was consistent with environmental conditions during the sampling periods, especially strong mixing of the water column and low water temperatures that do not favor dinoflagellate proliferations. Due to the lack of significant abundance of thecate toxigenic dinoflagellate species in microplankton samples, no phycotoxins were found in net tow samples. In contrast, SPATT sampling revealed the presence of dissolved pectenotoxin-2 (PTX-2) and its hydrolyzed form PTX-2 seco acid in both bays and during the entire one-year sampling period. The presence of dissolved PTX in coastal waters of KGI is strong new evidence for the presence of PTX-producing species, i.e., dinoflagellates of the genus Dinophysis in the area. The presence of phycotoxins and their respective producers, even at the low background concentrations found in this study, may be the seed of possible proliferations of these species under changing environmental conditions. Furthermore, phycotoxins can be used as chemotaxonomic markers for a very specific group of plankton thus allowing to track the presence of this group over time.</t>
  </si>
  <si>
    <t>[Krock, Bernd; Tillmann, Urban] Helmholtz Zentrum Polar &amp; Meeresforsch AWI, Alfred Wegener Inst, Handelshafen 12, D-27570 Bremerhaven, Germany; [Schloss, Irene R.; Deregibus, Dolores] Inst Antartico Argentino, 25 Mayo 1143,B1650KNA, San Martin, Buenos Aires, Argentina; [Schloss, Irene R.] Ctr Austral Invest Cient CADIC CONICET, Bernardo Houssay 200,V9410CAB, Ushuaia, Tierra Del Fueg, Argentina; [Schloss, Irene R.] Univ Nacl Tierra del Fuego, Fuegia Basket 251,V9410CAB, Ushuaia, Argentina; [Trefault, Nicole] Univ Mayor, Fac Ciencias, Ctr GEMA Genom Ecol &amp; Medio Ambiente, Camino La Piramide 5750, Santiago, Chile; [Hernando, Marcelo] Comis Nacl Energia Atom, Dept Radiobiol, Av Gen Paz 1499,B1650KNA, San Martin, Buenos Aires, Argentina; [Antoni, Julieta; Almandoz, Gaston O.] Univ Nacl La Plata, Fac Ciencias Nat &amp; Museo, Div Ficol, Paseo Bosque S-N,B1900FWA, La Plata, Argentina; [Deregibus, Dolores; Antoni, Julieta; Almandoz, Gaston O.] Consejo Nacl Invest Cient &amp; Tecn, Godoy Cruz 2290,C1425FQB, Buenos Aires, DF, Argentina; [Hoppenrath, Mona] DZMB, Senckenberg Meer, Sudstrand 44, D-26382 Wilhelmshaven, Germany</t>
  </si>
  <si>
    <t>Helmholtz Association; Alfred Wegener Institute, Helmholtz Centre for Polar &amp; Marine Research; Instituto Antartico Argentino; Consejo Nacional de Investigaciones Cientificas y Tecnicas (CONICET); Universidad Mayor; Comision Nacional de Energia Atomica (CNEA); National University of La Plata; Museo La Plata; Consejo Nacional de Investigaciones Cientificas y Tecnicas (CONICET); Senckenberg Gesellschaft fur Naturforschung (SGN)</t>
  </si>
  <si>
    <t>Krock, B (corresponding author), Helmholtz Zentrum Polar &amp; Meeresforsch AWI, Alfred Wegener Inst, Handelshafen 12, D-27570 Bremerhaven, Germany.</t>
  </si>
  <si>
    <t>bernd.krock@awi.de</t>
  </si>
  <si>
    <t>Krock, Bernd/ABB-7541-2020</t>
  </si>
  <si>
    <t>Almandoz, Gaston O./0000-0001-7931-582X</t>
  </si>
  <si>
    <t>Helm-holtz-Gemeinschaft Deutscher Forschungszentren through the research program PACES of the Alfred Wegener Institut-Helmholtz Zentrum fur Polar-und Meeresforschung; European Commission [319718]; International Cooperation Program (PCI) from CONICYT-FONDECYT [2011-504/BMBF, CHL 11/011 (01DN12102)]; CONICYT-FONDECYT [11121554, 1190879]</t>
  </si>
  <si>
    <t>Helm-holtz-Gemeinschaft Deutscher Forschungszentren through the research program PACES of the Alfred Wegener Institut-Helmholtz Zentrum fur Polar-und Meeresforschung; European Commission(European Union (EU)European Commission Joint Research Centre); International Cooperation Program (PCI) from CONICYT-FONDECYT; CONICYT-FONDECYT(Comision Nacional de Investigacion Cientifica y Tecnologica (CONICYT)CONICYT FONDECYT)</t>
  </si>
  <si>
    <t>This work was partially financed by the Helm-holtz-Gemeinschaft Deutscher Forschungszentren through the research program PACES of the Alfred Wegener Institut-Helmholtz Zentrum fur Polar-und Meeresforschung and by the European Commission under the 7th Framework Programme through the Action-IMCONet (FP7 IRSES, Action No. 319718), the International Cooperation Program (PCI) from CONICYT-FONDECYT through the Exchange Projects CONICYT-BMBF 2011 call (CONICYT Grant No. 2011-504/BMBF Grant No. CHL 11/011 (01DN12102)), and by CONICYT-FONDECYT Grants Nos. 11121554 and 1190879. The authors thank Prof. Rodrigo de la Iglesia (Pontificia Universidad Catolica de Chile) for providing the photograph of Dinophysis norvegica, Prof. Fang Peng (Great Wall Station) for SPATT deployment, the Instituto Antartico Chileno-INACH, the logistic personnel at Profesor Julio Escudero research station, the Instituto Antartico Argentino-Direccion Nacional del Antartico, the logistic and diving groups of Carlini Station for their technical assistance during the Antarctic expeditions and Annegret Muller, AWI for sample processing during the field campaign 2014 and toxin measurents.</t>
  </si>
  <si>
    <t>10.1007/s00300-020-02628-z</t>
  </si>
  <si>
    <t>hybrid, Green Published, Green Submitted</t>
  </si>
  <si>
    <t>WOS:000516432100001</t>
  </si>
  <si>
    <t>Gilbert, E; Orr, A; King, JC; Renfrew, IA; Lachlan-Cope, T; Field, PF; Boutle, IA</t>
  </si>
  <si>
    <t>Gilbert, E.; Orr, A.; King, J. C.; Renfrew, I. A.; Lachlan-Cope, T.; Field, P. F.; Boutle, I. A.</t>
  </si>
  <si>
    <t>Summertime cloud phase strongly influences surface melting on the Larsen C ice shelf, Antarctica</t>
  </si>
  <si>
    <t>QUARTERLY JOURNAL OF THE ROYAL METEOROLOGICAL SOCIETY</t>
  </si>
  <si>
    <t>Antarctic Peninsula; cloud phase; Larsen C ice shelf; regional climate modelling; surface energy balance; surface melt</t>
  </si>
  <si>
    <t>SUPERCOOLED LIQUID WATER; POLAR WEATHER RESEARCH; MIXED-PHASE; SOUTHERN-OCEAN; ENERGY BALANCE; CLIMATE MODEL; PENINSULA; RADIATION; MICROPHYSICS; PRECIPITATION</t>
  </si>
  <si>
    <t>Surface melting on Antarctic Peninsula ice shelves can influence ice shelf mass balance, and consequently sea level rise. We show that summertime cloud phase on the Larsen C ice shelf on the Antarctic Peninsula strongly influences the amount of radiation received at the surface and can determine whether or not melting occurs. While previous work has separately evaluated cloud phase and the surface energy balance (SEB) during summertime over Larsen C, no previous studies have examined this relationship quantitatively. Furthermore, regional climate models frequently produce surface radiation biases related to cloud ice and liquid water content. This study uses a high-resolution regional configuration of the UK Met Office Unified Model (MetUM) to assess the influence of cloud ice and liquid properties on the SEB, and consequently melting, over the Larsen C ice shelf. Results from a case-study show that simulations producing a vertical cloud phase structure more comparable to aircraft observations exhibit smaller surface radiative biases. A configuration of the MetUM adapted to improve the simulation of cloud phase reproduces the observed surface melt most closely. During a five-week simulation of summertime conditions, model melt biases are reduced to &lt;2 W center dot m(-2): a four-fold improvement on a previous study that used default MetUM settings. This demonstrates the importance of cloud phase in determining summertime melt rates on Larsen C.</t>
  </si>
  <si>
    <t>[Gilbert, E.; Orr, A.; King, J. C.; Lachlan-Cope, T.] British Antarctic Survey, Madingley Rd, Cambridge CB3 0ET, England; [Gilbert, E.; Renfrew, I. A.] Univ East Anglia, Sch Environm Sci, Norwich, Norfolk, England; [Field, P. F.; Boutle, I. A.] Met Off, Exeter, Devon, England; [Field, P. F.] Univ Leeds, Leeds, W Yorkshire, England</t>
  </si>
  <si>
    <t>UK Research &amp; Innovation (UKRI); Natural Environment Research Council (NERC); NERC British Antarctic Survey; University of East Anglia; Met Office - UK; University of Leeds</t>
  </si>
  <si>
    <t>Gilbert, E (corresponding author), British Antarctic Survey, Madingley Rd, Cambridge CB3 0ET, England.</t>
  </si>
  <si>
    <t>ellgil82@bas.ac.uk</t>
  </si>
  <si>
    <t>Renfrew, Ian A/E-4057-2010; Boutle, Ian/J-8887-2012</t>
  </si>
  <si>
    <t>Gilbert, Ella/0000-0001-5272-8894; Renfrew, Ian/0000-0001-9379-8215</t>
  </si>
  <si>
    <t>Natural Environment Research Council [NE/L002582]; NERC [bas0100032, NE/K01305X/1] Funding Source: UKRI</t>
  </si>
  <si>
    <t>Natural Environment Research Council, NE/L002582</t>
  </si>
  <si>
    <t>0035-9009</t>
  </si>
  <si>
    <t>1477-870X</t>
  </si>
  <si>
    <t>Q J ROY METEOR SOC</t>
  </si>
  <si>
    <t>Q. J. R. Meteorol. Soc.</t>
  </si>
  <si>
    <t>10.1002/qj.3753</t>
  </si>
  <si>
    <t>LU7EY</t>
  </si>
  <si>
    <t>WOS:000515061100001</t>
  </si>
  <si>
    <t>Dahlke, S; Hughes, NE; Wagner, PM; Gerland, S; Wawrzyniak, T; Ivanov, B; Maturilli, M</t>
  </si>
  <si>
    <t>Dahlke, Sandro; Hughes, Nicholas E.; Wagner, Penelope M.; Gerland, Sebastian; Wawrzyniak, Tomasz; Ivanov, Boris; Maturilli, Marion</t>
  </si>
  <si>
    <t>The observed recent surface air temperature development across Svalbard and concurring footprints in local sea ice cover</t>
  </si>
  <si>
    <t>Arctic warming; climatology; observations; sea ice; surface meteorology; Svalbard</t>
  </si>
  <si>
    <t>ARCTIC AMPLIFICATION; ATMOSPHERIC CIRCULATION; ATLANTIC WATER; VARIABILITY; THICKNESS; CLIMATE; KONGSFJORDEN; TRENDS; EXTENT; NORTH</t>
  </si>
  <si>
    <t>The Svalbard archipelago in the Arctic North Atlantic is experiencing rapid changes in the surface climate and sea ice distribution, with impacts for the coupled climate system and the local society. This study utilizes observational data of surface air temperature (SAT) from 1980-2016 across the whole Svalbard archipelago, and sea ice extent (SIE) from operational sea ice charts to conduct a systematic assessment of climatologies, long-term changes and regional differences. The proximity to the warm water mass of the West Spitsbergen Current drives a markedly warmer climate in the western coastal regions compared to northern and eastern Svalbard. This imprints on the SIE climatology in southern and western Svalbard, where the annual maxima of 50-60% area ice coverage are substantially less than 80-90% in the northern and eastern fjords. Owing to winter-amplified warming, the local climate is shifting towards more maritime conditions, and SIE reductions of between 5 and 20% per decade in particular regions are found, such that a number of fjords in the west have been virtually ice-free in recent winters. The strongest decline comes along with SAT forcing and occurs over the most recent 1-2 decades in all regions; while in the 1980s and 1990s, enhanced northerly winds and sea ice drift can explain 30-50% of SIE variability around northern Svalbard, where they had correspondingly lead to a SIE increase. With an ongoing warming it is suggested that both the meteorological and cryospheric conditions in eastern Svalbard will become increasingly similar to what is already observed in the western fjords, namely suppressed typical Arctic climate conditions.</t>
  </si>
  <si>
    <t>[Dahlke, Sandro; Maturilli, Marion] Alfred Wegener Inst, Helmholtz Ctr Polar &amp; Marine Res, Telegrafenberg A45-N, D-14473 Potsdam, Germany; [Dahlke, Sandro] Univ Potsdam, Inst Phys &amp; Astron, Potsdam, Germany; [Hughes, Nicholas E.; Wagner, Penelope M.] Norwegian Meteorol Inst, Norwegian Ice Serv, Tromso, Norway; [Gerland, Sebastian] Norwegian Polar Res Inst, Fram Ctr, Tromso, Norway; [Wawrzyniak, Tomasz] Polish Acad Sci, Inst Geophys, Warsaw, Poland; [Ivanov, Boris] Arctic &amp; Antarctic Res Inst, Polar Climate Dept, St Petersburg, Russia; [Ivanov, Boris] St Petersburg State Univ, Oceanog Dept, St Petersburg, Russia</t>
  </si>
  <si>
    <t>Helmholtz Association; Alfred Wegener Institute, Helmholtz Centre for Polar &amp; Marine Research; University of Potsdam; Norwegian Meteorological Institute; Norwegian Polar Institute; Polish Academy of Sciences; Institute of Geophysics of the Polish Academy of Sciences; Arctic &amp; Antarctic Research Institute; Saint Petersburg State University</t>
  </si>
  <si>
    <t>Maturilli, M (corresponding author), Alfred Wegener Inst, Helmholtz Ctr Polar &amp; Marine Res, Telegrafenberg A45-N, D-14473 Potsdam, Germany.</t>
  </si>
  <si>
    <t>marion.maturilli@awi.de</t>
  </si>
  <si>
    <t>Wagner, Penelope Mae/ABQ-4377-2022; amplification, ³ - Arctic/AAU-6640-2020; Wawrzyniak, Tomasz/AAI-7644-2020; Hughes, Nicholas/AAI-1595-2021; Maturilli, Marion/A-4344-2017</t>
  </si>
  <si>
    <t>Wagner, Penelope Mae/0000-0001-5268-4510; Wawrzyniak, Tomasz/0000-0003-3393-753X; Hughes, Nicholas/0000-0002-3510-0656; Maturilli, Marion/0000-0001-6818-7383; Gerland, Sebastian/0000-0002-2295-9867; Dahlke, Sandro/0000-0002-0395-9597</t>
  </si>
  <si>
    <t>Deutsche Forschungsgemeinschaft (DFG, German Research Foundation) [268020496-TRR 172]; Ministry of Science and Higher Education of Poland [3841/E-41/S/2019]; German and Russian Ministries of Research and Education</t>
  </si>
  <si>
    <t>Deutsche Forschungsgemeinschaft (DFG, German Research Foundation)(German Research Foundation (DFG)); Ministry of Science and Higher Education of Poland(Ministry of Science and Higher Education, Poland); German and Russian Ministries of Research and Education</t>
  </si>
  <si>
    <t>We gratefully acknowledge the funding by the Deutsche Forschungsgemeinschaft (DFG, German Research Foundation)-Projektnummer 268020496-TRR 172, within the Transregional Collaborative Research Center ArctiC Amplification: Climate Relevant Atmospheric and SurfaCe Processes, and Feedback Mechanisms (AC)3. Meteorological data are provided by the Norwegian Meteorological Institute (MET Norway), the Institute of Geophysics Polish Academy of Sciences (supported within statutory activities No 3841/E-41/S/2019 of the Ministry of Science and Higher Education of Poland) and the Arctic and Antarctic Research Institute (AARI). The collaboration was supported by the project Quantifying Rapid Climate Change in the Arctic: regional feedbacks and large-scale impacts (QUARCCS) funded by the German and Russian Ministries of Research and Education. The manuscript has benefitted from discussions with Robert Graham, Lana Cohen and Steve Hudson.</t>
  </si>
  <si>
    <t>10.1002/joc.6517</t>
  </si>
  <si>
    <t>NV2PW</t>
  </si>
  <si>
    <t>Green Submitted, hybrid, Green Published</t>
  </si>
  <si>
    <t>WOS:000514939300001</t>
  </si>
  <si>
    <t>Chwedorzewska, KJ; Korczak-Abshire, M; Znój, A</t>
  </si>
  <si>
    <t>Chwedorzewska, Katarzyna J.; Korczak-Abshire, Malgorzata; Znoj, Anna</t>
  </si>
  <si>
    <t>Is Antarctica under threat of alien species invasion?</t>
  </si>
  <si>
    <t>The last decade has seen a rapid development of scientific, logistic and tourist activities, especially in the Antarctic region with the mildest climatic conditions: the Antarctic Peninsula. This region is also exhibiting rapid regional warming and all of the already diagnosed alien species in the Antarctic Treaty Area were found within the Antarctic Peninsula. Identifying potential invasive species that can threaten this pristine area of the Earth helps us to take specific preventive actions.</t>
  </si>
  <si>
    <t>[Chwedorzewska, Katarzyna J.] Warsaw Univ Life Sci SGGW, Nowoursynowska 166, PL-02787 Warsaw, Poland; [Korczak-Abshire, Malgorzata; Znoj, Anna] Polish Acad Sci, Inst Biochem &amp; Biophys, Warsaw, Poland</t>
  </si>
  <si>
    <t>Warsaw University of Life Sciences; Polish Academy of Sciences; Institute of Biochemistry &amp; Biophysics - Polish Academy of Sciences</t>
  </si>
  <si>
    <t>Chwedorzewska, KJ (corresponding author), Warsaw Univ Life Sci SGGW, Nowoursynowska 166, PL-02787 Warsaw, Poland.</t>
  </si>
  <si>
    <t>kchwedorzewska@go2.pl</t>
  </si>
  <si>
    <t>Znój, Anna/AAX-3819-2021; Korczak-Abshire, Malgorzata/AAA-1563-2020; Chwedorzewska, Katarzyna/M-9721-2019; Chwedorzewska, Katarzyna J/A-9480-2008</t>
  </si>
  <si>
    <t>Znój, Anna/0000-0002-8424-6707; Korczak-Abshire, Malgorzata/0000-0001-7695-0588; Chwedorzewska, Katarzyna/0000-0001-6860-3666;</t>
  </si>
  <si>
    <t>10.1111/gcb.15013</t>
  </si>
  <si>
    <t>NG8TI</t>
  </si>
  <si>
    <t>WOS:000514656800001</t>
  </si>
  <si>
    <t>Géraud, BMM; Neufeld, JA; Holland, PR; Worster, MG</t>
  </si>
  <si>
    <t>Geraud, Baudouin M. M.; Neufeld, Jerome A.; Holland, Paul R.; Worster, M. Grae</t>
  </si>
  <si>
    <t>Permeability measurements using oscillatory flows</t>
  </si>
  <si>
    <t>EXPERIMENTS IN FLUIDS</t>
  </si>
  <si>
    <t>POROUS-MEDIA; CONVECTION</t>
  </si>
  <si>
    <t>We describe a versatile apparatus for measuring the permeability of porous materials using oscillatory flows. The permeabilities are measured by an original spectral analysis of the pressure and fluid-displacement signals. The measurements are shown to be in very good agreement with classical drainage experiments performed on the same device. Our apparatus and methodology will be useful if small fluid displacements are required, for example in reactive porous media.</t>
  </si>
  <si>
    <t>[Geraud, Baudouin M. M.; Neufeld, Jerome A.; Worster, M. Grae] Univ Cambridge, CMS, Dept Appl Math &amp; Theoret Phys, Wilberforce Rd, Cambridge CB3 0WA, England; [Neufeld, Jerome A.] Univ Cambridge, BP Inst, Madingley Rd, Cambridge CB3 0EZ, England; [Neufeld, Jerome A.] Univ Cambridge, Dept Earth Sci, Cambridge, England; [Holland, Paul R.] British Antarctic Survey, Madingley Rd, Cambridge CB3 0ET, England</t>
  </si>
  <si>
    <t>University of Cambridge; BP; University of Cambridge; University of Cambridge; UK Research &amp; Innovation (UKRI); Natural Environment Research Council (NERC); NERC British Antarctic Survey</t>
  </si>
  <si>
    <t>Géraud, BMM (corresponding author), Univ Cambridge, CMS, Dept Appl Math &amp; Theoret Phys, Wilberforce Rd, Cambridge CB3 0WA, England.</t>
  </si>
  <si>
    <t>bgeraud.pro@gmail.com; jn271@cam.ac.uk; pahol@bas.ac.uk; mgw1@cam.ac.uk</t>
  </si>
  <si>
    <t>Neufeld, Jerome A/A-2387-2016; Holland, Paul R/G-2796-2012</t>
  </si>
  <si>
    <t>Neufeld, Jerome A/0000-0002-3284-5169;</t>
  </si>
  <si>
    <t>Royal Society University Research Fellowship - British Antartic Survey Foundation; Isaac Newton Trust; NERC [bas0100033] Funding Source: UKRI</t>
  </si>
  <si>
    <t>Royal Society University Research Fellowship - British Antartic Survey Foundation; Isaac Newton Trust; NERC(UK Research &amp; Innovation (UKRI)Natural Environment Research Council (NERC))</t>
  </si>
  <si>
    <t>JAN acknowledges funding from a Royal Society University Research Fellowship. This work was funded by grants from the British Antartic Survey Foundation and the Isaac Newton Trust. BG would like to warmly thank David Page-Croft and Paul Mitton for their expertise, help and friendly presence during this work.</t>
  </si>
  <si>
    <t>0723-4864</t>
  </si>
  <si>
    <t>1432-1114</t>
  </si>
  <si>
    <t>EXP FLUIDS</t>
  </si>
  <si>
    <t>Exp. Fluids</t>
  </si>
  <si>
    <t>FEB 21</t>
  </si>
  <si>
    <t>10.1007/s00348-020-2906-z</t>
  </si>
  <si>
    <t>Engineering, Mechanical; Mechanics</t>
  </si>
  <si>
    <t>Engineering; Mechanics</t>
  </si>
  <si>
    <t>KS0WK</t>
  </si>
  <si>
    <t>WOS:000518032400004</t>
  </si>
  <si>
    <t>Tonnard, M; Planquette, H; Bowie, AR; van der Merwe, P; Gallinari, M; de Gésincourt, FD; Germain, Y; Gourain, A; Benetti, M; Reverdin, G; Tréguer, P; Boutorh, J; Cheize, M; Lacan, F; Barraqueta, JLM; Contreira-Pereira, L; Shelley, R; Lherminier, P; Sarthou, G</t>
  </si>
  <si>
    <t>Tonnard, Manon; Planquette, Helene; Bowie, Andrew R.; van der Merwe, Pier; Gallinari, Morgane; de Gesincourt, Floriane Desprez; Germain, Yoan; Gourain, Arthur; Benetti, Marion; Reverdin, Gilles; Treguer, Paul; Boutorh, Julia; Cheize, Marie; Lacan, Francois; Barraqueta, Jan-Lukas Menzel; Contreira-Pereira, Leonardo; Shelley, Rachel; Lherminier, Pascale; Sarthou, Geraldine</t>
  </si>
  <si>
    <t>Dissolved iron in the North Atlantic Ocean and Labrador Sea along the GEOVIDE section (GEOTRACES section GA01)</t>
  </si>
  <si>
    <t>LIMITS PHYTOPLANKTON GROWTH; DENMARK STRAIT OVERFLOW; GREENLAND SPILL JET; REYKJANES RIDGE; ATMOSPHERIC DEPOSITION; IRMINGER SEA; MEDITERRANEAN-SEA; TAGUS ESTUARY; ORGANIC-LIGANDS; DUST DEPOSITION</t>
  </si>
  <si>
    <t>Dissolved Fe (DFe) samples from the GEOVIDE voyage (GEOTRACES GA01, May-June 2014) in the North Atlantic Ocean were analyzed using a seaFAST-pico (TM) coupled to an Element XR sector field inductively coupled plasma mass spectrometer (SF-ICP-MS) and provided interesting insights into the Fe sources in this area. Overall, DFe concentrations ranged from 0.09 +/- 0.01 to 7.8 +/- 0.5 nmol L-1. Elevated DFe concentrations were observed above the Iberian, Greenland, and Newfoundland margins likely due to riverine inputs from the Tagus River, meteoric water inputs, and sedimentary inputs. Deep winter convection occurring the previous winter provided iron-to-nitrate ratios sufficient to sustain phytoplankton growth and lead to relatively elevated DFe concentrations within subsurface waters of the Irminger Sea. Increasing DFe concentrations along the flow path of the Labrador Sea Water were attributed to sedimentary inputs from the Newfoundland Margin. Bottom waters from the Irminger Sea displayed high DFe concentrations likely due to the dissolution of Fe-rich particles in the Denmark Strait Overflow Water and the Polar Intermediate Water. Finally, the nepheloid layers located in the different basins and at the Iberian Margin were found to act as either a source or a sink of DFe depending on the nature of particles, with organic particles likely releasing DFe and Mn particle scavenging DFe.</t>
  </si>
  <si>
    <t>[Tonnard, Manon; Planquette, Helene; Gallinari, Morgane; de Gesincourt, Floriane Desprez; Treguer, Paul; Boutorh, Julia; Cheize, Marie; Sarthou, Geraldine] Univ Brest, CNRS, IRD, Ifremer,LEMAR, F-29280 Plouzane, France; [Tonnard, Manon; Bowie, Andrew R.; van der Merwe, Pier] Univ Tasmania, Cooperat Res Ctr, Antarctic Climate &amp; Ecosyst, Hobart, Tas 7001, Australia; [Tonnard, Manon; Bowie, Andrew R.] Univ Tasmania, Inst Marine &amp; Antarctic Studies, Hobart, Tas 7001, Australia; [Germain, Yoan] Ifremer, Lab Cycles Geochim &amp; Ressources, F-29280 Plouzane, France; [Gourain, Arthur] Univ Liverpool, Sch Environm Sci, Ocean Sci Dept, Liverpool L69 3GP, Merseyside, England; [Benetti, Marion] Univ Iceland, Inst Earth Sci, Reykjavik, Iceland; [Benetti, Marion; Reverdin, Gilles] UPMC CNRS IRD MNHN, Sorbonne Univ, LOCEAN, Paris, France; [Lacan, Francois] Univ Toulouse, CNRS IRD CNES UPS, Observ Midi Pyrenees, LEGOS, Toulouse, France; [Barraqueta, Jan-Lukas Menzel] GEOMAR Helmholtz Zentrum Ozeanforsch, Kiel Wischhofstr 1-3, D-24148 Kiel, Germany; [Barraqueta, Jan-Lukas Menzel] Stellenbosch Univ, Dept Earth Sci, ZA-7600 Stellenbosch, South Africa; [Contreira-Pereira, Leonardo; Shelley, Rachel] Fundacao Univ Fed Rio Grande FURG, BR-96200350 Rio Grande, RS, Brazil; [Shelley, Rachel] Florida State Univ, Dept Earth Ocean &amp; Atmospher Sci, 117 N Woodward Ave, Tallahassee, FL 32301 USA; [Shelley, Rachel] Univ Plymouth, Sch Geog Earth &amp; Environm Sci, Plymouth PL4 8AA, Devon, England; [Lherminier, Pascale] Univ Brest, IFREMER, CNRS, IRD,LOPS,IUEM, F-29280 Plouzane, France</t>
  </si>
  <si>
    <t>Universite de Bretagne Occidentale; Centre National de la Recherche Scientifique (CNRS); Ifremer; Institut de Recherche pour le Developpement (IRD); Antarctic Climate &amp; Ecosystems Cooperative Research Centre (ACE CRC); University of Tasmania; University of Tasmania; Ifremer; University of Liverpool; University of Iceland; Sorbonne Universite; Museum National d'Histoire Naturelle (MNHN); Universite de Toulouse; Universite Toulouse III - Paul Sabatier; Centre National de la Recherche Scientifique (CNRS); Institut de Recherche pour le Developpement (IRD); Laboratoire d'Etudes en Geophysique et oceanographie spatiales; Helmholtz Association; GEOMAR Helmholtz Center for Ocean Research Kiel; Stellenbosch University; Universidade Federal do Rio Grande; State University System of Florida; Florida State University; University of Plymouth; Institut de Recherche pour le Developpement (IRD); Centre National de la Recherche Scientifique (CNRS); Universite de Bretagne Occidentale; Institut Universitaire Europeen de la Mer (IUEM); Ifremer</t>
  </si>
  <si>
    <t>Planquette, H; Sarthou, G (corresponding author), Univ Brest, CNRS, IRD, Ifremer,LEMAR, F-29280 Plouzane, France.</t>
  </si>
  <si>
    <t>helene.planquette@univ-brest.fr; geraldine.sarthou@univ-brest.fr</t>
  </si>
  <si>
    <t>Lacan, Francois/B-8032-2009; Barraqueta, Jan-Lukas Menzel/AAI-2093-2019; GALLINARI, Morgane/V-8099-2017; van der Merwe, Pier/C-9210-2015; Bowie, Andrew/C-8677-2013</t>
  </si>
  <si>
    <t>Lacan, Francois/0000-0001-6794-2279; Menzel Barraqueta, Jan Lukas/0000-0002-9735-1231; GALLINARI, Morgane/0000-0002-2274-8162; van der Merwe, Pier/0000-0002-7428-8030; Bowie, Andrew/0000-0002-5144-7799; Gourain, Arthur/0000-0001-8288-6527; Reverdin, Gilles/0000-0002-5583-8236; Sarthou, Geraldine/0000-0001-6560-6669</t>
  </si>
  <si>
    <t>French National Research Agency ANR GEOVIDE [ANR-13-BS06-0014]; RPDOC BITMAP [ANR-12-PDOC-0025-01]; French National Center for Scientific Research; LabexMER [ANR10-LABX-19]; Ifremer (Institut francais de recherche pour l'exploitation de la mer)</t>
  </si>
  <si>
    <t>French National Research Agency ANR GEOVIDE(Agence Nationale de la Recherche (ANR)); RPDOC BITMAP; French National Center for Scientific Research(Centre National de la Recherche Scientifique (CNRS)); LabexMER; Ifremer (Institut francais de recherche pour l'exploitation de la mer)</t>
  </si>
  <si>
    <t>This research has been supported by the French National Research Agency ANR GEOVIDE (grant no. ANR-13-BS06-0014), the RPDOC BITMAP (grant no. ANR-12-PDOC-0025-01), the French National Center for Scientific Research (grant no. CNRS-LEFE-CYBER), the LabexMER (grant no. ANR10-LABX-19), and Ifremer (Institut francais de recherche pour l'exploitation de la mer).</t>
  </si>
  <si>
    <t>10.5194/bg-17-917-2020</t>
  </si>
  <si>
    <t>KQ1VU</t>
  </si>
  <si>
    <t>Green Accepted, Green Submitted, gold</t>
  </si>
  <si>
    <t>WOS:000516719200003</t>
  </si>
  <si>
    <t>De Weerdt, J; Ramos, EA; Cheeseman, T</t>
  </si>
  <si>
    <t>De Weerdt, Joelle; Ramos, Eric Angel; Cheeseman, Ted</t>
  </si>
  <si>
    <t>Northernmost records of Southern Hemisphere humpback whales (Megaptera novaeangliae) migrating from the Antarctic Peninsula to the Pacific coast of Nicaragua</t>
  </si>
  <si>
    <t>MARINE MAMMAL SCIENCE</t>
  </si>
  <si>
    <t>CENTRAL-AMERICA; GOLFO-DULCE; COSTA-RICA; DESTINATIONS; MOVEMENTS; CALVES</t>
  </si>
  <si>
    <t>[De Weerdt, Joelle] Assoc ELI S Educ Liberte Independance Sci, Allee Verdalle 39, F-33470 Gujan Mestras, France; [De Weerdt, Joelle; Ramos, Eric Angel] Vrije Univ Brussel, Brussels, Belgium; [Ramos, Eric Angel] CUNY, Grad Ctr, New York, NY USA; [Ramos, Eric Angel] Fdn Int Nat &amp; Sostenibilidad, Chetmal, Quintana Roo, Mexico; [Ramos, Eric Angel; Cheeseman, Ted] Southern Cross Univ, Marine Ecol Res Ctr, Lismore, NSW, Australia; [Cheeseman, Ted] Happywhale, Santa Cruz, CA USA</t>
  </si>
  <si>
    <t>Vrije Universiteit Brussel; City University of New York (CUNY) System; Southern Cross University</t>
  </si>
  <si>
    <t>De Weerdt, J (corresponding author), Assoc ELI S Educ Liberte Independance Sci, Allee Verdalle 39, F-33470 Gujan Mestras, France.</t>
  </si>
  <si>
    <t>eliscientific@gmail.com</t>
  </si>
  <si>
    <t>, Association ELI-S/HRD-9761-2023; Ramos, Eric Angel/X-7180-2018; De Weerdt, Joëlle/ITU-7845-2023</t>
  </si>
  <si>
    <t>Ramos, Eric Angel/0000-0003-4803-3170; De Weerdt, Joëlle/0000-0003-4054-6609</t>
  </si>
  <si>
    <t>0824-0469</t>
  </si>
  <si>
    <t>1748-7692</t>
  </si>
  <si>
    <t>MAR MAMMAL SCI</t>
  </si>
  <si>
    <t>Mar. Mamm. Sci.</t>
  </si>
  <si>
    <t>10.1111/mms.12677</t>
  </si>
  <si>
    <t>Marine &amp; Freshwater Biology; Zoology</t>
  </si>
  <si>
    <t>ML4OM</t>
  </si>
  <si>
    <t>WOS:000514711100001</t>
  </si>
  <si>
    <t>Nash, KL; Blythe, JL; Cvitanovic, C; Fulton, EA; Halpern, BS; Milner-Gulland, EJ; Addison, PFE; Pecl, GT; Watson, RA; Blanchard, JL</t>
  </si>
  <si>
    <t>Nash, Kirsty L.; Blythe, Jessica L.; Cvitanovic, Christopher; Fulton, Elizabeth A.; Halpern, Benjamin S.; Milner-Gulland, E. J.; Addison, Prue F. E.; Pecl, Gretta T.; Watson, Reg A.; Blanchard, Julia L.</t>
  </si>
  <si>
    <t>To Achieve a Sustainable Blue Future, Progress Assessments Must Include Interdependencies between the Sustainable Development Goals</t>
  </si>
  <si>
    <t>ONE EARTH</t>
  </si>
  <si>
    <t>SOCIAL-ECOLOGICAL SYSTEMS; MARINE PROTECTED AREAS; SMALL-SCALE FISHERIES; ECOSYSTEM SERVICES; CLIMATE-CHANGE; TRADE-OFFS; BIODIVERSITY; INDICATORS; IMPACTS; AQUACULTURE</t>
  </si>
  <si>
    <t>The Sustainable Development Goals (SDGs) were designed to address interactions between the economy, society, and the biosphere. However, indicators used for assessing progress toward the goals do not account for these interactions. To understand the potential implications of this compartmentalized assessment framework, we explore progress evaluations toward SDG 14 (Life below Water) and intersecting social goals presented in submissions to the UN High-Level Political Forum. We show that there is a disconnect between the apparent progress shown by indicators and long-term sustainability; for example, short-term gains in reducing hunger or poverty might be undermined by poor ocean health, particularly in countries dependent on fisheries or developing their blue economy. We suggest an extension to existing indicator assessments to inte-grate scenarios and social-ecological modeling. This approach would ensure that decision makers are provided with knowledge fundamental to directing actions to attain SDGs while minimizing unintended outcomes due to interactions among goals.</t>
  </si>
  <si>
    <t>[Nash, Kirsty L.; Cvitanovic, Christopher; Fulton, Elizabeth A.; Pecl, Gretta T.; Watson, Reg A.; Blanchard, Julia L.] Univ Tasmania, Ctr Marine Socioecol, Private Bag 129, Hobart, Tas 7001, Australia; [Nash, Kirsty L.; Pecl, Gretta T.; Watson, Reg A.; Blanchard, Julia L.] Univ Tasmania, Inst Marine &amp; Antarctic Studies, Private Bag 129, Hobart, Tas 7001, Australia; [Blythe, Jessica L.] Brock Univ, Environm Sustainabil Res Ctr, St Catharines, ON L2S 3A1, Canada; [Cvitanovic, Christopher; Fulton, Elizabeth A.] CSIRO, Oceans &amp; Atmosphere, Battery Point, Tas 7004, Australia; [Cvitanovic, Christopher] Australian Natl Univ, Australian Natl Ctr Publ Awareness Sci, Canberra, ACT 0200, Australia; [Halpern, Benjamin S.] Univ Calif Santa Barbara, Natl Ctr Ecol Anal &amp; Synth, 735 State St, Santa Barbara, CA 93101 USA; [Halpern, Benjamin S.] Univ Calif Santa Barbara, Bren Sch Environm Sci &amp; Management, Santa Barbara, CA 93101 USA; [Milner-Gulland, E. J.; Addison, Prue F. E.] Univ Oxford, Interdisciplinary Ctr Conservat Sci, Dept Zool, Oxford OX1 3PS, England</t>
  </si>
  <si>
    <t>University of Tasmania; University of Tasmania; Brock University; Commonwealth Scientific &amp; Industrial Research Organisation (CSIRO); Australian National University; University of California System; University of California Santa Barbara; National Center for Ecological Analysis &amp; Synthesis; University of California System; University of California Santa Barbara; University of Oxford</t>
  </si>
  <si>
    <t>Nash, KL (corresponding author), Univ Tasmania, Ctr Marine Socioecol, Private Bag 129, Hobart, Tas 7001, Australia.;Nash, KL (corresponding author), Univ Tasmania, Inst Marine &amp; Antarctic Studies, Private Bag 129, Hobart, Tas 7001, Australia.</t>
  </si>
  <si>
    <t>nashkirsty@gmail.com</t>
  </si>
  <si>
    <t>Pecl, Gretta/D-7267-2011; Nash, Kirsty L/B-5456-2015; Fulton, Beth/A-2871-2008; Blythe, Jessica/AAV-7997-2021; Blanchard, Julia L/E-4919-2010</t>
  </si>
  <si>
    <t>Pecl, Gretta/0000-0003-0192-4339; Nash, Kirsty L/0000-0003-0976-3197; Blythe, Jessica/0000-0001-7604-6046; Blanchard, Julia/0000-0003-0532-4824; Cvitanovic, Christopher/0000-0002-2565-3396</t>
  </si>
  <si>
    <t>University of Tasmania; Commonwealth Scientific and Industrial Research Organization via the Centre for Marine Socioecology; Australian Research Council Future Fellowship [FT140100596]; Australian Research Council [DP140101377]; Natural Environment Research Council [NE/N005457/1]; Pew Charitable Trusts through a Marine Fellowship; NERC [NE/N005457/1] Funding Source: UKRI; Australian Research Council [FT140100596] Funding Source: Australian Research Council</t>
  </si>
  <si>
    <t>University of Tasmania; Commonwealth Scientific and Industrial Research Organization via the Centre for Marine Socioecology; Australian Research Council Future Fellowship(Australian Research Council); Australian Research Council(Australian Research Council); Natural Environment Research Council(UK Research &amp; Innovation (UKRI)Natural Environment Research Council (NERC)); Pew Charitable Trusts through a Marine Fellowship; NERC(UK Research &amp; Innovation (UKRI)Natural Environment Research Council (NERC)); Australian Research Council(Australian Research Council)</t>
  </si>
  <si>
    <t>This project was supported by funding from the University of Tasmania and the Commonwealth Scientific and Industrial Research Organization via the Centre for Marine Socioecology. G.T.P. was supported by an Australian Research Council Future Fellowship (FT140100596). R.A.W. acknowledges support from the Australian Research Council (Discovery project DP140101377). P.F.E.A. acknowledges support from the Natural Environment Research Council (NE/N005457/1). E.J.M.-G. acknowledges support from the Pew Charitable Trusts through a Marine Fellowship.</t>
  </si>
  <si>
    <t>CELL PRESS</t>
  </si>
  <si>
    <t>50 HAMPSHIRE ST, FLOOR 5, CAMBRIDGE, MA 02139 USA</t>
  </si>
  <si>
    <t>2590-3330</t>
  </si>
  <si>
    <t>2590-3322</t>
  </si>
  <si>
    <t>One Earth</t>
  </si>
  <si>
    <t>10.1016/j.oneear.2020.01.008</t>
  </si>
  <si>
    <t>Green &amp; Sustainable Science &amp; Technology; Environmental Sciences; Environmental Studies</t>
  </si>
  <si>
    <t>Science &amp; Technology - Other Topics; Environmental Sciences &amp; Ecology</t>
  </si>
  <si>
    <t>RU6GC</t>
  </si>
  <si>
    <t>WOS:000645243500009</t>
  </si>
  <si>
    <t>Dyonisius, MN; Petrenko, VV; Smith, AM; Hua, Q; Yang, B; Schmitt, J; Beck, J; Seth, B; Bock, M; Hmiel, B; Vimont, I; Menking, JA; Shackleton, SA; Baggenstos, D; Bauska, TK; Rhodes, RH; Sperlich, P; Beaudette, R; Harth, C; Kalk, M; Brook, EJ; Fischer, H; Severinghaus, JP; Weiss, RF</t>
  </si>
  <si>
    <t>Dyonisius, M. N.; Petrenko, V. V.; Smith, A. M.; Hua, Q.; Yang, B.; Schmitt, J.; Beck, J.; Seth, B.; Bock, M.; Hmiel, B.; Vimont, I.; Menking, J. A.; Shackleton, S. A.; Baggenstos, D.; Bauska, T. K.; Rhodes, R. H.; Sperlich, P.; Beaudette, R.; Harth, C.; Kalk, M.; Brook, E. J.; Fischer, H.; Severinghaus, J. P.; Weiss, R. F.</t>
  </si>
  <si>
    <t>Old carbon reservoirs were not important in the deglacial methane budget</t>
  </si>
  <si>
    <t>SITU COSMOGENIC (CH4)-C-14; LAST GLACIAL TERMINATION; GREENLAND ICE-CORE; ATMOSPHERIC METHANE; PERMAFROST CARBON; TAYLOR GLACIER; CLIMATE-CHANGE; FOSSIL-FUEL; (CO)-C-14 PRODUCTION; CH4 EMISSIONS</t>
  </si>
  <si>
    <t>Permafrost and methane hydrates are large, climate-sensitive old carbon reservoirs that have the potential to emit large quantities of methane, a potent greenhouse gas, as the Earth continues to warm. We present ice core isotopic measurements of methane (Delta C-14, delta C-13, and delta D) from the last deglaciation, which is a partial analog for modern warming. Our results show that methane emissions from old carbon reservoirs in response to deglacial warming were small (&lt;19 teragrams of methane per year, 95% confidence interval) and argue against similar methane emissions in response to future warming. Our results also indicate that methane emissions from biomass burning in the pre-Industrial Holocene were 22 to 56 teragrams of methane per year (95% confidence interval), which is comparable to today.</t>
  </si>
  <si>
    <t>[Dyonisius, M. N.; Petrenko, V. V.; Hmiel, B.] Univ Rochester, Dept Earth &amp; Environm Sci, Rochester, NY 14627 USA; [Smith, A. M.; Hua, Q.; Yang, B.] ANSTO, Lucas Heights, NSW 2234, Australia; [Schmitt, J.; Beck, J.; Seth, B.; Bock, M.; Baggenstos, D.; Fischer, H.] Univ Bern, Phys Inst, Climate &amp; Environm Phys, CH-3012 Bern, Switzerland; [Schmitt, J.; Beck, J.; Seth, B.; Bock, M.; Baggenstos, D.; Fischer, H.] Univ Bern, Oeschger Ctr Climate Change Res, CH-3012 Bern, Switzerland; [Vimont, I.] Univ Colorado Boulder, Inst Arctic &amp; Alpine Res, Boulder, CO 80303 USA; [Menking, J. A.; Bauska, T. K.; Rhodes, R. H.; Kalk, M.; Brook, E. J.] Oregon State Univ, Coll Earth Ocean &amp; Atmospher Sci, Corvallis, OR 97331 USA; [Shackleton, S. A.; Baggenstos, D.; Beaudette, R.; Harth, C.; Severinghaus, J. P.; Weiss, R. F.] Univ Calif San Diego, SIO, La Jolla, CA 92037 USA; [Bauska, T. K.] British Antarctic Survey High Cross, Cambridge CB3 0ET, England; [Rhodes, R. H.] Univ Cambridge, Dept Earth Sci, Cambridge CB2 3EQ, England; [Sperlich, P.] Natl Inst Water &amp; Atmospher Res NIWA, Wellington 6021, New Zealand; [Vimont, I.] Univ Colorado, Cooperat Inst Res Earth Sci, Boulder, CO 80309 USA; [Shackleton, S. A.] Princeton Univ, Dept Geosci, Princeton, NJ 08544 USA</t>
  </si>
  <si>
    <t>University of Rochester; Australian Nuclear Science &amp; Technology Organisation; University of Bern; University of Bern; University of Colorado System; University of Colorado Boulder; Oregon State University; University of California System; University of California San Diego; UK Research &amp; Innovation (UKRI); Natural Environment Research Council (NERC); NERC British Antarctic Survey; University of Cambridge; National Institute of Water &amp; Atmospheric Research (NIWA) - New Zealand; University of Colorado System; University of Colorado Boulder; Princeton University</t>
  </si>
  <si>
    <t>Dyonisius, MN (corresponding author), Univ Rochester, Dept Earth &amp; Environm Sci, Rochester, NY 14627 USA.</t>
  </si>
  <si>
    <t>mdyonisi@ur.rochester.edu</t>
  </si>
  <si>
    <t>Brook, Edward/AAB-7807-2021; Menking, James/AAY-2808-2020; Baggenstos, Daniel/AAK-5751-2021; Schmitt, Jochen/B-7893-2009; , Andrew/HLX-8550-2023; Menking, James Andrew/GPX-8702-2022; Vimont, Isaac/AAS-5078-2021; Vimont, Isaac/B-5168-2018; Fischer, Hubertus/A-1211-2014</t>
  </si>
  <si>
    <t>Baggenstos, Daniel/0000-0001-9756-6884; Schmitt, Jochen/0000-0003-4695-3029; Menking, James Andrew/0000-0002-5891-6711; Vimont, Isaac/0000-0002-0740-4927; Vimont, Isaac/0000-0002-0740-4927; Seth, Barbara/0000-0003-2262-6963; Smith, Andrew/0000-0002-9193-2617; Sperlich, Peter/0000-0003-1455-0903; Bock, Michael/0000-0001-5744-3169; Hmiel, Benjamin/0000-0002-5289-7492; Fischer, Hubertus/0000-0002-2787-4221; Shackleton, Sarah/0000-0001-5927-1954; Dyonisius, Michael/0000-0001-8412-6724</t>
  </si>
  <si>
    <t>NSF [PLR-1245659, PLR-1245821, PLR-1246148]; Packard Fellowship for Science and Engineering; European Research Council (ERC) under the European Union's Seventh Framework Programme FP7/2007-2013 ERC Grant [226172]; Swiss National Science Foundation [200020_172506]; Australian Government for the Centre for Accelerator Science at ANSTO through the National Collaborative Research Infrastructure Strategy; National Institute of Water and Atmospheric Research through the Greenhouse Gases, Emissions and Carbon Cycle Science Program; Swiss National Science Foundation (SNF) [200020_172506] Funding Source: Swiss National Science Foundation (SNF); NERC [bas0100034] Funding Source: UKRI</t>
  </si>
  <si>
    <t>NSF(National Science Foundation (NSF)); Packard Fellowship for Science and Engineering; European Research Council (ERC) under the European Union's Seventh Framework Programme FP7/2007-2013 ERC Grant(European Research Council (ERC)); Swiss National Science Foundation(Swiss National Science Foundation (SNSF)); Australian Government for the Centre for Accelerator Science at ANSTO through the National Collaborative Research Infrastructure Strategy; National Institute of Water and Atmospheric Research through the Greenhouse Gases, Emissions and Carbon Cycle Science Program; Swiss National Science Foundation (SNF)(Swiss National Science Foundation (SNSF)); NERC(UK Research &amp; Innovation (UKRI)Natural Environment Research Council (NERC))</t>
  </si>
  <si>
    <t>This work was supported by NSF awards PLR-1245659 (V.V.P.), PLR-1245821 (E.J.B), and PLR-1246148 (J.P.S.); the Packard Fellowship for Science and Engineering (V.V.P.); the European Research Council (ERC) under the European Union's Seventh Framework Programme FP7/2007-2013 ERC Grant 226172 [ERC Advanced Grant Modern Approaches to Temperature Reconstructions in Polar Ice Cores (MATRICs); H.F.]; the Swiss National Science Foundation 200020_172506 (H.F.); Australian Government for the Centre for Accelerator Science at ANSTO through the National Collaborative Research Infrastructure Strategy (A.M.S, Q.H., B.Y.); and the National Institute of Water and Atmospheric Research through the Greenhouse Gases, Emissions and Carbon Cycle Science Program (P.S.).</t>
  </si>
  <si>
    <t>10.1126/science.aax0504</t>
  </si>
  <si>
    <t>KO0KX</t>
  </si>
  <si>
    <t>Green Published, Bronze</t>
  </si>
  <si>
    <t>WOS:000515235800043</t>
  </si>
  <si>
    <t>Fernández, PA; Gaitán-Espitia, JD; Leal, PP; Schmid, M; Revill, AT; Hurd, CL</t>
  </si>
  <si>
    <t>Fernandez, Pamela A.; Gaitan-Espitia, Juan Diego; Leal, Pablo P.; Schmid, Matthias; Revill, Andrew T.; Hurd, Catriona L.</t>
  </si>
  <si>
    <t>Nitrogen sufficiency enhances thermal tolerance in habitat-forming kelp: implications for acclimation under thermal stress</t>
  </si>
  <si>
    <t>NITRATE REDUCTASE-ACTIVITY; HIGH-TEMPERATURE TOLERANCE; MACROCYSTIS-PYRIFERA; GIANT-KELP; PHYSIOLOGICAL-RESPONSES; NUTRIENT AVAILABILITY; PHENOTYPIC PLASTICITY; ALGAL PHOTOSYNTHESIS; PERFORMANCE CURVES; MARINE HEATWAVES</t>
  </si>
  <si>
    <t>Local and global changes associated with anthropogenic activities are impacting marine and terrestrial ecosystems. Macroalgae, especially habitat-forming species like kelp, play critical roles in temperate coastal ecosystems. However, their abundance and distribution patterns have been negatively affected by warming in many regions around the globe. Along with global change, coastal ecosystems are also impacted by local drivers such as eutrophication. The interaction between global and local drivers might modulate kelp responses to environmental change. This study examines the regulatory effect of NO3- on the thermal plasticity of the giant kelp Macrocystis pyrifera. To do this, thermal performance curves (TPCs) of key temperature-dependant traits-growth, photosynthesis, NO3- assimilation and chlorophyll a fluorescence-were examined under nitrate replete and deplete conditions in a short-term incubation. We found that thermal plasticity was modulated by NO3- but different thermal responses were observed among traits. Our study reveals that nitrogen, a local driver, modulates kelp responses to high seawater temperatures, ameliorating the negative impacts on physiological performance (i.e. growth and photosynthesis). However, this effect might be species-specific and vary among biogeographic regions - thus, further work is needed to determine the generality of our findings to other key temperate macroalgae that are experiencing temperatures close to their thermal tolerance due to climate change.</t>
  </si>
  <si>
    <t>[Fernandez, Pamela A.] Univ Los Lagos, Ctr I Mar &amp; CeBiB, Camino Chinquihue Km 6,Casilla 557, Puerto Montt, Chile; [Gaitan-Espitia, Juan Diego] Univ Hong Kong, Swire Inst Marine Sci, Pok Fu Lam Rd, Hong Kong, Peoples R China; [Gaitan-Espitia, Juan Diego] Univ Hong Kong, Sch Biol Sci, Pok Fu Lam Rd, Hong Kong, Peoples R China; [Leal, Pablo P.] Inst Fomento Pesquero, Dept Repoblac &amp; Cult, Balmaceda 252,Casilla 665, Puerto Montt, Chile; [Fernandez, Pamela A.; Schmid, Matthias; Hurd, Catriona L.] Univ Tasmania, Inst Marine &amp; Antarctic Studies, 20 Castray Esplanade, Hobart, Tas 7004, Australia; [Revill, Andrew T.] CSIRO Oceans &amp; Atmosphere, GPO Box 1538, Hobart, Tas 7001, Australia</t>
  </si>
  <si>
    <t>Universidad de Los Lagos; University of Hong Kong; University of Hong Kong; Instituto de Fomento Pesquero (Valparaiso); University of Tasmania; Commonwealth Scientific &amp; Industrial Research Organisation (CSIRO)</t>
  </si>
  <si>
    <t>Fernández, PA (corresponding author), Univ Los Lagos, Ctr I Mar &amp; CeBiB, Camino Chinquihue Km 6,Casilla 557, Puerto Montt, Chile.;Fernández, PA (corresponding author), Univ Tasmania, Inst Marine &amp; Antarctic Studies, 20 Castray Esplanade, Hobart, Tas 7004, Australia.</t>
  </si>
  <si>
    <t>Pamela.fernandez@ulagos.cl</t>
  </si>
  <si>
    <t>Fernandez, Pamela/AAX-1676-2021; Revill, Andrew T/B-8733-2011; Gaitan-Espitia, Juan Diego/A-9945-2012; Leal, Pablo P./N-3927-2019; Hurd, Catriona/J-2411-2013</t>
  </si>
  <si>
    <t>Fernandez, Pamela/0000-0003-3122-0084; Gaitan-Espitia, Juan Diego/0000-0001-8781-5736; Leal, Pablo P./0000-0002-7616-1850; Hurd, Catriona/0000-0001-9965-4917</t>
  </si>
  <si>
    <t>Chilean National Commission for Scientific and Technological Research (CONICYT/FONDECYT) [3170225]; Deutsche forschungsgemeinschaft (DFG) [SCHM3335/1-1]</t>
  </si>
  <si>
    <t>Chilean National Commission for Scientific and Technological Research (CONICYT/FONDECYT); Deutsche forschungsgemeinschaft (DFG)(German Research Foundation (DFG))</t>
  </si>
  <si>
    <t>Pamela A. Fernandez was supported by the Chilean National Commission for Scientific and Technological Research (CONICYT/FONDECYT-Postdoctoral grant no. 3170225). Matthias Schmid was supported by a grant of the Deutsche forschungsgemeinschaft (DFG, grant ID: SCHM3335/1-1).</t>
  </si>
  <si>
    <t>10.1038/s41598-020-60104-4</t>
  </si>
  <si>
    <t>NP4IH</t>
  </si>
  <si>
    <t>WOS:000570140700001</t>
  </si>
  <si>
    <t>Jara, D; Bello-Toledo, H; Domínguez, M; Cigarroa, C; Fernández, P; Vergara, L; Quezada-Aguiluz, M; Opazo-Capurro, A; Lima, CA; González-Rocha, G</t>
  </si>
  <si>
    <t>Jara, Daniela; Bello-Toledo, Helia; Dominguez, Mariana; Cigarroa, Camila; Fernandez, Paulina; Vergara, Luis; Quezada-Aguiluz, Mario; Opazo-Capurro, Andres; Lima, Celia A.; Gonzalez-Rocha, Gerardo</t>
  </si>
  <si>
    <t>Antibiotic resistance in bacterial isolates from freshwater samples in Fildes Peninsula, King George Island, Antarctica</t>
  </si>
  <si>
    <t>SPECTRUM BETA-LACTAMASES; DIHYDROFOLATE-REDUCTASE GENES; ESCHERICHIA-COLI; PENGUINS; IMPACTS; SUL3; PCR</t>
  </si>
  <si>
    <t>Anthropic activity in Antarctica has been increasing considerably in recent years, which could have an important impact on the local microbiota affecting multiple features, including the bacterial resistome. As such, our study focused on determining the antibiotic-resistance patterns and antibiotic-resistance genes of bacteria recovered from freshwater samples collected in areas of Antarctica under different degrees of human influence. Aerobic heterotrophic bacteria were subjected to antibiotic susceptibility testing and PCR. The isolates collected from regions of high human intervention were resistant to several antibiotic groups, and were mainly associated with the presence of genes encoding aminoglycosides-modifying enzymes (AMEs) and extended-spectrum beta-lactamases (ESBLs). Moreover, these isolates were resistant to synthetic and semi-synthetic drugs, in contrast with those recovered from zones with low human intervention, which resulted highly susceptible to antibiotics. On the other hand, we observed that zone A, under human influence, presented a higher richness and diversity of antibiotic-resistance genes (ARGs) in comparison with zones B and C, which have low human activity. Our results suggest that human activity has an impact on the local microbiota, in which strains recovered from zones under anthropic influence were considerably more resistant than those collected from remote regions.</t>
  </si>
  <si>
    <t>[Jara, Daniela; Bello-Toledo, Helia; Dominguez, Mariana; Cigarroa, Camila; Fernandez, Paulina; Quezada-Aguiluz, Mario; Opazo-Capurro, Andres; Lima, Celia A.; Gonzalez-Rocha, Gerardo] Univ Concepcion, Fac Ciencias Biol, Dept Microbiol, Lab Invest Agentes Antibacterianos LIAA, Concepcion 4070386, Chile; [Bello-Toledo, Helia; Opazo-Capurro, Andres; Lima, Celia A.; Gonzalez-Rocha, Gerardo] Univ Concepcion, Programa Especial Ciencia Antart &amp; Subantart PCAS, Concepcion 4070386, Chile; [Vergara, Luis] Univ San Sebastian, Fac Med &amp; Ciencia, Dept Ciencias Biol &amp; Quim, Concepcion 4080871, Chile; [Bello-Toledo, Helia; Quezada-Aguiluz, Mario; Opazo-Capurro, Andres; Lima, Celia A.; Gonzalez-Rocha, Gerardo] Millennium Nucleus Collaborat Res Bacterial Resis, Las Condes 12496, Santiago 7690000, Chile; [Quezada-Aguiluz, Mario; Lima, Celia A.] Univ Concepcion, Fac Med, Dept Med Interna, Concepcion 4070386, Chile; [Lima, Celia A.] Univ Concepcion, Fac Odontol, Dept Prevenc &amp; Salud Publ Odontol, Concepcion 4070386, Chile</t>
  </si>
  <si>
    <t>Universidad de Concepcion; Universidad de Concepcion; Universidad San Sebastian; Universidad de Concepcion; Universidad de Concepcion</t>
  </si>
  <si>
    <t>González-Rocha, G (corresponding author), Univ Concepcion, Fac Ciencias Biol, Dept Microbiol, Lab Invest Agentes Antibacterianos LIAA, Concepcion 4070386, Chile.;González-Rocha, G (corresponding author), Univ Concepcion, Programa Especial Ciencia Antart &amp; Subantart PCAS, Concepcion 4070386, Chile.;González-Rocha, G (corresponding author), Millennium Nucleus Collaborat Res Bacterial Resis, Las Condes 12496, Santiago 7690000, Chile.</t>
  </si>
  <si>
    <t>ggonzal@udec.cl</t>
  </si>
  <si>
    <t>Bello-Toledo, H/AAA-2387-2022; Gonzalez-Rocha, Gerardo/AAP-1793-2021; Jara, Daniela/HLH-7869-2023; Gonzalez, Gerardo/KHE-5265-2024; Gonzalez, Luis Vergara/P-6897-2019; Gonzalez, Luis Vergara/N-4886-2017</t>
  </si>
  <si>
    <t>Bello-Toledo, H/0000-0002-9277-4681; Gonzalez-Rocha, Gerardo/0000-0003-2351-1236; Gonzalez, Luis Vergara/0000-0002-9287-2855; Gonzalez, Luis Vergara/0000-0002-9287-2855; Jara, Daniela/0000-0002-6658-3216; Quezada-Aguiluz, Mario/0000-0001-9644-8368; Opazo-Capurro, Andres/0000-0002-6382-7625; Lima, Celia/0000-0002-4697-034X</t>
  </si>
  <si>
    <t>[RT_06-12]</t>
  </si>
  <si>
    <t>The contribution of Chilean Antarctic Institute (INACH project RT_06-12) to the funding of this study is greatly appreciated.</t>
  </si>
  <si>
    <t>10.1038/s41598-020-60035-0</t>
  </si>
  <si>
    <t>NA6XY</t>
  </si>
  <si>
    <t>WOS:000559962900001</t>
  </si>
  <si>
    <t>Graham, LA; Boddington, ME; Holmstrup, M; Davies, PL</t>
  </si>
  <si>
    <t>Graham, Laurie A.; Boddington, Marie E.; Holmstrup, Martin; Davies, Peter L.</t>
  </si>
  <si>
    <t>Antifreeze protein complements cryoprotective dehydration in the freeze-avoiding springtail Megaphorura arctica</t>
  </si>
  <si>
    <t>ICE-BINDING PROTEINS; COLD-HARDINESS; OVERWINTERING STRATEGIES; SUBZERO TEMPERATURES; ANTARCTIC MIDGE; BEETLE; SURVIVAL; SOIL; RESISTANCE; TOLERANCE</t>
  </si>
  <si>
    <t>The springtail, Megaphorura arctica, is freeze-avoiding and survives sub-zero temperatures by cryoprotective dehydration. At the onset of dehydration there is some supercooling of body fluids, and the danger of inoculative freezing, which would be lethal. To see if the springtails are protected by antifreeze proteins in this pre-equilibrium phase, we examined extracts from cold-acclimated M. arctica and recorded over 3 degrees C of freezing point depression. Proteins responsible for this antifreeze activity were isolated by ice affinity. They comprise isoforms ranging from 6.5 to 16.9 kDa, with an amino acid composition dominated by glycine (&gt;35 mol%). Tryptic peptide sequences were used to identify the mRNA sequence coding for the smallest isoform. This antifreeze protein sequence has high similarity to one characterized in Hypogastrura harveyi, from a different springtail order. If these two antifreeze proteins are true homologs, we suggest their origin dates back to the Permian glaciations some 300 million years ago.</t>
  </si>
  <si>
    <t>[Graham, Laurie A.; Boddington, Marie E.; Davies, Peter L.] Queens Univ, Dept Biomed &amp; Mol Sci, Kingston, ON, Canada; [Holmstrup, Martin] Aarhus Univ, Dept Biosci, Sect Terr Ecol, Vejlsovej 25, DK-8600 Silkeborg, Denmark; [Holmstrup, Martin] Aarhus Univ, Arctic Res Ctr, Ny Munkegade 114, DK-8000 Aarhus C, Denmark</t>
  </si>
  <si>
    <t>Queens University - Canada; Aarhus University; Aarhus University</t>
  </si>
  <si>
    <t>Davies, PL (corresponding author), Queens Univ, Dept Biomed &amp; Mol Sci, Kingston, ON, Canada.</t>
  </si>
  <si>
    <t>daviesp@queensu.ca</t>
  </si>
  <si>
    <t>Holmstrup, Martin/E-8731-2017; Holmstrup, Martin/I-7463-2013</t>
  </si>
  <si>
    <t>Boddington, Marie/0009-0005-9375-2336; Holmstrup, Martin/0000-0001-8395-6582</t>
  </si>
  <si>
    <t>CIHR Foundation [FRN 148422]; Danish Research Council [DFF-4002-00384]</t>
  </si>
  <si>
    <t>CIHR Foundation(Canadian Institutes of Health Research (CIHR)); Danish Research Council(Det Frie Forskningsrad (DFF))</t>
  </si>
  <si>
    <t>This research was supported by the award of CIHR Foundation Grant FRN 148422 to PLD and Danish Research Council Grant DFF-4002-00384 to MH. PLD holds the Canada Research Chair in Protein Engineering. We are grateful to David McLeod of the Protein Function Discovery facility at Queen's University for the MALDI analysis of MaAFP.</t>
  </si>
  <si>
    <t>FEB 20</t>
  </si>
  <si>
    <t>10.1038/s41598-020-60060-z</t>
  </si>
  <si>
    <t>NF1RQ</t>
  </si>
  <si>
    <t>WOS:000563079900031</t>
  </si>
  <si>
    <t>Edwards, AM; Robinson, JPW; Blanchard, JL; Baum, JK; Plank, MJ</t>
  </si>
  <si>
    <t>Edwards, Andrew M.; Robinson, James P. W.; Blanchard, Julia L.; Baum, Julia K.; Plank, Michael J.</t>
  </si>
  <si>
    <t>Accounting for the bin structure of data removes bias when fitting size spectra</t>
  </si>
  <si>
    <t>Abundance size spectrum; Biomass size spectrum Individual size distribution; Ecosystem-based fisheries management; Ecosystem indicators; Truncated Pareto distribution; Power-law distribution</t>
  </si>
  <si>
    <t>SEA FISH COMMUNITY; BODY-SIZE; INDICATORS; ABUNDANCE; BIOMASS; LAW; POPULATION; DENSITY; CLIMATE; GROWTH</t>
  </si>
  <si>
    <t>Size spectra are recommended tools for detecting the response of marine communities to fishing or to management measures. A size spectrum succinctly describes how a property, such as abundance or biomass, varies with body size in a community. Required data are often collected in binned form, such as numbers of individuals in 1 cm length bins. Numerous methods have been employed to fit size spectra, but most give biased estimates when tested on simulated data, and none account for the data's bin structure (breakpoints of bins). Here, we used 8 methods to fit an annual size-spectrum exponent, b, to an example data set (30 yr of the North Sea International Bottom Trawl Survey). The methods gave conflicting conclusions regarding b declining (the size spectrum steepening) through time, and so any resulting advice to ecosystem managers will be highly dependent upon the method used. Using simulated data, we showed that ignoring the bin structure gives biased estimates of b, even for high-resolution data. However, our extended likelihood method, which explicitly accounts for the bin structure, accurately estimated b and its confidence intervals, even for coarsely collected data. We developed a novel visualisation method that accounts for the bin structure and associated uncertainty, provide recommendations concerning different data types and have created an R package (sizeSpectra) to reproduce all results and encourage use of our methods. This work is also relevant to wider applications where a power-law distribution (the underlying distribution for a size spectrum) is fitted to binned data.</t>
  </si>
  <si>
    <t>[Edwards, Andrew M.] Fisheries &amp; Oceans Canada, Pacific Biol Stn, Nanaimo, BC V9T 6N7, Canada; [Edwards, Andrew M.; Robinson, James P. W.; Baum, Julia K.] Univ Victoria, Dept Biol, Victoria, BC V8W 2Y2, Canada; [Robinson, James P. W.] Univ Lancaster, Lancaster Environm Ctr, Lancaster LA1 4YW, England; [Blanchard, Julia L.] Univ Tasmania, Inst Marine &amp; Antarctic Studies, Hobart, Tas 7001, Australia; [Plank, Michael J.] Univ Canterbury, Sch Math &amp; Stat, Christchurch, New Zealand; [Plank, Michael J.] Univ Auckland, Te Punaha Matatini, Auckland 1011, New Zealand</t>
  </si>
  <si>
    <t>Fisheries &amp; Oceans Canada; University of Victoria; Lancaster University; University of Tasmania; University of Canterbury; University of Auckland</t>
  </si>
  <si>
    <t>Edwards, AM (corresponding author), Fisheries &amp; Oceans Canada, Pacific Biol Stn, Nanaimo, BC V9T 6N7, Canada.;Edwards, AM (corresponding author), Univ Victoria, Dept Biol, Victoria, BC V8W 2Y2, Canada.</t>
  </si>
  <si>
    <t>andrew.edwards@dfo-mpo.gc.ca</t>
  </si>
  <si>
    <t>Blanchard, Julia L/E-4919-2010; Plank, Michael J/H-8030-2019; Baum, Julia K/A-4693-2008</t>
  </si>
  <si>
    <t>Plank, Michael J/0000-0002-7539-3465; Blanchard, Julia/0000-0003-0532-4824; Robinson, James/0000-0002-7614-1112</t>
  </si>
  <si>
    <t>10.3354/meps13230</t>
  </si>
  <si>
    <t>KX2VI</t>
  </si>
  <si>
    <t>WOS:000521739200002</t>
  </si>
  <si>
    <t>Lescroël, A; Lyver, PO; Jongsomjit, D; Veloz, S; Dugger, KM; Kappes, P; Karl, BJ; Whitehead, AL; Pech, R; Cole, TL; Ballard, G</t>
  </si>
  <si>
    <t>Lescroel, Amelie; Lyver, Phil O'B.; Jongsomjit, Dennis; Veloz, Sam; Dugger, Katie M.; Kappes, Peter; Karl, Brian J.; Whitehead, Amy L.; Pech, Roger; Cole, Theresa L.; Ballard, Grant</t>
  </si>
  <si>
    <t>Inter-individual differences in the foraging behavior of breeding Adelie penguins are driven by individual quality and sex</t>
  </si>
  <si>
    <t>Ross Sea; Breeding performance; Satellite telemetry; Foraging locations; Diving behavior; Age variation; Breeding experience; Seabirds</t>
  </si>
  <si>
    <t>URIA-AALGE; SPACE USE; ROSS SEA; FOOD-WEB; SURVIVAL; AGE; MARINE; DIET; SPECIALIZATION; EXPERIENCE</t>
  </si>
  <si>
    <t>Inter-individual differences in demographic traits of iteroparous species can arise through learning and maturation, as well as from permanent differences in individual 'quality' and sex-specific constraints. As the ability to acquire energy determines the resources an individual can allocate to reproduction and self-maintenance, foraging behavior is a key trait to study to better understand the mechanisms underlying these differences. So far, most seabird studies have focused on the effect of maturation and learning processes on foraging performance, while only a few have included measures of individual quality. Here, we investigated the effects of age, breeding experience, sex, and individual breeding quality on the foraging behavior and location of 83 known-age Adelie penguins at Cape Bird, Ross Sea, Antarctica. Over a 2 yr period, we showed that (1) high-quality birds dived deeper than lower quality ones, apparently catching a higher number of prey per dive and targeting different foraging locations; (2) females performed longer foraging trips and a higher number of dives compared to males; (3) there were no significant agerelated differences in foraging behavior; and (4) breeding experience had a weak influence on foraging behavior. We suggest that high-quality individuals have higher physiological ability, enabling them to dive deeper and forage more effectively. Further inquiry should focus on determining the physiological differences among penguins of different quality.</t>
  </si>
  <si>
    <t>[Lescroel, Amelie; Jongsomjit, Dennis; Veloz, Sam; Ballard, Grant] Point Blue Conservat Sci, 3820 Cypress Dr,Suite 11, Petaluma, CA 94954 USA; [Lyver, Phil O'B.; Karl, Brian J.; Pech, Roger; Cole, Theresa L.] Manaaki Whenua Landcare Res, POB 69040, Lincoln 7640, New Zealand; [Dugger, Katie M.] Oregon State Univ, Dept Fisheries &amp; Wildlife, Oregon Cooperat Fish &amp; Wildlife Res Unit, US Geol Survey, Corvallis, OR 97331 USA; [Kappes, Peter] Oregon State Univ, Dept Fisheries &amp; Wildlife, Oregon Cooperat Fish &amp; Wildlife Res Unit, Corvallis, OR 97331 USA; [Whitehead, Amy L.] Natl Inst Water &amp; Atmosphere, POB 8602, Christchurch 8440, New Zealand; [Cole, Theresa L.] Univ Otago, Dept Zool, POB 56, Dunedin 9054, New Zealand</t>
  </si>
  <si>
    <t>Landcare Research - New Zealand; Oregon State University; United States Department of the Interior; United States Geological Survey; Oregon State University; National Institute of Water &amp; Atmospheric Research (NIWA) - New Zealand; University of Otago</t>
  </si>
  <si>
    <t>Lescroël, A (corresponding author), Point Blue Conservat Sci, 3820 Cypress Dr,Suite 11, Petaluma, CA 94954 USA.</t>
  </si>
  <si>
    <t>alescroel@pointblue.org</t>
  </si>
  <si>
    <t>Whitehead, Amy/E-6505-2010; Kappes, Peter/AGT-9289-2022; Kappes, Peter/C-4063-2015</t>
  </si>
  <si>
    <t>Whitehead, Amy/0000-0002-4164-9047; Kappes, Peter/0000-0001-6029-5355; Cole, Theresa/0000-0002-0197-286X</t>
  </si>
  <si>
    <t>New Zealand's Ministry of Business, Innovation and Employment grants [C09X0510, C01X1001, C01X1710]; NSF [OPP 9526865, 9814882, 0125608, 0440643, 0944411, 1543498]; New Zealand Ministry of Business, Innovation &amp; Employment (MBIE) [C01X1710, C01X1001] Funding Source: New Zealand Ministry of Business, Innovation &amp; Employment (MBIE); Directorate For Geosciences; Office of Polar Programs (OPP) [9814882, 1543498] Funding Source: National Science Foundation; Office of Polar Programs (OPP); Directorate For Geosciences [0125608] Funding Source: National Science Foundation</t>
  </si>
  <si>
    <t>New Zealand's Ministry of Business, Innovation and Employment grants; NSF(National Science Foundation (NSF)); New Zealand Ministry of Business, Innovation &amp; Employment (MBIE); Directorate For Geosciences; Office of Polar Programs (OPP)(National Science Foundation (NSF)NSF - Directorate for Geosciences (GEO)); Office of Polar Programs (OPP); Directorate For Geosciences(National Science Foundation (NSF)NSF - Directorate for Geosciences (GEO))</t>
  </si>
  <si>
    <t>Financial support was provided by New Zealand's Ministry of Business, Innovation and Employment grants (C09X0510, C01X1001, and C01X1710) and NSF grants (OPP 9526865, 9814882, 0125608, 0440643, 0944411, and 1543498). Logistic support was provided by the Antarctica New Zealand and the US Antarctic Program. Animal manipulations were conducted under Landcare Research Animal Ethics permits 05/09/01 and 10/09/01. Any use of trade, firm, or product names is for descriptive purposes only and does not imply endorsement by the US Government. This is Point Blue Conservation Science Contribution #2275.</t>
  </si>
  <si>
    <t>10.3354/meps13208</t>
  </si>
  <si>
    <t>WOS:000521739200013</t>
  </si>
  <si>
    <t>Headland, RK</t>
  </si>
  <si>
    <t>Headland, Robert Keith</t>
  </si>
  <si>
    <t>Territory and Claims in the Antarctic Treaty Region: A Disquisition on Historical and Recent Developments</t>
  </si>
  <si>
    <t>CARTOGRAPHIC JOURNAL</t>
  </si>
  <si>
    <t>Antarctica; Argentina; Australia; Britain; Chile; Ecuador; France; New Zealand; Norway; Russia; United States</t>
  </si>
  <si>
    <t>Formal specifications of territorial claims over Antarctic regions south of 60 degrees south latitude, the region under the AE gis of the Antarctic Treaty made on 1st December 1959, have been significant from their origin, early in the twentieth century, until several of the conundrums they raised went into abeyance after the Treaty came into force in 1961. Nevertheless, the history of such claims has not been entirely simple and there have been significant subsequent events involving Ecuador and Norway. Changes after the Antarctic Treaty are noted and the history of earlier territorial specifications recapitulated. Documents are quoted in the original languages. Comparative data of territories are presented with summarized observations on accuracy of cartographic representations.</t>
  </si>
  <si>
    <t>[Headland, Robert Keith] Scott Polar Res Inst, Cambridge, England</t>
  </si>
  <si>
    <t>University of Cambridge</t>
  </si>
  <si>
    <t>Headland, RK (corresponding author), Scott Polar Res Inst, Cambridge, England.</t>
  </si>
  <si>
    <t>rkh10@cam.ac.uk</t>
  </si>
  <si>
    <t>0008-7041</t>
  </si>
  <si>
    <t>1743-2774</t>
  </si>
  <si>
    <t>CARTOGR J</t>
  </si>
  <si>
    <t>Cartogr. J.</t>
  </si>
  <si>
    <t>10.1080/00087041.2019.1677035</t>
  </si>
  <si>
    <t>MK6TX</t>
  </si>
  <si>
    <t>WOS:000517939700001</t>
  </si>
  <si>
    <t>Southwell, C; Emmerson, L</t>
  </si>
  <si>
    <t>Southwell, Colin; Emmerson, Louise</t>
  </si>
  <si>
    <t>Density dependence forces divergent population growth rates and alters occupancy patterns of a central place foraging Antarctic seabird</t>
  </si>
  <si>
    <t>ECOLOGY AND EVOLUTION</t>
  </si>
  <si>
    <t>Adelie penguin; competition; density dependence; numerical response; occupancy; population regulation; resource availability</t>
  </si>
  <si>
    <t>ADELIE PENGUIN POPULATION; EMPEROR PENGUIN; THALASSOICA-ANTARCTICA; GEOGRAPHIC STRUCTURE; PYGOSCELIS-ADELIAE; BREEDING SITES; CLIMATE-CHANGE; PRYDZ BAY; ABUNDANCE; DIET</t>
  </si>
  <si>
    <t>Density-dependent regulation is an important process in spatio-temporal population dynamics because it can alter the effects of synchronizing processes operating over large spatial scales. Most frequently, populations are regulated by density dependence when higher density leads to reduced individual fitness and population growth, but inverse density dependence can also occur when small populations are subject to higher extinction risks. We investigate whether density-dependent regulation influences population growth for the Antarctic breeding Adelie penguin Pygoscelis adeliae. Understanding the prevalence and nature of density dependence for this species is important because it is considered a sentinel species reflecting the impacts of fisheries and environmental change over large spatial scales in the Southern Ocean, but the presence of density dependence could introduce uncertainty in this role. Using data on population growth and indices of resource availability for seven regional Adelie penguin populations located along the East Antarctic coastline, we find compelling evidence that population growth is constrained at some locations by the amount of breeding habitat available to individuals. Locations with low breeding habitat availability had reduced population growth rates, higher overall occupancy rates, and higher occupancy of steeper slopes that are sparsely occupied or avoided at other locations. Our results are consistent with evolutionary models of avian breeding habitat selection where individuals search for high-quality nest sites to maximize fitness returns and subsequently occupy poorer habitat as population density increases. Alternate explanations invoking competition for food were not supported by the available evidence, but strong conclusions on food-related density dependence were constrained by the paucity of food availability data over the large spatial scales of this region. Our study highlights the importance of incorporating nonconstant conditions of species-environment relationships into predictive models of species distributions and population dynamics, and provides guidance for improved monitoring of fisheries and climate change impacts in the Southern Ocean.</t>
  </si>
  <si>
    <t>[Southwell, Colin; Emmerson, Louise] Australian Antarctic Div, Environm &amp; Energy Dept, Channel Highway, Kingston, Tas 7050, Australia</t>
  </si>
  <si>
    <t>Australian Antarctic Division</t>
  </si>
  <si>
    <t>Southwell, C (corresponding author), Australian Antarctic Div, Environm &amp; Energy Dept, Channel Highway, Kingston, Tas 7050, Australia.</t>
  </si>
  <si>
    <t>colin.southwell@aad.gov.au</t>
  </si>
  <si>
    <t>2045-7758</t>
  </si>
  <si>
    <t>ECOL EVOL</t>
  </si>
  <si>
    <t>Ecol. Evol.</t>
  </si>
  <si>
    <t>10.1002/ece3.6037</t>
  </si>
  <si>
    <t>KT9MR</t>
  </si>
  <si>
    <t>WOS:000518169600001</t>
  </si>
  <si>
    <t>Zou, JJ; Shi, XF; Zhu, AM; Kandasamy, S; Gong, X; Lembke-Jene, L; Chen, MT; Wu, YH; Ge, SL; Liu, YG; Xue, XR; Lohmann, G; Tiedemann, R</t>
  </si>
  <si>
    <t>Zou, Jianjun; Shi, Xuefa; Zhu, Aimei; Kandasamy, Selvaraj; Gong, Xun; Lembke-Jene, Lester; Chen, Min-Te; Wu, Yonghua; Ge, Shulan; Liu, Yanguang; Xue, Xinru; Lohmann, Gerrit; Tiedemann, Ralf</t>
  </si>
  <si>
    <t>Millennial-scale variations in sedimentary oxygenation in the western subtropical North Pacific and its links to North Atlantic climate</t>
  </si>
  <si>
    <t>INTERMEDIATE-WATER VENTILATION; EAST CHINA SEA; MERIDIONAL OVERTURNING CIRCULATION; SOUTHERN OKINAWA TROUGH; ASIAN MONSOON; OKHOTSK SEA; BERING-SEA; LAST DEGLACIATION; KUROSHIO CURRENT; NORTHWESTERN PACIFIC</t>
  </si>
  <si>
    <t>The deep-ocean carbon cycle, especially carbon sequestration and outgassing, is one of the mechanisms to explain variations in atmospheric CO2 concentrations on millennial and orbital timescales. However, the potential role of subtropical North Pacific subsurface waters in modulating atmospheric CO2 levels on millennial timescales is poorly constrained. An increase in the respired CO2 concentration in the glacial deep-ocean due to biological pump generally corresponds to deoxygenation in the ocean interior. This link thus offers a chance to study oceanic ventilation and coeval export productivity based on redox-controlled sedimentary geochemical parameters. Here, we investigate a suite of geochemical proxies in a sediment core from the Okinawa Trough to understand sedimentary oxygenation variations in the subtropical North Pacific over the last 50 000 years (50 ka). Our results suggest that enhanced mid-depth western subtropical North Pacific (WSTNP) sedimentary oxygenation occurred during cold intervals and after 8.5 ka, while oxygenation decreased during the Bolling-Allerod (B/A) and Preboreal. The enhanced oxygenation during cold spells is linked to the North Pacific Intermediate Water (NPIW), while interglacial increase after 8.5 ka is linked to an intensification of the Kuroshio Current due to strengthened northeast trade winds over the tropics. The enhanced formation of the NPIW during Heinrich Stadial 1 (HS1) was likely driven by the perturbation of sea ice formation and sea surface salinity oscillations in the high-latitude North Pacific. The diminished sedimentary oxygenation during the B/A due to a decreased NPIW formation and enhanced export production, indicates an expansion of the oxygen minimum zone in the North Pacific and enhanced CO2 sequestration at mid-depth waters, along with the termination of atmospheric CO2 concentration increase. We attribute the millennial-scale changes to an intensified NPIW and enhanced abyss flushing during deglacial cold and warm intervals, respectively, closely related to variations in North Atlantic Deep Water formation.</t>
  </si>
  <si>
    <t>[Zou, Jianjun; Shi, Xuefa; Zhu, Aimei; Wu, Yonghua; Ge, Shulan; Liu, Yanguang; Xue, Xinru] MNR, Key Lab Marine Sedimentol &amp; Environm Geol, Inst Oceanog 1, Qingdao 266061, Peoples R China; [Zou, Jianjun; Shi, Xuefa; Wu, Yonghua; Ge, Shulan; Liu, Yanguang] Qingdao Natl Lab Marine Sci &amp; Technol, Lab Marine Geol, Qingdao 266061, Peoples R China; [Kandasamy, Selvaraj] Xiamen Univ, Dept Geol Oceanog, Xiamen 361102, Peoples R China; [Kandasamy, Selvaraj] Xiamen Univ, State Key Lab Marine Environm Sci, Xiamen 361102, Peoples R China; [Gong, Xun; Lembke-Jene, Lester; Lohmann, Gerrit; Tiedemann, Ralf] Helmholtz Zentrum Polar &amp; Meeresforsch, Alfred Wegener Inst, Handelshafen 12, D-27570 Bremerhaven, Germany; [Chen, Min-Te] Natl Taiwan Ocean Univ, Inst Earth Sci, Keelung 20224, Taiwan; [Chen, Min-Te] Natl Taiwan Ocean Univ, Ctr Excellence Oceans, Keelung 20224, Taiwan; [Chen, Min-Te] Natl Taiwan Ocean Univ, Ctr Excellence Ocean Engn, Keelung 20224, Taiwan</t>
  </si>
  <si>
    <t>Laoshan Laboratory; Xiamen University; Xiamen University; Helmholtz Association; Alfred Wegener Institute, Helmholtz Centre for Polar &amp; Marine Research; National Taiwan Ocean University; National Taiwan Ocean University; National Taiwan Ocean University</t>
  </si>
  <si>
    <t>Zou, JJ; Shi, XF (corresponding author), MNR, Key Lab Marine Sedimentol &amp; Environm Geol, Inst Oceanog 1, Qingdao 266061, Peoples R China.;Zou, JJ; Shi, XF (corresponding author), Qingdao Natl Lab Marine Sci &amp; Technol, Lab Marine Geol, Qingdao 266061, Peoples R China.</t>
  </si>
  <si>
    <t>zoujianjun@fio.org.cn; xfshi@fio.org.cn</t>
  </si>
  <si>
    <t>Liu, Yanguang/AAG-8119-2021; Chen, Min-Te/AAD-5990-2021; shi, xuefa/AAC-6977-2022; Chen, Min-Te/ABF-2935-2020; Kandasamy, Selvaraj/JJD-9543-2023; Lembke-Jene, Lester/ABC-6275-2020; Lembke-Jene, Lester/F-5084-2013; Kandasamy, Selvaraj/H-5812-2013</t>
  </si>
  <si>
    <t>Liu, Yanguang/0000-0002-4524-2930; Chen, Min-Te/0000-0002-7552-1615; Lembke-Jene, Lester/0000-0002-6873-8533; Kandasamy, Selvaraj/0000-0003-2916-5055; Gong, Xun/0000-0001-9308-4431</t>
  </si>
  <si>
    <t>National Program on Global Change and Air-Sea Interaction [GASI-GEOGE-04]; National Natural Science Foundation of China [41876065, 41476056, 41420104005, 41206059, U1606401]; Basic Scientific Fund for National Public Research Institutes of China [2016Q09]; International Cooperative Projects in Polar Study of Chinese Arctic and Antarctic Administration [201613]; Taishan Scholars Program of Shandong; Chinese-German cooperation project (BMBF) SIGEPAX [03F0704A]; Chinese-German cooperation project (BMBF) NOPAWAC [03F0785A]; national Helmholtz Association REKLIM Initiative</t>
  </si>
  <si>
    <t>National Program on Global Change and Air-Sea Interaction; National Natural Science Foundation of China(National Natural Science Foundation of China (NSFC)); Basic Scientific Fund for National Public Research Institutes of China; International Cooperative Projects in Polar Study of Chinese Arctic and Antarctic Administration; Taishan Scholars Program of Shandong; Chinese-German cooperation project (BMBF) SIGEPAX(Federal Ministry of Education &amp; Research (BMBF)); Chinese-German cooperation project (BMBF) NOPAWAC(Federal Ministry of Education &amp; Research (BMBF)); national Helmholtz Association REKLIM Initiative</t>
  </si>
  <si>
    <t>This research has been supported by the National Program on Global Change and Air-Sea Interaction (grant no. GASI-GEOGE-04), the National Natural Science Foundation of China (grant nos. 41876065, 41476056, 41420104005, 41206059 and U1606401), the Basic Scientific Fund for National Public Research Institutes of China (grant no. 2016Q09), the International Cooperative Projects in Polar Study of Chinese Arctic and Antarctic Administration (grant no. 201613), the Taishan Scholars Program of Shandong (Xuefa Shi), and the Chinese-German cooperation projects (funding through BMBF) SIGEPAX (grant no. 03F0704A) and NOPAWAC (grant no. 03F0785A) and the national Helmholtz Association REKLIM Initiative.</t>
  </si>
  <si>
    <t>10.5194/cp-16-387-2020</t>
  </si>
  <si>
    <t>KQ1RR</t>
  </si>
  <si>
    <t>WOS:000516707300001</t>
  </si>
  <si>
    <t>Cabanes, DJE; Norman, L; Bowie, AR; Strmecki, S; Hassler, CS</t>
  </si>
  <si>
    <t>Cabanes, Damien J. E.; Norman, Louiza; Bowie, Andrew R.; Strmecki, Sladana; Hassler, Christel S.</t>
  </si>
  <si>
    <t>Electrochemical evaluation of iron-binding ligands along the Australian GEOTRACES southwestern Pacific section (GP13)</t>
  </si>
  <si>
    <t>MARINE CHEMISTRY</t>
  </si>
  <si>
    <t>Iron; Organic speciation; Humic substances; Polymers; Phytoplankton; Southwestern Pacific Ocean</t>
  </si>
  <si>
    <t>CATHODIC STRIPPING VOLTAMMETRY; DISSOLVED ORGANIC-MATTER; HUMIC SUBSTANCES; EXOPOLYMERIC SUBSTANCES; COMPLEXING LIGANDS; NATURAL-WATERS; SURFACE OCEAN; TRACE-METALS; SEAWATER; COMPLEXATION</t>
  </si>
  <si>
    <t>In this work, we performed electrochemical investigations of Fe-binding ligands in water samples collected in autumn 2011 along the Australian GEOTRACES southwestern Pacific section (GP13, between 153 degrees E and 170 degrees W longitude along the 30 degrees S line East of Australia, 0-1000 m depth). We determined the capacity of the bulk organic ligands to complex Fe using competitive ligand exchange-adsorptive cathodic stripping voltammetry (CLEAdCSV) with salicylaldoxime as the competing ligand. Two categories of organic ligands, humic substances (HS-like) and catalytically active polymers (Cat. P) were electrochemically quantified in order to better define the bulk of Fe-binding ligands. Finally, Fe speciation results have been linked to oceanographic data, phytoplankton biomass, and two groups of cyanobacteria (Prochlorococcus and Synechococcus) which are prominent members of the phototrophic community in the study region. Across the section, higher total ligand concentrations over dissolved Fe concentrations were observed, as well as the predominance of weak Fe-binding ligands (log K'(Fe'L) &lt; 12). Highest excess ligands were mostly concentrated in the upper layer of the water column, suggesting a direct link with biological activity. None of the two groups of organic ligands measured (HS-like and Cat. P) accounted for the bulk of the total Fe-binding ligands concentration, hindering a better characterization of the nature of in-situ Fe-binding ligands. Cat. P concentrations showed statistically significant positive correlations with all biomarker pigments and the abundance of Prochlorococcus, suggesting that this material, resembling polysaccharides, could be a good parameter to probe organic compounds from specific biological origin. Amongst the biological parameters, only Prochlorococcus was related to Fe' concentrations.</t>
  </si>
  <si>
    <t>[Cabanes, Damien J. E.; Hassler, Christel S.] Univ Geneva, Fac Sci, Dept FA Forel Environm &amp; Aquat Sci Earth &amp; Enviro, Uni Carl Vogt,Marine &amp; Lake Biogeochem, 66 Bvd Carl Vogt, CH-1211 Geneva 4, Switzerland; [Norman, Louiza] Univ Liverpool, Sch Environm Sci, Dept Earth Ocean &amp; Ecol Sci, Liverpool L69 3GP, Merseyside, England; [Bowie, Andrew R.] Univ Tasmania, Antarctic Climate &amp; Ecosyst CRC, Hobart, Tas 7001, Australia; [Bowie, Andrew R.] Univ Tasmania, Inst Marine &amp; Antarctic Studies, Hobart, Tas 7001, Australia; [Strmecki, Sladana] Rudjer Boskovic Inst, Div Marine &amp; Environm Res, Bijenicka 54, Zagreb 10000, Croatia; [Hassler, Christel S.] Ecole Polytech Fed Lausanne, Swiss Polar Inst, CH-1015 Lausanne, Switzerland</t>
  </si>
  <si>
    <t>University of Geneva; University of Liverpool; University of Tasmania; University of Tasmania; Rudjer Boskovic Institute; Swiss Federal Institutes of Technology Domain; Ecole Polytechnique Federale de Lausanne</t>
  </si>
  <si>
    <t>Hassler, CS (corresponding author), Univ Geneva, Fac Sci, Dept FA Forel Environm &amp; Aquat Sci Earth &amp; Enviro, Uni Carl Vogt,Marine &amp; Lake Biogeochem, 66 Bvd Carl Vogt, CH-1211 Geneva 4, Switzerland.</t>
  </si>
  <si>
    <t>Christel.Hassler@epfl.ch</t>
  </si>
  <si>
    <t>Strmečki, Slađana/GPP-2905-2022; Bowie, Andrew/C-8677-2013</t>
  </si>
  <si>
    <t>Hassler, Christel/0000-0002-8976-5469; Strmecki, Sladana/0000-0002-3734-4275; Bowie, Andrew/0000-0002-5144-7799</t>
  </si>
  <si>
    <t>Swiss National Science Foundation [PP00P2_138955]; Australian Research Council [DP1092892, LE0989539, FT130100037]; UTS Chancellor Fellowship; Croatian Science Foundation [8607]; University of Tasmania [B0018994, B0019024, L0018934]; Australian Marine National Facility [voyage ss2011_v02]; Swiss National Science Foundation (SNF) [PP00P2_138955] Funding Source: Swiss National Science Foundation (SNF)</t>
  </si>
  <si>
    <t>Swiss National Science Foundation(Swiss National Science Foundation (SNSF)); Australian Research Council(Australian Research Council); UTS Chancellor Fellowship; Croatian Science Foundation; University of Tasmania; Australian Marine National Facility; Swiss National Science Foundation (SNF)(Swiss National Science Foundation (SNSF))</t>
  </si>
  <si>
    <t>D.J.E.C. was funded by the Swiss National Science Foundation (PPOOP2_138955), L.N. by the Australian Research Council (Discovery Project DP1092892) and C.S.H. by the Australian Research Council (Discovery Project DP1092892 and LIEF grand LE0989539), the UTS Chancellor Fellowship and the Swiss National Science Foundation (PP00P2_138955). S.S. was supported by Croatian Science Foundation project No. 8607 (AMBIOMERES). A.R.B. was supported by grants from the Australian Research Council (Future Fellowship program; FT130100037) and the University of Tasmania (B0018994, B0019024, and L0018934). The Australian Marine National Facility funded the shiptime for the GEOTRACES GP13 section (voyage ss2011_v02).</t>
  </si>
  <si>
    <t>0304-4203</t>
  </si>
  <si>
    <t>1872-7581</t>
  </si>
  <si>
    <t>MAR CHEM</t>
  </si>
  <si>
    <t>Mar. Chem.</t>
  </si>
  <si>
    <t>10.1016/j.marchem.2019.103736</t>
  </si>
  <si>
    <t>Chemistry, Multidisciplinary; Oceanography</t>
  </si>
  <si>
    <t>Chemistry; Oceanography</t>
  </si>
  <si>
    <t>KM2ZR</t>
  </si>
  <si>
    <t>WOS:000513991800001</t>
  </si>
  <si>
    <t>Sedwick, PN; Bowie, AR; Church, TM; Cullen, JT; Johnson, RJ; Lohan, MC; Marsay, CM; McGillicuddy, DJ; Sohst, BM; Tagliabue, A; Ussher, SJ</t>
  </si>
  <si>
    <t>Sedwick, P. N.; Bowie, A. R.; Church, T. M.; Cullen, J. T.; Johnson, R. J.; Lohan, M. C.; Marsay, C. M.; McGillicuddy, D. J., Jr.; Sohst, B. M.; Tagliabue, A.; Ussher, S. J.</t>
  </si>
  <si>
    <t>Dissolved iron in the Bermuda region of the subtropical North Atlantic Ocean: Seasonal dynamics, mesoscale variability, and physicochemical speciation</t>
  </si>
  <si>
    <t>Dissolved iron; Seasonal variability; Physicochemical speciation; Sargasso Sea</t>
  </si>
  <si>
    <t>FLOW INJECTION-CHEMILUMINESCENCE; SIZE-FRACTIONATED IRON; TIME-SERIES; ORGANIC COMPLEXATION; SURFACE OCEAN; PICOMOLAR CONCENTRATIONS; SOUTH ATLANTIC; HYDROSTATION-S; PARTICLE-FLUX; SARGASSO SEA</t>
  </si>
  <si>
    <t>Water-column data from seven cruises in 2007-2008 reveal pronounced temporal and spatial variations in the distribution of dissolved iron (DFe, &lt; 0.4 mu m) over the upper 1000 m of the Sargasso Sea near Bermuda, in the western subtropical North Atlantic Ocean. In near-surface waters, DFe exhibits a clear seasonal cycle, increasing from similar to 0.1-0.3 nM in spring to similar to 0.4-1.0 nM in summer-early fall. The observed seasonal ranges appear to reflect the extent of winter convective mixing and of summer dust deposition, both of which are closely tied to atmospheric circulation processes. Surface DFe concentrations also show significant (similar to two-fold) submesoscale lateral variations during summer, perhaps as a result of lateral inhomogeneities in wet deposition and wind-driven mixing. The summer vertical profiles reveal pronounced DFe minima and sometimes deeper maxima in the lower euphotic zone, which likely reflect biological uptake and shallow remineralization, and eddy-driven lateral gradients in these processes. Significant variability is also seen in the mesopelagic zone, with a DFe concentration range of similar to 0.4-0.7 nM at 1000 m depth, which may reflect mesoscale isopycnal displacements and/or lateral advection of iron-rich waters in the lower thermocline. Physicochemical iron speciation measurements indicate that the major fraction of DFe that accumulates in surface waters of the Sargasso Sea during summer is colloidal-sized FOIE), which appears to be complexed by strong, iron-binding organic ligands. Concentrations of soluble iron (sFe, &lt; 0.02 mu m) were considerably lower than DFe in the upper euphotic zone during summer, except over the subsurface DFe minima, where sFe accounts for similar to 50-100% of the DFe pool. Labile Fe(II), on average, accounted for around 20% of DFe, with maximum concentrations of around 0.1 nM in near-surface waters and in the lower thermocline. The seasonal-scale DFe changes that we have documented near Bermuda are of the same magnitude as basin-scale lateral gradients across the North Atlantic, underscoring the importance of time-series observations in understanding the behavior of trace elements in the upper ocean.</t>
  </si>
  <si>
    <t>[Sedwick, P. N.; Sohst, B. M.] Old Dominion Univ, Dept Ocean Earth &amp; Atmospher Sci, Norfolk, VA 23508 USA; [Bowie, A. R.] Univ Tasmania, Inst Marine &amp; Antarctic Studies, Hobart, Tas 7001, Australia; [Bowie, A. R.] Univ Tasmania, Antarctic Climate &amp; Ecosyst Cooperat Res Ctr, Hobart, Tas 7001, Australia; [Church, T. M.] Univ Delaware, Sch Earth Ocean &amp; Environm, Newark, DE 19716 USA; [Cullen, J. T.] Univ Victoria, Sch Earth &amp; Ocean Sci, Victoria, BC V8W 3V6, Canada; [Johnson, R. J.] Bermuda Inst Ocean Sci, GE01, St Georges, Bermuda; [Lohan, M. C.] Univ Southampton, Natl Oceanog Ctr, Ocean &amp; Earth Sci, Southampton SO14 3ZH, Hants, England; [Marsay, C. M.] Univ Georgia, Skidaway Inst Oceanog, Savannah, GA 31411 USA; [McGillicuddy, D. J., Jr.] Woods Hole Oceanog Inst, Woods Hole, MA 02543 USA; [Tagliabue, A.] Univ Liverpool, Sch Environm Sci, Liverpool L69 3GP, Merseyside, England; [Ussher, S. J.] Univ Plymouth, Sch Geog Earth &amp; Environm Sci, Plymouth PL4 8AA, Devon, England</t>
  </si>
  <si>
    <t>Old Dominion University; University of Tasmania; University of Tasmania; Antarctic Climate &amp; Ecosystems Cooperative Research Centre (ACE CRC); University of Delaware; University of Victoria; Bermuda Institute of Ocean Sciences; University of Southampton; NERC National Oceanography Centre; University System of Georgia; University of Georgia; Skidaway Institute of Oceanography; Woods Hole Oceanographic Institution; University of Liverpool; University of Plymouth</t>
  </si>
  <si>
    <t>Sedwick, PN (corresponding author), Old Dominion Univ, Dept Ocean Earth &amp; Atmospher Sci, Norfolk, VA 23508 USA.</t>
  </si>
  <si>
    <t>psedwick@odu.edu</t>
  </si>
  <si>
    <t>; Bowie, Andrew/C-8677-2013</t>
  </si>
  <si>
    <t>Ussher, Simon/0000-0001-6724-9212; Lohan, Maeve/0000-0002-5340-3108; Sedwick, Peter/0000-0003-0663-8323; Marsay, Christopher/0000-0003-1244-0444; Bowie, Andrew/0000-0002-5144-7799</t>
  </si>
  <si>
    <t>US National Science Foundation [OCE-0222053, OCE-0138352, OCE-1829833, OCE-0222046]; Institute of Marine and Antarctic Studies; Antarctic Climate and Ecosystems CRC; University of Tasmania; European Commission Marie Curie Fellowship [PIOF-GA-2009-235418 SOLAIROS]; NSF; NASA; NERC [NE/N001125/1, NE/S013547/1, NE/P021336/1, NE/P021344/1] Funding Source: UKRI</t>
  </si>
  <si>
    <t>US National Science Foundation(National Science Foundation (NSF)); Institute of Marine and Antarctic Studies; Antarctic Climate and Ecosystems CRC(Australian GovernmentDepartment of Industry, Innovation and ScienceCooperative Research Centres (CRC) Programme); University of Tasmania; European Commission Marie Curie Fellowship(European Union (EU)European Commission Joint Research Centre); NSF(National Science Foundation (NSF)); NASA(National Aeronautics &amp; Space Administration (NASA)); NERC(UK Research &amp; Innovation (UKRI)Natural Environment Research Council (NERC))</t>
  </si>
  <si>
    <t>We thank the officers and crew of RV Atlantic Explorer, the numerous scientific participants in the FeAST cruises, and chief scientists Maureen Conte, John Dacey and Carl Lamborg, who allowed us to piggyback our field sampling on their shipboard programs. This research was primarily funded by the US National Science Foundation through awards OCE-0222053, OCE-0138352 and OCE-1829833 (to PNS), and OCE-0222046 (to TMC); PNS and ARB also acknowledge support from the Institute of Marine and Antarctic Studies, the Antarctic Climate and Ecosystems CRC, and the University of Tasmania through a Visiting Scholar award, and SJU acknowledges support provided by a European Commission Marie Curie Fellowship (PIOF-GA-2009-235418 SOLAIROS). Valery Kosnyrev is thanked for preparation of the altimetric analyses, and DJM gratefully acknowledges support from NSF and NASA. Altimeter products were produced and distributed by AVISO (www.aviso.oceanobs.com/) as part of the Ssalto ground processing segment. The authors also thank three anonymous reviewers for their thoughtful comments and suggestions, which have improved the manuscript.</t>
  </si>
  <si>
    <t>10.1016/j.marchem.2019.103748</t>
  </si>
  <si>
    <t>WOS:000513991800002</t>
  </si>
  <si>
    <t>Friedland, KD; Langan, JA; Large, SI; Selden, RL; Link, JS; Watson, RA; Collie, JS</t>
  </si>
  <si>
    <t>Friedland, Kevin D.; Langan, Joseph A.; Large, Scott I.; Selden, Rebecca L.; Link, Jason S.; Watson, Reg A.; Collie, Jeremy S.</t>
  </si>
  <si>
    <t>Changes in higher trophic level productivity, diversity and niche space in a rapidly warming continental shelf ecosystem</t>
  </si>
  <si>
    <t>Species interactions; Niche overlap; Biodiversity; Habitat; Species distribution model</t>
  </si>
  <si>
    <t>CLIMATE-CHANGE; SPECIES DISTRIBUTION; DISTRIBUTION SHIFTS; BIODIVERSITY LOSS; FISH COMMUNITIES; MARINE HEATWAVES; OCEAN; ATLANTIC; IMPACTS; TROPICALIZATION</t>
  </si>
  <si>
    <t>There is long-standing ecological and socioeconomic interest in what controls the diversity and productivity of ecosystems. That focus has intensified with shifting environmental conditions associated with accelerating climate change. The U.S. Northeast Shelf (NES) is a well-studied continental shelf marine ecosystem that is among the more rapidly warming marine systems worldwide. Furthermore, many constituent species have experienced significant distributional shifts. However, the system response of the NES to climate change goes beyond simple shifts in species distribution. The fish and macroinvertebrate communities of the NES have increased in species diversity and overall productivity in recent decades, despite no significant decline in fishing pressure. Species distribution models constructed using random forest classification and regression trees were fit for the dominant species in the system. Over time, the areal distribution of occupancy habitat has increased for approximately 80% of the modeled taxa, suggesting most species have significantly increased their range and niche space. These niche spaces were analyzed to determine the area of niche overlap between species pairs. For the vast majority of species pairs, interaction has increased over time suggesting greater niche overlap and the increased probability for more intense species interactions, such as between competitors or predators and prey. Furthermore, the species taxonomic composition and size structure indicate a potential tropicalization of the fish community. The system and community changes are consistent with the view that the NES may be transitioning from a cold temperate or boreal ecoregion to one more consistent with the composition of a warm temperate or Carolinian system. Published by Elsevier B.V.</t>
  </si>
  <si>
    <t>[Friedland, Kevin D.] NOAA, Natl Marine Fisheries Serv, Northeast Fisheries Sci Ctr, 28 Tarzwell Dr, Narragansett, RI 02882 USA; [Langan, Joseph A.; Collie, Jeremy S.] Univ Rhode Isl, Grad Sch Oceanog, 215 South Ferry Rd, Narragansett, RI 02882 USA; [Large, Scott I.] NOAA, Natl Marine Fisheries Serv, Northeast Fisheries Sci Ctr, 166 Water St, Woods Hole, MA 02543 USA; [Selden, Rebecca L.] Rutgers State Univ, Dept Ecol Evolut &amp; Nat Resources, New Brunswick, NJ USA; [Link, Jason S.] NOAA, Natl Marine Fisheries Serv, Off Assistant Administrator, 166 Water St, Woods Hole, MA 02543 USA; [Watson, Reg A.] Univ Tasmania, Inst Marine &amp; Antarctic Studies, Taroona, Tas 7001, Australia</t>
  </si>
  <si>
    <t>National Oceanic Atmospheric Admin (NOAA) - USA; University of Rhode Island; National Oceanic Atmospheric Admin (NOAA) - USA; Rutgers University System; Rutgers University New Brunswick; National Oceanic Atmospheric Admin (NOAA) - USA; University of Tasmania</t>
  </si>
  <si>
    <t>Friedland, KD (corresponding author), NOAA, Natl Marine Fisheries Serv, Northeast Fisheries Sci Ctr, 28 Tarzwell Dr, Narragansett, RI 02882 USA.</t>
  </si>
  <si>
    <t>kevin.friedland@noaa.gov</t>
  </si>
  <si>
    <t>Large, Scott/A-1154-2011; Link, Jason/HOF-3606-2023</t>
  </si>
  <si>
    <t>Link, Jason/0000-0003-2740-7161; Friedland, Kevin/0000-0003-3887-0186</t>
  </si>
  <si>
    <t>10.1016/j.scitotenv.2019.135270</t>
  </si>
  <si>
    <t>JY8QK</t>
  </si>
  <si>
    <t>WOS:000504672800022</t>
  </si>
  <si>
    <t>Miranda, V; Pina, P; Heleno, S; Vieira, G; Mora, C; Schaefer, CEGR</t>
  </si>
  <si>
    <t>Miranda, Vasco; Pina, Pedro; Heleno, Sandra; Vieira, Goncalo; Mora, Carla; Schaefer, Carlos E. G. R.</t>
  </si>
  <si>
    <t>Monitoring recent changes of vegetation in Fildes Peninsula (King George Island, Antarctica) through satellite imagery guided by UAV surveys</t>
  </si>
  <si>
    <t>Vegetation Mapping; Change detection; UAV; Satellite; Object-based classification; Permafrost; Antarctica</t>
  </si>
  <si>
    <t>SOUTH SHETLAND ISLANDS; LICHEN GROWTH-RATES; ICE-FREE SURFACES; CLIMATE-CHANGE; TERRESTRIAL VEGETATION; LIVINGSTON ISLAND; ARDLEY ISLAND; ACTIVE-LAYER; SNOW COVER; MOSS</t>
  </si>
  <si>
    <t>Mapping accurately vegetation surfaces in space and time in the ice-free areas of Antarctica can provide important information to quantitatively describe the evolution of their ecosystems. Spaceborne remote sensing is the adequate way to map and evaluate multitemporal changes on the Antarctic vegetation at large but its nature of occurrence, in relatively small and sparse patches, makes the identification very challenging. The inclusion of an intermediate scale of observation between ground and satellite scales, provided by Unmanned Aerial Vehicles (UAV) imagery, is of great help not only for their effective classification, but also for discriminating their main communities (lichens and mosses). Thus, this paper quantifies accurately recent changes of the vegetated areas in Fildes Peninsula (King George Island, Antarctica) through a novel methodology based on the integration of multiplatform data (satellite and UAV). It consists of multiscale imagery (spatial resolution of 2 m and 2 cm) from the same period to create a robust classifier that, after intensive calibration, is adequately used in other dates, where field reference data is scarce or not available at all. The methodology is developed and tested with UAV and satellite data from 2017 showing overall accuracies of 96% and kappa equal to 0.94 with a SVM classifier. These high performances allow the extrapolation to a pair of previous dates, 2006 and 2013, when atmospherically clear very high-resolution satellite imagery are available. The classification allows verifying a loss of the total area of vegetation of 4.5% during the 11-year time period under analysis, which corresponds to a 10.3% reduction for Usnea sp. and 9.8% for moss formations. Nevertheless, the breakdown analysis by time period shows a distinct behaviour for each vegetation type which are evaluated and discussed, namely for Usnea sp. whose decline is likely to be related to changing snow conditions. (C) 2019 Elsevier B.V. All rights reserved.</t>
  </si>
  <si>
    <t>[Miranda, Vasco; Pina, Pedro; Heleno, Sandra] Univ Lisbon, IST, Ctr Recursos Nat &amp; Ambiente, CERENA, P-1049001 Lisbon, Portugal; [Vieira, Goncalo; Mora, Carla] Univ Lisbon, IGOT, CEG, P-1600276 Lisbon, Portugal; [Schaefer, Carlos E. G. R.] Univ Fed Vicosa, Dept Solos, BR-36571000 Vicosa, MG, Brazil</t>
  </si>
  <si>
    <t>Universidade de Lisboa; Universidade de Lisboa; Universidade Federal de Vicosa</t>
  </si>
  <si>
    <t>Pina, P (corresponding author), Univ Lisbon, IST, Ctr Recursos Nat &amp; Ambiente, CERENA, P-1049001 Lisbon, Portugal.</t>
  </si>
  <si>
    <t>ppina@tecnico.ulisboa.pt</t>
  </si>
  <si>
    <t>Pina, Pedro/B-4879-2008; Heleno, Sandra/AAC-4637-2020; Schaefer, Carlos Ernesto/AAY-4977-2020; Vieira, Goncalo/G-5958-2010; Mora, Carla/D-2706-2012</t>
  </si>
  <si>
    <t>Pina, Pedro/0000-0002-3199-7961; Heleno, Sandra/0000-0003-1633-0218; Vieira, Goncalo/0000-0001-7611-3464; Mora, Carla/0000-0002-0843-3658; Miranda, Vasco/0000-0001-9054-5116</t>
  </si>
  <si>
    <t>Portuguese Polar Program (PROPOLAR) through research campaign project CIRCLAR in 2016-2017; Portuguese Polar Program (PROPOLAR) through research campaign project SNOWCHANGE in 2011-2012; FCT-Fundacao para a Ciencia e a Tecnologia, Portugal [UID/ECI/04028/2019, UID/GEO/00295/2019]; Instituto Antartico Chileno (INACH); Fundação para a Ciência e a Tecnologia [UID/GEO/00295/2019, UID/ECI/04028/2019] Funding Source: FCT</t>
  </si>
  <si>
    <t>Portuguese Polar Program (PROPOLAR) through research campaign project CIRCLAR in 2016-2017; Portuguese Polar Program (PROPOLAR) through research campaign project SNOWCHANGE in 2011-2012; FCT-Fundacao para a Ciencia e a Tecnologia, Portugal(Fundacao para a Ciencia e a Tecnologia (FCT)); Instituto Antartico Chileno (INACH); Fundação para a Ciência e a Tecnologia(Fundacao para a Ciencia e a Tecnologia (FCT))</t>
  </si>
  <si>
    <t>The research presented in this paper was funded by the Portuguese Polar Program (PROPOLAR) through research campaign projects CIRCLAR in 2016-2017 and SNOWCHANGE in 2011-2012 and the pluriannual funding projects of CERENA (UID/ECI/04028/2019) and CEG (UID/GEO/00295/2019) funded by FCT-Fundacao para a Ciencia e a Tecnologia, Portugal.; The support at Escudero station and field logistics in Fildes Peninsula provided by Instituto Antartico Chileno (INACH), and the logistical support by the Portuguese Polar Program (PROPOLAR) are warmly thanked.</t>
  </si>
  <si>
    <t>10.1016/j.scitotenv.2019.135295</t>
  </si>
  <si>
    <t>WOS:000504672800101</t>
  </si>
  <si>
    <t>Zhang, ZY; Zheng, NJ; Zhang, D; Xiao, HW; Cao, YS; Xiao, HY</t>
  </si>
  <si>
    <t>Zhang, Zhongyi; Zheng, Nengjian; Zhang, Dong; Xiao, Hongwei; Cao, Yansheng; Xiao, Huayun</t>
  </si>
  <si>
    <t>Rayleigh based concept to track NOx emission sources in urban areas of China</t>
  </si>
  <si>
    <t>Rayleigh model; Nitrogen isotope; Nitrate; PM2.5; Source apportionment; Beijing-Tianjin-Shijiazhuang</t>
  </si>
  <si>
    <t>FINE-PARTICLE PH; NITROGEN ISOTOPIC COMPOSITION; EAST ANTARCTIC PLATEAU; SEVERE HAZE EPISODES; AIR-SNOW TRANSFER; ANTHROPOGENIC EMISSIONS; THEORETICAL CALCULATION; FRACTIONATION FACTORS; ATMOSPHERIC AMMONIA; SULFATE FORMATION</t>
  </si>
  <si>
    <t>Despite the implementation of some effective measures to control emissions of nitrogen oxides (NOx = NO + NO2) in recent years, the ambient NOx concentration in urban cities of China remains high. Therefore, a quantitative understanding of NOx emission sources is critical to developing effective mediation policies. In the present study, the dual isotopic compositions of nitrate (p-NO3) in fine-particle aerosol (PM2.5) collected daily at a regional scale (Beijing-Tianjin-Shijiazhuang) were measured to better constrain the NOx emission sources. The specific focus was on a typical haze episode that occurred simultaneously in the three urban cities (October 22-29, 2017). It was found that the nitrogen isotopic values of nitrate in PM2.5(hereafter as delta N-15-NO3) ranged widely from -3.1%, to + 11.4%0, with a mean value of 3. 5 +/- 3.7%0. Furthermore, a negative relationship between the delta N-15-NO3 values and the corresponded pNO(3) concentrations during the haze period was observed. This implied the preferential formation of N-15-enriched NO3 into a fine-particle aerosol. Taking a different approach to previous publications, the Rayleigh fractionation model was used to characterize the initial isotopic signatures of ambient NOx. After accounting for the delta(15) difference between p-NO3 and the source NOx, the estimated initial delta N-15-NO x ranged from -20%, to 0%0, which indicated a cosniderable contribution of non-fossil fuel emissions. The individual contributions of potential sources were further quantified using the Bayesian mixing model, revealing that NOx from coal or natural gas combustion, vehicle exhausts, biomass burning, and the microbial activity contributed 17.9 +/- 11.4%, 29.4 +/- 19.6%, 29.1 +/- 18.9% and 23.5 +/- 12.7% to NO3 in PM2.5, respectively. These results highlighted that tightening controls of gaseous NOx emissions from non-fossil sources may represent an opportunity to mitigate PM2.5 pollution in urban cities of China. (C) 2019 Elsevier B.V. All rights reserved.</t>
  </si>
  <si>
    <t>[Zhang, Zhongyi; Zheng, Nengjian; Xiao, Hongwei; Cao, Yansheng; Xiao, Huayun] East China Univ Technol, Jiangxi Prov Key Lab Causes &amp; Control Atmospher P, Nanchang 330013, Jiangxi, Peoples R China; [Zhang, Zhongyi; Zheng, Nengjian; Xiao, Hongwei; Cao, Yansheng] East China Univ Technol, Sch Water Resources &amp; Environm Engn, Nanchang 330013, Jiangxi, Peoples R China; [Zhang, Dong] Henan Polytech Univ, Inst Resources &amp; Environm, Jiaozuo 45400, Henan, Peoples R China</t>
  </si>
  <si>
    <t>East China University of Technology; East China University of Technology; Henan Polytechnic University</t>
  </si>
  <si>
    <t>Xiao, HY (corresponding author), East China Univ Technol, Jiangxi Prov Key Lab Causes &amp; Control Atmospher P, Nanchang 330013, Jiangxi, Peoples R China.</t>
  </si>
  <si>
    <t>zhangzhongyi@ecit.cn; zhengnengjian@ecit.cn; zhangdong@hpu.edu.cn; xiaohw@ecit.cn; yanshengcao@ecit.cn; xiaohuayun@ecit.cn</t>
  </si>
  <si>
    <t>Xiao, Hong-Wei/N-7615-2013</t>
  </si>
  <si>
    <t>Zhang, Zhongyi/0000-0001-6530-5997; Xiao, Hua-Yun/0000-0002-2369-9809; Xiao, Hong-Wei/0000-0003-1743-449X</t>
  </si>
  <si>
    <t>National Natural Science Foundation of China [41863001, 41425014]</t>
  </si>
  <si>
    <t>National Natural Science Foundation of China(National Natural Science Foundation of China (NSFC))</t>
  </si>
  <si>
    <t>This study was kindly supported by the National Natural Science Foundation of China through grants 41863001, and 41425014. We thank Li Luo, Yongyun Zhang, Wei Guo, Yajun Xie for their contributions to laboratory works.</t>
  </si>
  <si>
    <t>10.1016/j.scitotenv.2019.135362</t>
  </si>
  <si>
    <t>WOS:000504672800118</t>
  </si>
  <si>
    <t>Lo Giudice, A; Poli, A; Finore, I; Rizzo, C</t>
  </si>
  <si>
    <t>Lo Giudice, Angelina; Poli, Annarita; Finore, Ilaria; Rizzo, Carmen</t>
  </si>
  <si>
    <t>Peculiarities of extracellular polymeric substances produced by Antarctic bacteria and their possible applications</t>
  </si>
  <si>
    <t>APPLIED MICROBIOLOGY AND BIOTECHNOLOGY</t>
  </si>
  <si>
    <t>Psychrophiles; Thermophiles; EPS purification; Antarctic matrices; Biotechnological value</t>
  </si>
  <si>
    <t>LAKE CAPE-RUSSELL; SEA-ICE; CRYOPROTECTIVE PROPERTIES; PSYCHROPHILIC BACTERIUM; EXOPOLYSACCHARIDE; POLYSACCHARIDE; STRAIN; EPS; ENVIRONMENTS; OPTIMIZATION</t>
  </si>
  <si>
    <t>Extracellular polymeric substances (EPSs) possess diversified ecological role, including the cell adhesion to surfaces and cell protection, and are highly involved in the interactions between the bacterial cells and the bulk environments. Interestingly, EPSs find valuable applications in the industrial field, due to their chemical versatility. In this context, Antarctic bacteria have not been given the attention they deserve as producers of EPS molecules and a very limited insight into their EPS production capabilities and biotechnological potential is available in literature to date. Antarctic EPS-producing bacteria are mainly psychrophiles deriving from the marine environments (generally sea ice and seawater) around the continent, whereas a unique thermophilic bacterium, namely Parageobacillus thermantarcticus strain M1, was isolated from geothermal soil of the crater of Mount Melbourne. This mini-review is aimed at showcasing the current knowledge on EPS-producing Antarctic bacteria and the chemical peculiarities of produced EPSs, highlighting their biotechnological potential and the yet unexplored treasure they represent for biodiscovery.</t>
  </si>
  <si>
    <t>[Lo Giudice, Angelina] CNR, ISP, Natl Res Council, Inst Polar Sci, Spianata S Raineri 86, I-98122 Messina, Italy; [Poli, Annarita; Finore, Ilaria] CNR, ICB, Natl Res Council, Inst Biomol Chem, Via Campi Flegrei 34, I-80078 Naples, Italy; [Rizzo, Carmen] Natl Inst Biol, Stn Zool Anton Dohrn, Dept BIOTECH, Contrada Porticatello 29, I-98167 Messina, Italy</t>
  </si>
  <si>
    <t>Consiglio Nazionale delle Ricerche (CNR); Istituto di Scienze Polari (ISP-CNR); Consiglio Nazionale delle Ricerche (CNR); Istituto di Chimica Biomolecolare (ICB-CNR); Stazione Zoologica Anton Dohrn di Napoli</t>
  </si>
  <si>
    <t>Lo Giudice, A (corresponding author), CNR, ISP, Natl Res Council, Inst Polar Sci, Spianata S Raineri 86, I-98122 Messina, Italy.</t>
  </si>
  <si>
    <t>angelina.logiudice@cnr.it</t>
  </si>
  <si>
    <t>Rizzo, Carmen/AAA-3075-2022; Rizzo, Carmen/S-6285-2019; Finore, Ilaria/P-9423-2018</t>
  </si>
  <si>
    <t>Finore, Ilaria/0000-0003-3606-5140</t>
  </si>
  <si>
    <t>PNRA (Programma Nazionale di Ricerche in Antartide), Italian Ministry of Education and Research [PNRA16_00020]</t>
  </si>
  <si>
    <t>PNRA (Programma Nazionale di Ricerche in Antartide), Italian Ministry of Education and Research</t>
  </si>
  <si>
    <t>This research was supported by grants from the PNRA (Programma Nazionale di Ricerche in Antartide), Italian Ministry of Education and Research (Research Project PNRA16_00020).</t>
  </si>
  <si>
    <t>0175-7598</t>
  </si>
  <si>
    <t>1432-0614</t>
  </si>
  <si>
    <t>APPL MICROBIOL BIOT</t>
  </si>
  <si>
    <t>Appl. Microbiol. Biotechnol.</t>
  </si>
  <si>
    <t>10.1007/s00253-020-10448-8</t>
  </si>
  <si>
    <t>Biotechnology &amp; Applied Microbiology</t>
  </si>
  <si>
    <t>NU8KX</t>
  </si>
  <si>
    <t>WOS:000516287900004</t>
  </si>
  <si>
    <t>Pistorius, PA; Green, DB; Seddon, PJ; Thiebault, A</t>
  </si>
  <si>
    <t>Pistorius, Pierre A.; Green, David B.; Seddon, Philip J.; Thiebault, Andrea</t>
  </si>
  <si>
    <t>In situ observation of a record-sized squid prey consumed by a Gentoo penguin</t>
  </si>
  <si>
    <t>Pygoscelis; Diet; Biologging; Marion island; Seabirds; Sub-antarctic</t>
  </si>
  <si>
    <t>PYGOSCELIS-PAPUA; DIET</t>
  </si>
  <si>
    <t>Diet studies of marine predators provide insights into the functioning and structure of marine ecosystems. Such studies have been greatly enhanced in recent years with technology enabling direct observation of feeding behaviour in the marine environment. We here report on observations of an interesting predation event involving Gentoo penguins (Pygoscelis papua) at sub-Antarctic Marion Island. Through the deployment of an animal-borne miniaturised video data logger, we were able to document what is to our knowledge the largest recorded prey species consumed by a Gentoo penguin. A squid (probably Greater hooked squid, Onykia ingens) with an estimated mantle length of 240 mm was consumed whole after a period of competition over the prey item with another foraging Gentoo penguin.</t>
  </si>
  <si>
    <t>[Pistorius, Pierre A.; Green, David B.; Thiebault, Andrea] Nelson Mandela Univ, Dept Zool, DST NRF Ctr Excellence, FitzPatrick Inst African Ornithol, South Campus, ZA-6031 Port Elizabeth, South Africa; [Seddon, Philip J.] Univ Otago, Dept Zool, Dunedin, Otago, New Zealand</t>
  </si>
  <si>
    <t>National Research Foundation - South Africa; Nelson Mandela University; University of Otago</t>
  </si>
  <si>
    <t>Pistorius, PA (corresponding author), Nelson Mandela Univ, Dept Zool, DST NRF Ctr Excellence, FitzPatrick Inst African Ornithol, South Campus, ZA-6031 Port Elizabeth, South Africa.</t>
  </si>
  <si>
    <t>ppistorius@mandela.ac.za</t>
  </si>
  <si>
    <t>; Green, David/E-8985-2019</t>
  </si>
  <si>
    <t>Thiebault, Andrea/0000-0001-9585-1083; Green, David/0000-0002-0346-3129</t>
  </si>
  <si>
    <t>South African National Research Foundation (NRF) through its South African National Antarctic Program [SNA93071]</t>
  </si>
  <si>
    <t>South African National Research Foundation (NRF) through its South African National Antarctic Program</t>
  </si>
  <si>
    <t>We thank South Africa's Department of Environment Forestry and Fisheries for logistical support and allowing for field work on Marion Island and the South African National Research Foundation (NRF) for funding the project (Grant SNA93071) through its South African National Antarctic Program. Many thanks to Yves Cherel for help with the squid identification and for two reviewers who provided valuable input into the manuscript.</t>
  </si>
  <si>
    <t>10.1007/s00300-020-02630-5</t>
  </si>
  <si>
    <t>WOS:000516343500001</t>
  </si>
  <si>
    <t>Anton, A; Baldry, K; Coker, DJ; Duarte, CM</t>
  </si>
  <si>
    <t>Anton, Andrea; Baldry, Kimberlee; Coker, Darren J.; Duarte, Carlos M.</t>
  </si>
  <si>
    <t>Drivers of the Low Metabolic Rates of Seagrass Meadows in the Red Sea</t>
  </si>
  <si>
    <t>iron; gross primary production; metabolic rates; nitrogen; nutrient limitation; phosphorous; thermal optima; thermal performance</t>
  </si>
  <si>
    <t>TROPICAL SEAGRASSES; NUTRIENT ENRICHMENT; PHOTOSYNTHESIS; PHOSPHORUS; IMPACT; LIGHT; IRON; RESPIRATION; LIMITATION; DEPENDENCE</t>
  </si>
  <si>
    <t>Tropical seagrass meadows are highly productive ecosystems that thrive in oligotrophic environments. The Red Sea is characterized by strong N-S latitudinal nutrient and temperature gradients, which constrain pelagic productivity. To date, the influence of these natural gradients have not been assessed in metabolic rates for local seagrass communities. Here we report metabolic rates [gross primary production (GPP), respiration (R), and net community production (NCP)] in four common species of seagrass (Halodule uninervis, Halophila ovalis, Halophila stipulacea, and Thalassia hemprichii) along latitudinal and thermal gradients in the Red Sea. In addition, we quantified leaf nutrient concentration (nitrogen, phosphorous, and iron), and correlate this with latitude. Our results show that average metabolic rates and aboveground biomass of seagrass meadows in the Red Sea were generally in the lower range when compared to global values reported for the same species elsewhere. The optimum temperature of Red Sea seagrass meadows varied among species with increases along the sequence: H. stipulacea &lt; T. hemprichii &lt; H. uninervis similar to H. ovalis. GPP for H. uninervis - a seagrass thermophile - was lowest in higher latitudes and increased toward lower latitudes during the summer months. While temperature was identified as a strong driver of metabolic rates across seagrass meadows, leaf concentration of phosphorous and iron (but not nitrogen) was below nutrient sufficiency thresholds, indicating these two elements might be limiting for seagrass meadows in the Red Sea.</t>
  </si>
  <si>
    <t>[Anton, Andrea; Baldry, Kimberlee; Coker, Darren J.; Duarte, Carlos M.] King Abdullah Univ Sci &amp; Technol, Red Sea Res Ctr, Thuwal, Saudi Arabia; [Anton, Andrea; Baldry, Kimberlee; Duarte, Carlos M.] King Abdullah Univ Sci &amp; Technol, Computat Biosci Res Ctr, Thuwal, Saudi Arabia; [Baldry, Kimberlee] Univ Tasmania, Inst Marine &amp; Antarctic Studies, Hobart, Tas, Australia</t>
  </si>
  <si>
    <t>King Abdullah University of Science &amp; Technology; King Abdullah University of Science &amp; Technology; University of Tasmania</t>
  </si>
  <si>
    <t>Anton, A (corresponding author), King Abdullah Univ Sci &amp; Technol, Red Sea Res Ctr, Thuwal, Saudi Arabia.;Anton, A (corresponding author), King Abdullah Univ Sci &amp; Technol, Computat Biosci Res Ctr, Thuwal, Saudi Arabia.</t>
  </si>
  <si>
    <t>andrea.antongamazo@kaust.edu.sa</t>
  </si>
  <si>
    <t>Anton, Andrea/JAX-3235-2023; Duarte, Carlos M/A-7670-2013; Duarte Quesada, Carlos Manuel/ABD-6208-2021; Anton, Andrea/ABA-3742-2021</t>
  </si>
  <si>
    <t>Duarte, Carlos M/0000-0002-1213-1361; Baldry, Kimberlee/0000-0003-3286-8624; Anton, Andrea/0000-0002-4104-2966</t>
  </si>
  <si>
    <t>King Abdullah University of Science and Technology (KAUST) [FCC/1/1973-21-01]</t>
  </si>
  <si>
    <t>King Abdullah University of Science and Technology (KAUST)(King Abdullah University of Science &amp; Technology)</t>
  </si>
  <si>
    <t>This research was funded by the King Abdullah University of Science and Technology (KAUST) through baseline funding and center associated research and competitive funding allocated to CMD and Center Competitive Funding (CCF) grant number FCC/1/1973-21-01 to the Red Sea Research Center.</t>
  </si>
  <si>
    <t>FEB 19</t>
  </si>
  <si>
    <t>10.3389/fmars.2020.00069</t>
  </si>
  <si>
    <t>KM7DF</t>
  </si>
  <si>
    <t>WOS:000514299700001</t>
  </si>
  <si>
    <t>Rogers, NC; Wild, JA; Eastoe, EF; Gjerloev, JW; Thomson, AWP</t>
  </si>
  <si>
    <t>Rogers, Neil C.; Wild, James A.; Eastoe, Emma F.; Gjerloev, Jesper W.; Thomson, Alan W. P.</t>
  </si>
  <si>
    <t>A global climatological model of extreme geomagnetic field fluctuations</t>
  </si>
  <si>
    <t>JOURNAL OF SPACE WEATHER AND SPACE CLIMATE</t>
  </si>
  <si>
    <t>Geomagnetic activity; extreme value theory; GIC</t>
  </si>
  <si>
    <t>INTERPLANETARY MAGNETIC-FIELD; INDUCED CURRENTS; STATISTICAL-ANALYSIS; CURRENT SYSTEMS; WAVE POWER; NORTHWARD; EVENTS; STORMS; SPEED; IMF</t>
  </si>
  <si>
    <t>This paper presents a multi-parameter global statistical model of extreme horizontal geomagnetic field fluctuations (dB(H)/dt), which are a useful input to models assessing the risk of geomagnetically induced currents in ground infrastructure. Generalised Pareto (GP) distributions were fitted to 1-min measurements of |dB(H)/dt| from 125 magnetometers (with an average of 28 years of data per site) and return levels (RL) predicted for return periods (RP) between 5 and 500 years. Analytical functions characterise the profiles of maximum-likelihood GP model parameters and the derived RLs as a function of corrected geomagnetic latitude, lambda. A sharp peak in both the GP shape parameter and the RLs is observed at |lambda| = 53 degrees in both hemispheres, indicating a sharp equatorward limit of the auroral electrojet region. RLs also increase strongly in the dayside region poleward of the polar cusp (|lambda| &gt; 75 degrees) for RPs &gt; 100 years. We describe how the GP model may be further refined by modelling the probability of occurrences of |dB(H)/dt| exceeding the 99.97th percentile as a function of month, magnetic local time, and the direction of the field fluctuation, dB(H), and demonstrate that these patterns of occurrence align closely to known patterns of auroral substorm onsets, ULF Pc5 wave activity, and (storm) sudden commencement impacts. Changes in the occurrence probability profiles with the interplanetary magnetic field (IMF) orientation reveal further details of the nature of the ionospheric currents driving extreme |dB(H)/dt| fluctuations, such as the changing location of the polar cusp and seasonal variations explained by the Russell-McPherron effect.</t>
  </si>
  <si>
    <t>[Rogers, Neil C.; Wild, James A.; Eastoe, Emma F.] Univ Lancaster, Lancaster LA1 4YW, England; [Gjerloev, Jesper W.] Johns Hopkins Univ, Appl Phys Lab, Laurel, MD 20723 USA; [Thomson, Alan W. P.] British Geol Survey, Edinburgh EH14 4BA, Midlothian, Scotland</t>
  </si>
  <si>
    <t>Lancaster University; Johns Hopkins University; Johns Hopkins University Applied Physics Laboratory; UK Research &amp; Innovation (UKRI); Natural Environment Research Council (NERC); NERC British Geological Survey</t>
  </si>
  <si>
    <t>Rogers, NC (corresponding author), Univ Lancaster, Lancaster LA1 4YW, England.</t>
  </si>
  <si>
    <t>n.rogers1@lancaster.ac.uk</t>
  </si>
  <si>
    <t>Gjerloev, Jesper/C-2116-2016; Wild, James Anderson/HKN-7736-2023</t>
  </si>
  <si>
    <t>Wild, James Anderson/0000-0001-8025-8869; Rogers, Neil/0000-0002-8423-6306</t>
  </si>
  <si>
    <t>UK Natural Environment Research Council (NERC) [NE/P016715/1]; NERC [bgs06002, NE/P016715/1, NE/P017231/1] Funding Source: UKRI</t>
  </si>
  <si>
    <t>UK Natural Environment Research Council (NERC)(UK Research &amp; Innovation (UKRI)Natural Environment Research Council (NERC)); NERC(UK Research &amp; Innovation (UKRI)Natural Environment Research Council (NERC))</t>
  </si>
  <si>
    <t>This work was funded by the UK Natural Environment Research Council (NERC) under grant number NE/P016715/1. The authors are grateful to members of the Space Weather Impacts on Ground-based Systems (SWIGS) consortium led by Alan Thomson (British Geological Survey), with special thanks to Mervyn Freeman (British Antarctic Survey), Tim Yeoman (University of Leicester, UK), Malcolm Dunlop (RAL Space, UK), and Phil Livermore (University of Leeds, UK) for helpful discussions. Sunspot numbers were provided by WDC-SILSO, Royal Observatory of Belgium, Brussels and are available online: http://sidc.oma.be/silso/DATA/SN_ms_tot_V2.0.txt.Interplanetary magnetic field data were provided by the NASA Goddard Space Flight Center Space Physics Data Facility (available from https://omniweb.gsfc.nasa.gov).The ground magnetometer data and the substorm list were provided by SuperMAG (available from http://supermag.jhuapl.edu) and we gratefully acknowledge contributions from the SuperMAG collaborators: Intermagnet; USGS, Jeffrey J. Love; CARISMA, PI Ian Mann; CANMOS; The S-RAMP Database, PI K. Yumoto and Dr. K. Shiokawa; The SPIDR database; AARI, PI Oleg Troshichev; The MACCS program, PI M. Engebretson, Geomagnetism Unit of the Geological Survey of Canada; GIMA; MEASURE, UCLA IGPP and Florida Institute of Technology; SAMBA, PI Eftyhia Zesta; 210 Chain, PI K. Yumoto; SAMNET, PI Farideh Honary; The IMAGE magnetometer network, PI L. Juusola; AUTUMN, PI Martin Connors; DTU Space, PI Anna Willer; South Pole and McMurdo Magnetometer, PI's Louis J. Lanzarotti and Alan T. Weatherwax; ICESTAR; RAPIDMAG; British Antarctic Survey; McMac, PI Dr Peter Chi; BGS, PI Dr Susan Macmillan; Pushkov Institute of Terrestrial Magnetism, Ionosphere and Radio Wave Propagation (IZMIRAN); GFZ, PI Dr Juergen Matzka; MFGI, PI B. Heilig; IGFPAS, PI J. Reda; University of L'Aquila, PI M. Vellante; BCMT, V. Lesur and A. Chambodut; Data obtained in cooperation with Geoscience Australia, PI Marina Costelloe; AALPIP, co-PIs Bob Clauer and Michael Hartinger; SuperMAG, PI Jesper W. Gjerloev; Sodankyla Geophysical Observatory, PI Tero Raita; Polar Geophysical Institute, Alexander Yahnin and Yarolav Sakharov; Geological Survey of Sweden, Gerhard Schwartz; Swedish Institute of Space Physics, Mastoshi Yamauchi; UiT the Arctic University of Norway, Magnar G. Johnsen; Finnish Meteorological Institute, PI Kirsti Kauristie. The editor thanks Sean Elvidge and an anonymous reviewer for their assistance in evaluating this paper.</t>
  </si>
  <si>
    <t>EDP SCIENCES S A</t>
  </si>
  <si>
    <t>LES ULIS CEDEX A</t>
  </si>
  <si>
    <t>17, AVE DU HOGGAR, PA COURTABOEUF, BP 112, F-91944 LES ULIS CEDEX A, FRANCE</t>
  </si>
  <si>
    <t>2115-7251</t>
  </si>
  <si>
    <t>J SPACE WEATHER SPAC</t>
  </si>
  <si>
    <t>J. Space Weather Space Clim.</t>
  </si>
  <si>
    <t>FEB 18</t>
  </si>
  <si>
    <t>10.1051/swsc/2020008</t>
  </si>
  <si>
    <t>KO5HK</t>
  </si>
  <si>
    <t>WOS:000515580200001</t>
  </si>
  <si>
    <t>Montanari, S; Kershaw, F; Rosenbaum, HC</t>
  </si>
  <si>
    <t>Montanari, Shaena; Kershaw, Francine; Rosenbaum, Howard C.</t>
  </si>
  <si>
    <t>Feeding ecology and population delineation of south-eastern Atlantic and south-western Indian Ocean humpback whales using stable isotope analysis</t>
  </si>
  <si>
    <t>AQUATIC CONSERVATION-MARINE AND FRESHWATER ECOSYSTEMS</t>
  </si>
  <si>
    <t>ecological status; feeding; mammals; ocean</t>
  </si>
  <si>
    <t>MEGAPTERA-NOVAEANGLIAE; ANTARCTIC PENINSULA; CARBON; KRILL; ECOSYSTEM; BIOGEOCHEMISTRY; CALIFORNIA; MIGRATION; WATERS</t>
  </si>
  <si>
    <t>Population delineation is vital for effectively managing and protecting populations of all at-risk species. Population boundaries of Southern Hemisphere humpback whales on their breeding and feeding grounds have not been fully resolved. A number of methods have been used to delineate breeding stocks of Southern Hemisphere humpbacks, but ecological characteristics determined via stable isotope analysis provide valuable information to contrast other data sources. In this study, stable isotope analysis is used to investigate potential separation of humpback whale populations on Southern Hemisphere feeding grounds as evidenced by carbon and nitrogen isotope values in their skin as proxies of diet. One hundred samples of whale skin obtained from biopsies in sampling localities off the coasts of Gabon, Mayotte (Mozambique Channel), and Madagascar were analysed for carbon (delta C-13) and nitrogen (delta N-15) stable isotope ratios. The results showed a statistically significant difference in the mean delta N-15 values for whales between the populations from Gabon and Madagascar (7.0 +/- 0.1 parts per thousand and 7.6 +/- 0.1 parts per thousand), and Gabon and Mayotte (7.6 +/- 0.1 parts per thousand and 7.2 +/- 0.1 parts per thousand), indicating that these breeding stocks are potentially visiting different areas of the feeding grounds outside of the breeding season. The results from this study indicate that at least some breeding stocks may show fidelity to separate feeding areas and do not widely mix with individuals from other breeding stocks while feeding.</t>
  </si>
  <si>
    <t>[Montanari, Shaena] Amer Assoc Advancement Sci, Sci &amp; Technol Policy Fellowships, 1200 New York Ave NW, Washington, DC 20005 USA; [Kershaw, Francine] Nat Resources Def Council, Oceans Div, New York, NY USA; [Rosenbaum, Howard C.] Wildlife Conservat Soc, Ocean Giants Program, New York, NY USA; [Rosenbaum, Howard C.] Amer Museum Nat Hist, Sackler Inst Comparat Genom, New York, NY 10024 USA</t>
  </si>
  <si>
    <t>Wildlife Conservation Society; American Museum of Natural History (AMNH)</t>
  </si>
  <si>
    <t>Montanari, S (corresponding author), Amer Assoc Advancement Sci, Sci &amp; Technol Policy Fellowships, 1200 New York Ave NW, Washington, DC 20005 USA.</t>
  </si>
  <si>
    <t>shae.montanari@gmail.com</t>
  </si>
  <si>
    <t>Montanari, Shaena/0000-0002-9565-6998</t>
  </si>
  <si>
    <t>Royal Society Newton International Fellowship; Columbia University</t>
  </si>
  <si>
    <t>Royal Society Newton International Fellowship(Royal Society); Columbia University</t>
  </si>
  <si>
    <t>1052-7613</t>
  </si>
  <si>
    <t>1099-0755</t>
  </si>
  <si>
    <t>AQUAT CONSERV</t>
  </si>
  <si>
    <t>Aquat. Conserv.-Mar. Freshw. Ecosyst.</t>
  </si>
  <si>
    <t>10.1002/aqc.3266</t>
  </si>
  <si>
    <t>Environmental Sciences; Marine &amp; Freshwater Biology; Water Resources</t>
  </si>
  <si>
    <t>Environmental Sciences &amp; Ecology; Marine &amp; Freshwater Biology; Water Resources</t>
  </si>
  <si>
    <t>KS0TM</t>
  </si>
  <si>
    <t>WOS:000513942000001</t>
  </si>
  <si>
    <t>Schallenberg, C; Strzepek, RF; Schuback, N; Clementson, LA; Boyd, PW; Trull, TW</t>
  </si>
  <si>
    <t>Schallenberg, Christina; Strzepek, Robert F.; Schuback, Nina; Clementson, Lesley A.; Boyd, Philip W.; Trull, Thomas W.</t>
  </si>
  <si>
    <t>Diel quenching of Southern Ocean phytoplankton fluorescence is related to iron limitation</t>
  </si>
  <si>
    <t>CHLOROPHYLL-A FLUORESCENCE; QUANTUM YIELD; PHAEOCYSTIS-ANTARCTICA; GLOBAL ANALYSIS; ABSORPTION; GROWTH; PHOTOPHYSIOLOGY; TEMPERATURE; PHYSIOLOGY; BACILLARIOPHYCEAE</t>
  </si>
  <si>
    <t>Evaluation of photosynthetic competency in time and space is critical for better estimates and models of oceanic primary productivity. This is especially true for areas where the lack of iron (Fe) limits phytoplankton productivity, such as the Southern Ocean. Assessment of photosynthetic competency on large scales remains challenging, but phytoplankton chlorophyll a fluorescence (ChlF) is a signal that holds promise in this respect as it is affected by, and consequently provides information about, the photosynthetic efficiency of the organism. A second process affecting the ChlF signal is heat dissipation of absorbed light energy, referred to as non-photochemical quenching (NPQ). NPQ is triggered when excess energy is absorbed, i.e. when more light is absorbed than can be used directly for photosynthetic carbon fixation. The effect of NPQ on the ChlF signal complicates its interpretation in terms of photosynthetic efficiency, and therefore most approaches relating ChlF parameters to photosynthetic efficiency seek to minimize the influence of NPQ by working under conditions of sub-saturating irradiance. Here, we propose that NPQ itself holds potential as an easily acquired optical signal indicative of phytoplankton physiological state with respect to Fe limitation. We present data from a research voyage to the Subantarctic Zone south of Australia. Incubation experiments confirmed that resident phytoplankton were Fe-limited, as the maximum quantum yield of primary photochemistry, F-v/F-m, measured with a fast repetition rate fluorometer (FRRf), increased significantly with Fe addition. The NPQ capacity of the phytoplankton also showed sensitivity to Fe addition, decreasing with increased Fe availability, confirming previous work. The fortuitous presence of a remnant warm-core eddy in the vicinity of the study area allowed comparison of fluorescence behaviour between two distinct water masses, with the colder water showing significantly lower F-v/F-m than the warmer eddy waters, suggesting a difference in Fe limitation status between the two water masses. Again, NPQ capacity measured with the FRRf mirrored the behaviour observed in F-v/F-m, decreasing as F-v/F-m increased in the warmer water mass. We also analysed the diel quenching of underway fluorescence measured with a standard fluorometer, such as is frequently used to monitor ambient chlorophyll a concentrations, and found a significant difference in behaviour between the two water masses. This difference was quantified by defining an NPQ parameter akin to the Stern-Volmer parameterization of NPQ, exploiting the fluorescence quenching induced by diel fluctuations in incident irradiance. We propose that monitoring of this novel NPQ parameter may enable assessment of phytoplankton physiological status (related to Fe availability) based on measurements made with standard fluorometers, as ubiquitously used on moorings, ships, floats and gliders.</t>
  </si>
  <si>
    <t>[Schallenberg, Christina; Strzepek, Robert F.; Boyd, Philip W.; Trull, Thomas W.] Univ Tasmania, Antarctic Climate &amp; Ecosyst Cooperat Res Ctr, Hobart, Tas, Australia; [Schuback, Nina] Ecole Polytech Fed Lausanne, Swiss Polar Inst, Lausanne, Switzerland; [Clementson, Lesley A.; Trull, Thomas W.] CSIRO, Oceans &amp; Atmosphere Unit, Hobart, Tas, Australia; [Boyd, Philip W.] Univ Tasmania, Isnt Marine &amp; Antarctic Studies, Hobart, Tas, Australia</t>
  </si>
  <si>
    <t>University of Tasmania; Antarctic Climate &amp; Ecosystems Cooperative Research Centre (ACE CRC); Swiss Federal Institutes of Technology Domain; Ecole Polytechnique Federale de Lausanne; Commonwealth Scientific &amp; Industrial Research Organisation (CSIRO); University of Tasmania</t>
  </si>
  <si>
    <t>Schallenberg, C (corresponding author), Univ Tasmania, Antarctic Climate &amp; Ecosyst Cooperat Res Ctr, Hobart, Tas, Australia.</t>
  </si>
  <si>
    <t>christina.schallenberg@utas.edu.au</t>
  </si>
  <si>
    <t>Strzepek, Robert Francis/GQH-8703-2022; Boyd, Philip W/J-7624-2014; Schallenberg, Christina/N-4187-2017</t>
  </si>
  <si>
    <t>Strzepek, Robert Francis/0000-0002-6442-7121; Schallenberg, Christina/0000-0002-3073-7500; Schuback, Nina/0000-0001-9535-0086; Clementson, Lesley/0000-0003-4415-993X</t>
  </si>
  <si>
    <t>Canadian National Sciences and Engineering Research Council (NSERC) [PDF-502793-2017]; Antarctic Climate and Ecosystems Cooperative Research Centre (ACE CRC) at the University of Tasmania; ACE CRC; Australian Antarctic Science Program; Australian Marine National Facility; Antarctic Gateway Partnership (Australian Research Council)</t>
  </si>
  <si>
    <t>Canadian National Sciences and Engineering Research Council (NSERC)(Natural Sciences and Engineering Research Council of Canada (NSERC)); Antarctic Climate and Ecosystems Cooperative Research Centre (ACE CRC) at the University of Tasmania(Australian GovernmentDepartment of Industry, Innovation and ScienceCooperative Research Centres (CRC) Programme); ACE CRC(Australian GovernmentDepartment of Industry, Innovation and ScienceCooperative Research Centres (CRC) Programme); Australian Antarctic Science Program; Australian Marine National Facility; Antarctic Gateway Partnership (Australian Research Council)(Australian Research Council)</t>
  </si>
  <si>
    <t>Christina Schallenberg was supported by a Canadian National Sciences and Engineering Research Council (NSERC) postdoctoral fellowship (grant no. PDF-502793-2017) and by the Antarctic Climate and Ecosystems Cooperative Research Centre (ACE CRC) at the University of Tasmania. The Southern Ocean Time Series autonomous moored observatory is a facility of the Australian Integrated Marine Observing System and also received support from the ACE CRC, the Australian Antarctic Science Program and the Australian Marine National Facility. Robert F. Strzepek and Philip W. Boyd received support from the ACE CRC and the Antarctic Gateway Partnership (Australian Research Council).</t>
  </si>
  <si>
    <t>FEB 17</t>
  </si>
  <si>
    <t>10.5194/bg-17-793-2020</t>
  </si>
  <si>
    <t>KN9KQ</t>
  </si>
  <si>
    <t>WOS:000515166900002</t>
  </si>
  <si>
    <t>Schillaci, A; Ade, PAR; Ahmed, Z; Amiri, M; Barkats, D; Thakur, RB; Bischoff, CA; Bock, JJ; Boenish, H; Bullock, E; Buza, V; Cheshire, J; Connors, J; Cornelison, J; Crumrine, M; Cukierman, A; Dierickx, M; Duband, L; Fatigoni, S; Filippini, JP; Hall, G; Halpern, M; Harrison, S; Henderson, S; Hildebrandt, SR; Hilton, GC; Hui, H; Irwin, KD; Kang, J; Karkare, KS; Karpel, E; Kefeli, S; Kovac, JM; Kuo, CL; Lau, K; Megerian, KG; Moncelsi, L; Namikawa, T; Nguyen, HT; O'Brient, R; Palladino, S; Precup, N; Prouve, T; Pryke, C; Racine, B; Reintsema, CD; Richter, S; Schmitt, B; Schwarz, R; Sheehy, CD; Soliman, A; St Germaine, T; Steinbach, B; Sudiwala, RV; Thompson, KL; Tucker, C; Turner, AD; Umiltà, C; Vieregg, AG; Wandui, A; Weber, AC; Wiebe, DV; Willmert, J; Wu, WLK; Yang, E; Yoon, KW; Young, E; Yu, C; Zhang, C</t>
  </si>
  <si>
    <t>Schillaci, A.; Ade, P. A. R.; Ahmed, Z.; Amiri, M.; Barkats, D.; Thakur, R. Basu; Bischoff, C. A.; Bock, J. J.; Boenish, H.; Bullock, E.; Buza, V; Cheshire, J.; Connors, J.; Cornelison, J.; Crumrine, M.; Cukierman, A.; Dierickx, M.; Duband, L.; Fatigoni, S.; Filippini, J. P.; Hall, G.; Halpern, M.; Harrison, S.; Henderson, S.; Hildebrandt, S. R.; Hilton, G. C.; Hui, H.; Irwin, K. D.; Kang, J.; Karkare, K. S.; Karpel, E.; Kefeli, S.; Kovac, J. M.; Kuo, C. L.; Lau, K.; Megerian, K. G.; Moncelsi, L.; Namikawa, T.; Nguyen, H. T.; O'Brient, R.; Palladino, S.; Precup, N.; Prouve, T.; Pryke, C.; Racine, B.; Reintsema, C. D.; Richter, S.; Schmitt, B.; Schwarz, R.; Sheehy, C. D.; Soliman, A.; St Germaine, T.; Steinbach, B.; Sudiwala, R., V; Thompson, K. L.; Tucker, C.; Turner, A. D.; Umilta, C.; Vieregg, A. G.; Wandui, A.; Weber, A. C.; Wiebe, D., V; Willmert, J.; Wu, W. L. K.; Yang, E.; Yoon, K. W.; Young, E.; Yu, C.; Zhang, C.</t>
  </si>
  <si>
    <t>Design and Performance of the First BICEP Array Receiver</t>
  </si>
  <si>
    <t>Cosmology; B-mode polarization; Inflation; CMB; BICEP Array</t>
  </si>
  <si>
    <t>Branches of cosmic inflationary models, such as slow-roll inflation, predict a background of primordial gravitational waves that imprints a unique odd-parity B-mode pattern in the Cosmic Microwave Background (CMB) at amplitudes that are within experimental reach. The BICEP/Keck (BK) experiment targets this primordial signature, the amplitude of which is parameterized by the tensor-to-scalar ratio r, by observing the polarized microwave sky through the exceptionally clean and stable atmosphere at the South Pole. B-mode measurements require an instrument with exquisite sensitivity, tight control of systematics, and wide frequency coverage to disentangle the primordial signal from the Galactic foregrounds. BICEP Array represents the most recent stage of the BK program and comprises four BICEP3-class receivers observing at 30/40, 95, 150 and 220/270 GHz. The 30/40 GHz receiver will be deployed at the South Pole during the 2019/2020 austral summer. After 3 full years of observations with 30,000+ detectors, BICEP Array will measure primordial gravitational waves to a precision sigma(r) between 0.002 and 0.004, depending on foreground complexity and the degree of lensing removal. In this paper, we give an overview of the instrument, highlighting the design features in terms of cryogenics, magnetic shielding, detectors and readout architecture as well as reporting on the integration and tests that are ongoing with the first receiver at 30/40 GHz.</t>
  </si>
  <si>
    <t>[Schillaci, A.; Thakur, R. Basu; Bock, J. J.; Hui, H.; Kefeli, S.; Moncelsi, L.; O'Brient, R.; Soliman, A.; Steinbach, B.; Wandui, A.; Zhang, C.] CALTECH, Dept Phys, Pasadena, CA 91125 USA; [Ade, P. A. R.; Sudiwala, R., V; Tucker, C.] Cardiff Univ, Sch Phys &amp; Astron, Cardiff CF24 3AA, Wales; [Ahmed, Z.; Henderson, S.; Irwin, K. D.; Kuo, C. L.; Thompson, K. L.] SLAC Natl Accelerator Lab, Kavli Inst Particle Astrophys &amp; Cosmol, 2575 Sand Hill Rd, Menlo Pk, CA 94025 USA; [Ahmed, Z.; Cukierman, A.; Henderson, S.; Irwin, K. D.; Kang, J.; Karpel, E.; Kuo, C. L.; Thompson, K. L.; Yang, E.; Yoon, K. W.; Young, E.; Yu, C.] Stanford Univ, Dept Phys, Stanford, CA 94305 USA; [Amiri, M.; Fatigoni, S.; Halpern, M.; Wiebe, D., V] Univ British Columbia, Dept Phys &amp; Astron, Vancouver, BC V6T 1Z1, Canada; [Barkats, D.; Boenish, H.; Buza, V; Connors, J.; Cornelison, J.; Dierickx, M.; Harrison, S.; Karkare, K. S.; Kovac, J. M.; Racine, B.; Richter, S.; Schmitt, B.; Schwarz, R.; St Germaine, T.] Harvard Smithsonian Ctr Astrophys, Cambridge, MA 02138 USA; [Bischoff, C. A.; Palladino, S.; Umilta, C.] Univ Cincinnati, Dept Phys, Cincinnati, OH 45221 USA; [Bock, J. J.; Hildebrandt, S. R.; Megerian, K. G.; Nguyen, H. T.; O'Brient, R.; Turner, A. D.; Weber, A. C.] Jet Prop Lab, Pasadena, CA 91109 USA; [Bullock, E.; Cheshire, J.; Crumrine, M.; Hall, G.; Lau, K.; Precup, N.; Pryke, C.; Willmert, J.] Univ Minnesota, Minnesota Inst Astrophys, Minneapolis, MN 55455 USA; [Duband, L.; Prouve, T.] CEA, Serv Basses Temp, F-38054 Grenoble, France; [Filippini, J. P.] Univ Illinois, Dept Phys, Urbana, IL 61801 USA; [Filippini, J. P.] Univ Illinois, Dept Astron, Urbana, IL 61801 USA; [Hilton, G. C.; Reintsema, C. D.] NIST, Boulder, CO 80305 USA; [Karkare, K. S.; Vieregg, A. G.; Wu, W. L. K.] Univ Chicago, Kavli Inst Cosmol Phys, Chicago, IL 60637 USA; [Namikawa, T.] Univ Cambridge, Dept Appl Math &amp; Theoret Phys, Wilberforce Rd, Cambridge CB3 0WA, England; [Sheehy, C. D.] Brookhaven Natl Lab, Phys Dept, Upton, NY 11973 USA</t>
  </si>
  <si>
    <t>California Institute of Technology; Cardiff University; Stanford University; United States Department of Energy (DOE); SLAC National Accelerator Laboratory; Stanford University; University of British Columbia; Harvard University; Smithsonian Astrophysical Observatory; Smithsonian Institution; University System of Ohio; University of Cincinnati; National Aeronautics &amp; Space Administration (NASA); NASA Jet Propulsion Laboratory (JPL); University of Minnesota System; University of Minnesota Twin Cities; CEA; University of Illinois System; University of Illinois Urbana-Champaign; University of Illinois System; University of Illinois Urbana-Champaign; National Institute of Standards &amp; Technology (NIST) - USA; University of Chicago; University of Cambridge; United States Department of Energy (DOE); Brookhaven National Laboratory</t>
  </si>
  <si>
    <t>Schillaci, A (corresponding author), CALTECH, Dept Phys, Pasadena, CA 91125 USA.</t>
  </si>
  <si>
    <t>alex78@caltech.edu</t>
  </si>
  <si>
    <t>Nguyen, H.T/AAG-1974-2021; Chen, Shuo/JEO-6350-2023; Nguyễn, Hương/JUV-6128-2023; Moncelsi, Lorenzo/AAU-1009-2020; sun, huan/JEO-7152-2023</t>
  </si>
  <si>
    <t>Nguyen, H.T/0000-0001-5580-2877; Moncelsi, Lorenzo/0000-0002-4242-3015; Hildebrandt, Sergi/0000-0003-0220-0009; Zhang, Cheng/0000-0001-8288-5823; Irwin, Kent/0000-0002-2998-9743; Lau, King/0000-0002-6445-2407; Namikawa, Toshiya/0000-0003-3070-9240; Hui, Howard/0000-0001-5812-1903; Ahmed, Zeeshan/0000-0002-9957-448X; Schillaci, Alessandro/0000-0002-0512-1042; Kovac, John/0009-0003-5432-7180; Tucker, Carole/0000-0002-1851-3918; Kang, Jae Hwan/0000-0002-3470-2954; Barkats, Denis/0000-0002-8971-1954; Dierickx, Marion/0000-0002-3519-8593; Cheshire, James/0000-0002-1630-7854</t>
  </si>
  <si>
    <t>National Science Foundation [0742818, 0742592, 1044978, 1110087, 1145172, 1145143, 1145248, 1639040, 1638957, 1638978, 1638970, 1726917]; Keck Foundation; JPL Research and Technology Development Fund; NASA [06-ARPA206-0040, 10-SAT10-0017, 12-SAT12-0031, 14-SAT140009, 16-SAT16-0002]; Gordon and Betty Moore Foundation at Caltech; Canada Foundation for Innovation; FAS Science Division Research Computing Group at Harvard University; US DoE Office of Science; STFC [ST/S00033X/1] Funding Source: UKRI; Directorate For Geosciences; Division Of Polar Programs [1110087] Funding Source: National Science Foundation</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</si>
  <si>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Innovation(Canada Foundation for InnovationCGIARSpanish Government); FAS Science Division Research Computing Group at Harvard University; US DoE Office of Science(United States Department of Energy (DOE)); STFC(UK Research &amp; Innovation (UKRI)Science &amp; Technology Facilities Council (STFC)); Directorate For Geosciences; Division Of Polar Programs(National Science Foundation (NSF)NSF - Directorate for Geosciences (GEO))</t>
  </si>
  <si>
    <t>The BICEP/Keck project has been made possible through a series of Grants from the National Science Foundation including 0742818, 0742592, 1044978, 1110087, 1145172, 1145143, 1145248, 1639040, 1638957, 1638978, 1638970, and 1726917 and by the Keck Foundation. The development of antenna-coupled detector technology was supported by the JPL Research and Technology Development Fund and NASA Grants 06-ARPA206-0040, 10-SAT10-0017, 12-SAT12-0031, 14-SAT140009 and 16-SAT16-0002.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Tireless administrative support was provided by Kathy Deniston, Sheri Stoll, Irene Coyle, Donna Hernandez, and Dana Volponi.</t>
  </si>
  <si>
    <t>10.1007/s10909-020-02394-6</t>
  </si>
  <si>
    <t>WOS:000516185900004</t>
  </si>
  <si>
    <t>Coleine, C; Stajich, JE; Pombubpa, N; Zucconi, L; Onofri, S; Selbmann, L</t>
  </si>
  <si>
    <t>Coleine, Claudia; Stajich, Jason E.; Pombubpa, Nuttapon; Zucconi, Laura; Onofri, Silvano; Selbmann, Laura</t>
  </si>
  <si>
    <t>Sampling strategies to assess microbial diversity of Antarctic cryptoendolithic communities</t>
  </si>
  <si>
    <t>Antarctica; Cryptoendolithic communities; Bacteria; Fungi; Metabarcoding; Sampling effort</t>
  </si>
  <si>
    <t>MCMURDO DRY VALLEYS; FUNGAL COMMUNITIES; SPECIES RICHNESS; SOIL; BIODIVERSITY; RADIATION; BACTERIAL; GRADIENT; MODELS</t>
  </si>
  <si>
    <t>Describing the total biodiversity of an environmental metacommunity is challenging due to the presence of cryptic and rare species and incompletely described taxonomy. How many samples to collect is a common issue that faces ecologists when designing fieldwork sampling. Nowadays, high-throughput sequencing allows examination of large numbers of samples enabling comprehensive biodiversity assessments. In this study, we sought to estimate how the scale of sampling affects accuracy of community diversity description in the McMurdo Dry Valleys (Southern Victoria Land) in Antarctica accounted as the closest Martian analogue on Earth, exhibiting extreme conditions such as low temperatures, wide thermal fluctuations, low nutrient availability and high UV radiation. We found that sampling effort, based on accumulation curves and statistical analysis, had a considerable impact on assessing species richness and composition in these ecosystems, confirming that a sampling as large as nine rock specimens was necessary to detect almost all fungal species present, but was not sufficient to capture whole bacterial assemblage. The sampling would require approximately four times more effort (40 samples) for a comprehensive description of bacterial diversity. Our findings will be helpful to develop strategies to exhaustively describe the microbial diversity of Antarctic cryptoendolithic communities.</t>
  </si>
  <si>
    <t>[Coleine, Claudia; Zucconi, Laura; Onofri, Silvano; Selbmann, Laura] Univ Tuscia, Dept Ecol &amp; Biol Sci, I-01100 Viterbo, Italy; [Stajich, Jason E.; Pombubpa, Nuttapon] Univ Calif Riverside, Dept Microbiol &amp; Plant Pathol, Riverside, CA 92521 USA; [Selbmann, Laura] Italian Natl Antarctic Museum MNA, Mycol Sect, Genoa, Italy</t>
  </si>
  <si>
    <t>Tuscia University; University of California System; University of California Riverside</t>
  </si>
  <si>
    <t>Selbmann, L (corresponding author), Univ Tuscia, Dept Ecol &amp; Biol Sci, I-01100 Viterbo, Italy.;Stajich, JE (corresponding author), Univ Calif Riverside, Dept Microbiol &amp; Plant Pathol, Riverside, CA 92521 USA.;Selbmann, L (corresponding author), Italian Natl Antarctic Museum MNA, Mycol Sect, Genoa, Italy.</t>
  </si>
  <si>
    <t>jason.stajich@ucr.edu; selbmann@unitus.it</t>
  </si>
  <si>
    <t>Zucconi, L./U-9781-2018; Coleine, Claudia/AAE-1889-2020; Stajich, Jason Eric/C-7297-2008</t>
  </si>
  <si>
    <t>Zucconi, L./0000-0001-9793-2303; Coleine, Claudia/0000-0002-9289-6179; Stajich, Jason Eric/0000-0002-7591-0020</t>
  </si>
  <si>
    <t>Italian National Program for Antarctic Researches (PNRA) [2009/A1.11, 2013/AZ-17, 2015/AZ1.02, AMunDsEN PNRA_00006]; Italian Antarctic National Museum (MNA); United States Department of Agriculture-National Institute of Food and Agriculture Hatch project [CA-R-PPA-5062-H]; Royal Thai government fellowship; NSF [DBI-1429826]; NIH [S10-OD016290]</t>
  </si>
  <si>
    <t>Italian National Program for Antarctic Researches (PNRA); Italian Antarctic National Museum (MNA); United States Department of Agriculture-National Institute of Food and Agriculture Hatch project; Royal Thai government fellowship; NSF(National Science Foundation (NSF)); NIH(United States Department of Health &amp; Human ServicesNational Institutes of Health (NIH) - USA)</t>
  </si>
  <si>
    <t>L.S., C.C. and L.Z. wish to thank the Italian National Program for Antarctic Researches (PNRA) for funding sampling campaigns and researches activities in Italy in the frame of 2009/A1.11, 2013/AZ-17, 2015/AZ1.02 and AMunDsEN PNRA_00006 projects. The Italian Antarctic National Museum (MNA) is acknowledged for financial support to the Mycological Section of the MNA for preserving rock Antarctic samples analysed in this study and stored in the Culture Collection of Fungi from Extreme Environments (CCFEE), University of Tuscia, Italy. Fungal ITS and bacterial 16S primers were made available through the Alfred P. Sloan Foundation Built Environment Program and sequencing supported by funds through United States Department of Agriculture-National Institute of Food and Agriculture Hatch project CA-R-PPA-5062-H to J.E.S. J.E.S. is a CIFAR fellow in the Fungal Kingdom: Threats and Opportunities program. N.P. was supported by a Royal Thai government fellowship. Data analyses were performed on the High-Performance Computing Cluster at the University of California-Riverside in the Institute of Integrative Genome Biology supported by NSF DBI-1429826 and NIH S10-OD016290.</t>
  </si>
  <si>
    <t>10.1007/s00300-020-02625-2</t>
  </si>
  <si>
    <t>WOS:000516212800001</t>
  </si>
  <si>
    <t>Chapman, SC; Horne, RB; Watkins, NW</t>
  </si>
  <si>
    <t>Chapman, S. C.; Horne, R. B.; Watkins, N. W.</t>
  </si>
  <si>
    <t>Using the aa Index Over the Last 14 Solar Cycles to Characterize Extreme Geomagnetic Activity</t>
  </si>
  <si>
    <t>SPACE WEATHER; MAGNETIC STORM; STATISTICS; SUPERSTORM; INTENSITY; PARAMETER; IMPACT; EVENT</t>
  </si>
  <si>
    <t>Geomagnetic indices are routinely used to characterize space weather event intensity. The D-ST index is well resolved but is only available over five solar cycles. The aa index extends over 14 cycles but is highly discretized with poorly resolved extremes. We parameterize extreme aa activity by the annual-averaged top few percent of observed values, show that these are exponentially distributed, and they track annual DST index minima. This gives a 14-cycle average of similar to 4% chance of at least one great (D-ST &lt; -500 nT) storm and similar to 28% chance of at least one severe (D-ST &lt; -250 nT) storm per year. At least one D-ST = -809 [-663,-955] nT event in a given year would be a 1:151 year event. Carrington event estimate D-ST similar to -850 nT is within the same distribution as other extreme activity seen in aa since 1868 so that its likelihood can be deduced from that of more moderate events. Events with D-ST &lt; -1, 000 nT are in a distinct class, requiring special conditions. Plain Language Summary Here we use measurements of disturbances in the Earth's magnetic field that go back to 1868, and we present a novel way of analyzing the data to identify the largest magnetic storms going back some 80 years longer than has been done before. As a result, we are able to state the chance of at least one superstorm occurring in a year. We find that on average there is a 4% (28%) chance of at least one great (severe) storm per year and a 0.7% chance of a Carrington class storm per year, which can be used for planning the level of mitigation needed to protect critical national infrastructure.</t>
  </si>
  <si>
    <t>[Chapman, S. C.; Watkins, N. W.] Univ Warwick, Ctr Fus Space &amp; Astrophys, Phys Dept, Coventry, W Midlands, England; [Horne, R. B.] British Antarctic Survey, Cambridge, England; [Watkins, N. W.] London Sch Econ &amp; Polit Sci, Ctr Anal Time Series, London, England; [Watkins, N. W.] Open Univ, Fac Sci Technol Engn &amp; Math, Milton Keynes, Bucks, England</t>
  </si>
  <si>
    <t>University of Warwick; UK Research &amp; Innovation (UKRI); Natural Environment Research Council (NERC); NERC British Antarctic Survey; University of London; London School Economics &amp; Political Science; Open University - UK</t>
  </si>
  <si>
    <t>Chapman, SC (corresponding author), Univ Warwick, Ctr Fus Space &amp; Astrophys, Phys Dept, Coventry, W Midlands, England.</t>
  </si>
  <si>
    <t>S.C.Chapman@warwick.ac.uk</t>
  </si>
  <si>
    <t>Horne, Richard B/U-3764-2019; Watkins, Nick/GPX-7439-2022; Watkins, Nicholas Wynn/C-5140-2008; Chapman, Sandra/C-2216-2008</t>
  </si>
  <si>
    <t>Horne, Richard B/0000-0002-0412-6407; Watkins, Nick/0000-0003-4484-6588; Watkins, Nicholas Wynn/0000-0003-4484-6588; Chapman, Sandra/0000-0003-0053-1584</t>
  </si>
  <si>
    <t>Fulbright-Lloyd's of London Scholarship; AFOSR [FA9550-17-1-0054, ST/P000320/1]; NERC Highlight topic Grants [NE/P01738X/1, NE/R016038/1]; EPSRC [EP/H02395X/1, EP/H002189/1] Funding Source: UKRI; NERC [bas0100031, NE/R016038/1, NE/P01738X/1] Funding Source: UKRI; STFC [ST/F00205X/1, ST/T000252/1, ST/P000320/1, ST/I000720/1] Funding Source: UKRI</t>
  </si>
  <si>
    <t>Fulbright-Lloyd's of London Scholarship; AFOSR(United States Department of DefenseAir Force Office of Scientific Research (AFOSR)); NERC Highlight topic Grants; EPSRC(UK Research &amp; Innovation (UKRI)Engineering &amp; Physical Sciences Research Council (EPSRC)); NERC(UK Research &amp; Innovation (UKRI)Natural Environment Research Council (NERC)); STFC(UK Research &amp; Innovation (UKRI)Science &amp; Technology Facilities Council (STFC))</t>
  </si>
  <si>
    <t>The results presented in this paper rely in part on geomagnetic indices calculated and made available by ISGI Collaborating Institutes from data collected at magnetic observatories. We acknowledge the involved national institutes, the INTERMAGNET network, and ISGI (isgi.unistra.fr). We also acknowledge Lockwood, Chambodut, et al. (2018) and Lockwood, Finch, et al. (2018) for the provision of the homogenous aa index used here. We thank theWorld Data Center for Geomagnetism, Kyoto. We thank theWorld Data Center SILSO, Royal Observatory of Belgium, Brussels, for provision of sunspot data. S. C. C. acknowledges a Fulbright-Lloyd's of London Scholarship and AFOSR Grants FA9550-17-1-0054 and ST/P000320/1. R. B. H. acknowledges the NERC Highlight topic Grants NE/P01738X/1 (Rad-Sat) and NE/R016038/1. Data availability: The ISGI aa index data set analyzed here was downloaded from the International Service of Geomagnetic Indices (http://isgi.unistra.fr/).The homogenized aa index analyzed here was downloaded from the SI of Lockwood, Finch, et al. (2018) (https://www.swsc-journal.org/articles/swsc/olm/2018/01/swsc180022/swsc180022.html). The daily sunspot number data set was downloaded from the SILSO, World Data Center-Sunspot Number and Long-term Solar Observations, Royal Observatory of Belgium, online Sunspot catalog (http://www.sidc.be/SILSO/), 1868-2017. The DST index analyzed here was downloaded from NASA/GSFC's Space Physics Data Facility's OMNIWeb service; the OMNI data were obtained from the GSFC/SPDF OMNIWeb interface (https://omniweb.gsfc.nasa.gov).</t>
  </si>
  <si>
    <t>FEB 16</t>
  </si>
  <si>
    <t>e2019GL086524</t>
  </si>
  <si>
    <t>10.1029/2019GL086524</t>
  </si>
  <si>
    <t>LH9MN</t>
  </si>
  <si>
    <t>WOS:000529107400067</t>
  </si>
  <si>
    <t>Coenen, JJ; Scherer, RP; Baudoin, P; Warny, S; Castaneda, IS; Askin, R</t>
  </si>
  <si>
    <t>Coenen, J. J.; Scherer, R. P.; Baudoin, P.; Warny, S.; Castaneda, I. S.; Askin, R.</t>
  </si>
  <si>
    <t>Paleogene Marine and Terrestrial Development of the West Antarctic Rift System</t>
  </si>
  <si>
    <t>N-ALKANE DISTRIBUTIONS; ICE-SHEET; ROSS SEA; MIOCENE SEDIMENTS; MEMBRANE-LIPIDS; ORGANIC-MATTER; OLIGOCENE; PALEOECOLOGY; CALIBRATION; VEGETATION</t>
  </si>
  <si>
    <t>Modeling the early development of the West Antarctic Ice Sheet (WAIS) hinges on the configuration and evolution of Paleogene terrestrial landscapes associated with the West Antarctic Rift System. A widely applied but previously untested paleotopographic reconstruction for the Eocene/Oligocene boundary suggests that much of central West Antarctica was as much as 1,000 m above sea level at that time, constituting a key nucleating site for an early WAIS. Here we show that Paleogene age marine and terrestrial microfossil assemblages and biomarkers in sediments recovered from beneath the WAIS provide direct evidence contrary to this widely utilized maximum paleotopographic reconstruction. These new constraints call for significantly modified tectonic and ice sheet model parameterization and also provide insights into modern differential uplift across the West Antarctic Rift System. Plain Language Summary The configuration and elevation of Antarctic land masses played a key role in early ice sheet development in a world with CO2 much higher than today's. Several studies have attempted to reconstruct the terrestrial landscape of the tectonically complex West Antarctica 34 million years ago, a time when a cooling climate led to Antarctic ice sheet growth. Here we use sedimentary records collected from beneath the West Antarctic Ice Sheet interior to test published landscape reconstructions for this critical interval in Earth history. Marine microfossils (diatoms, dinoflagellates, calcareous nannofossils, and ebridians) are used to constrain the ages of sedimentary deposits. Additionally, we use terrestrial pollen, spores, and freshwater diatoms, as well as marine and terrestrial organic biomarkers, to document past sedimentary basins and reconstruct paleoenvironments during the transition from the warm Eocene (similar to 56 to 34 million years ago) to the cooler Oligocene (similar to 34 to 23 million years ago). Our results significantly advance knowledge of tectonic and landscape evolution across West Antarctica, thus calling for improved modeling of the early ice sheet.</t>
  </si>
  <si>
    <t>[Coenen, J. J.; Scherer, R. P.] Northern Illinois Univ, Dept Geol &amp; Environm Geosci, De Kalb, IL 60115 USA; [Baudoin, P.; Warny, S.; Askin, R.] Louisiana State Univ, Dept Geol &amp; Geophys, Baton Rouge, LA 70803 USA; [Baudoin, P.; Warny, S.; Askin, R.] Louisiana State Univ, Museum Nat Sci, Baton Rouge, LA 70803 USA; [Baudoin, P.; Warny, S.; Askin, R.] A&amp;M C, Baton Rouge, LA USA; [Castaneda, I. S.] Univ Massachusetts, Dept Geosci, Amherst, MA 01003 USA</t>
  </si>
  <si>
    <t>Northern Illinois University; Louisiana State University System; Louisiana State University; Louisiana State University System; Louisiana State University; University of Massachusetts System; University of Massachusetts Amherst</t>
  </si>
  <si>
    <t>Coenen, JJ (corresponding author), Northern Illinois Univ, Dept Geol &amp; Environm Geosci, De Kalb, IL 60115 USA.</t>
  </si>
  <si>
    <t>jcoenen@niu.edu</t>
  </si>
  <si>
    <t>Warny, Sophie A/A-8226-2013</t>
  </si>
  <si>
    <t>Warny, Sophie/0000-0002-3451-040X; Castaneda, Isla/0000-0002-2524-9326; Baudoin, Patrick/0000-0002-5916-3870; Coenen, Jason/0000-0001-5848-5424; Scherer, Reed/0000-0003-3764-4478</t>
  </si>
  <si>
    <t>WISSARD Project under NSF [ANT-0839107, ANT-0839142]; NSF; NSF CAREER program [1048343]; Louisiana State University Museum of Natural Science curatorial assistantship; UMass; Office of Polar Programs (OPP); Directorate For Geosciences [1048343] Funding Source: National Science Foundation</t>
  </si>
  <si>
    <t>WISSARD Project under NSF; NSF(National Science Foundation (NSF)); NSF CAREER program(National Science Foundation (NSF)NSF - Office of the Director (OD)); Louisiana State University Museum of Natural Science curatorial assistantship; UMass; Office of Polar Programs (OPP); Directorate For Geosciences(National Science Foundation (NSF)NSF - Directorate for Geosciences (GEO))</t>
  </si>
  <si>
    <t>SLW and WGZ samples were recovered and analyzed as part of the WISSARD Project under NSF Awards ANT-0839107 and ANT-0839142. We thank the WISSARD team, especially R. Powell and S. Tulaczyk and their students for field assistance in sediment recovery. We also thank University of Nebraska-Lincoln for hot water drill operations and the Antarctic Support Contract (ASC) for extensive field support. H. Engelhardt and the late B. Kamb are acknowledged for recovering samples from UpB, KIS, and BIS as part of their past NSF-funded West Antarctic drilling programs and thank S. Tulaczyk for making some of these samples available for study. RISP cores were recovered by NSF awards to P. Webb and curated by the Antarctic Sediment Core facility at Florida State University. Funding for palynological work was provided through the NSF CAREER program (Grant 1048343 to S. W.) and through a Louisiana State University Museum of Natural Science curatorial assistantship to P. B. Funding for the biomarker analyses were partially provided by startup funds to I. S. C. at UMass. J. Wei is thanked for his work running the initial round of biomarker samples at UMass, and J. Salacup is thanked for laboratory assistance. D. Watkins, G. Villa, and D. Kulhanek are thanked for their aid in reexamining the calcareous nannofossil assemblage from UpB. J. Mastro and E. Amer Alyasiri are thanked for their help with GIS and mapping questions. C. Siddoway is thanked for edits and discussions that greatly improved this document. We would also like to thank the editor and anonymous reviewers for their insightful comments, which greatly improved the manuscript. Data supporting the conclusions of this paper will be made available through the U.S. Antarctic Program Data Center (http://www.usap-dc.org/view/project/p0000105).</t>
  </si>
  <si>
    <t>e2019GL085281</t>
  </si>
  <si>
    <t>10.1029/2019GL085281</t>
  </si>
  <si>
    <t>WOS:000529107400006</t>
  </si>
  <si>
    <t>Loomis, BD; Rachlin, KE; Wiese, DN; Landerer, FW; Luthcke, SB</t>
  </si>
  <si>
    <t>Loomis, Bryant D.; Rachlin, Kenneth E.; Wiese, David N.; Landerer, Felix W.; Luthcke, Scott B.</t>
  </si>
  <si>
    <t>Replacing GRACE/GRACE-FO C30 With Satellite Laser Ranging: Impacts on Antarctic Ice Sheet Mass Change</t>
  </si>
  <si>
    <t>GRACE; GRAVITY</t>
  </si>
  <si>
    <t>Satellite laser ranging (SLR) observations have long been relied upon for measuring changes in Earth's dynamic oblateness, C-20. This major component of Earth's time-variable gravity field is not well observed by the Gravity Recovery and Climate Experiment (GRACE) and GRACE Follow-On (GRACE-FO) missions, leading to the common practice of replacing their values with those obtained by SLR. The C-30 coefficient, which has a large impact on the recovered Antarctic Ice Sheet mass changes, is shown here to be poorly observed by GRACE/GRACE-FO when either mission is operating without two fully functional accelerometers. The GRACE spacecraft pair operated nominally until October 2016 when one accelerometer was powered off due to battery limitations, while GRACE-FO is currently excluding one accelerometer from the data processing due to elevated noise levels. Beginning with the launch of Laser Relativity Satellite in 2012, SLR-derived C-30 values are suitable for replacing any problematic GRACE/GRACE-FO estimates, enabling the accurate recovery of Antarctic Ice Sheet mass changes, among others.</t>
  </si>
  <si>
    <t>[Loomis, Bryant D.; Luthcke, Scott B.] NASA, Goddard Space Flight Ctr, Geodesy &amp; Geophys Lab, Greenbelt, MD 20771 USA; [Rachlin, Kenneth E.] KBRwyle, Greenbelt, MD USA; [Wiese, David N.; Landerer, Felix W.] CALTECH, Jet Prop Lab, Pasadena, CA USA</t>
  </si>
  <si>
    <t>National Aeronautics &amp; Space Administration (NASA); NASA Goddard Space Flight Center; National Aeronautics &amp; Space Administration (NASA); NASA Jet Propulsion Laboratory (JPL); California Institute of Technology</t>
  </si>
  <si>
    <t>Loomis, BD (corresponding author), NASA, Goddard Space Flight Ctr, Geodesy &amp; Geophys Lab, Greenbelt, MD 20771 USA.</t>
  </si>
  <si>
    <t>bryant.d.loomis@nasa.gov</t>
  </si>
  <si>
    <t>Landerer, Felix W/ABG-2849-2021; Luthcke, Scott B/D-6283-2012; Loomis, Bryant/AIC-7436-2022</t>
  </si>
  <si>
    <t>Landerer, Felix W/0000-0003-2678-095X; Loomis, Bryant/0000-0002-9370-9160; Wiese, David/0000-0001-7035-0514</t>
  </si>
  <si>
    <t>NASA through the GRACE-FO Science Data System; National Aeronautics and Space Administration</t>
  </si>
  <si>
    <t>NASA through the GRACE-FO Science Data System; National Aeronautics and Space Administration(National Aeronautics &amp; Space Administration (NASA))</t>
  </si>
  <si>
    <t>This work was funded by NASA through the GRACE-FO Science Data System. GRACE and GRACE-FO Level 2 spherical harmonics and the Technical Notes TN-13 and TN-14 are all distributed via PO.DAAC (https://podaac.jpl.nasa.gov).SLR normal point data are obtained from CDDIS, a global data center for the International Laser Ranging Service (ILRS; https://cddis.nasa.gov).The NASA GSFC SLR products also are available at https://neptune.gsfc.nasa.gov/slr_tvg/. We acknowledge the excellent work of the entire Science Data System team for GRACE and GRACE-FO. We also acknowledge the expertise of our colleagues F. G. Lemoine, N. P. Zelensky, and D. S. Chinn, whose prior work was foundational to the NASA GSFC SLR data processing capabilities. NASA GSFC colleague T. J. Sabaka provided valuable feedback during the revision of the manuscript. A portion of this work was carried out at the Jet Propulsion Laboratory, California Institute of Technology, under a contract with the National Aeronautics and Space Administration.</t>
  </si>
  <si>
    <t>e2019GL085488</t>
  </si>
  <si>
    <t>10.1029/2019GL085488</t>
  </si>
  <si>
    <t>WOS:000529107400068</t>
  </si>
  <si>
    <t>Nicewonger, MR; Aydin, M; Prather, MJ; Saltzman, ES</t>
  </si>
  <si>
    <t>Nicewonger, Melinda R.; Aydin, Murat; Prather, Michael J.; Saltzman, Eric S.</t>
  </si>
  <si>
    <t>Reconstruction of Paleofire Emissions Over the Past Millennium From Measurements of Ice Core Acetylene</t>
  </si>
  <si>
    <t>BIOMASS BURNING EMISSIONS; WD2014 CHRONOLOGY; NATURAL-GAS; AGE SCALE; METHANE; FIRE; PREINDUSTRIAL; CLIMATE; TEMPERATURE; GREENLAND</t>
  </si>
  <si>
    <t>Acetylene is a short-lived trace gas produced during combustion of fossil fuels, biomass, and biofuels. Biomass burning is likely the only major source of acetylene in the preindustrial atmosphere, making ice core acetylene a powerful tool for reconstructing paleofire emissions. Here we present a 2,000-year atmospheric record of acetylene reconstructed from analysis of air bubbles trapped in Greenland and Antarctic ice cores and infer pyrogenic acetylene emissions using a chemistry transport model. From 0 to 1500 CE, Antarctic acetylene averages 36 +/- 1 pmol mol(-1) (mean +/- 1 SE), roughly double the annual mean over Antarctica today. Antarctic acetylene declines during the Little Ice Age by over 50% to 17 +/- 2 pmol mol-1 from 1650 to 1750 CE. Acetylene over Greenland declines less dramatically over the same period. Modeling results suggest that pyrogenic acetylene emissions during 1000-1500 CE were sustained at rates significantly greater than modern day and declined by over 50% during the 1650-1750 CE period.</t>
  </si>
  <si>
    <t>[Nicewonger, Melinda R.; Aydin, Murat; Prather, Michael J.; Saltzman, Eric S.] Univ Calif Irvine, Dept Earth Syst Sci, Irvine, CA 92697 USA; [Saltzman, Eric S.] Univ Calif Irvine, Dept Chem, Irvine, CA 92717 USA</t>
  </si>
  <si>
    <t>University of California System; University of California Irvine; University of California System; University of California Irvine</t>
  </si>
  <si>
    <t>Nicewonger, MR (corresponding author), Univ Calif Irvine, Dept Earth Syst Sci, Irvine, CA 92697 USA.</t>
  </si>
  <si>
    <t>nicewonm@uci.edu</t>
  </si>
  <si>
    <t>NSF [OPP-1644245, OPP-1142517]; NSF GRFP Award [DGE-1312846]; NASA [NNX15AE35G]; NASA [NNX15AE35G, 803886] Funding Source: Federal RePORTER</t>
  </si>
  <si>
    <t>NSF(National Science Foundation (NSF)); NSF GRFP Award; NASA(National Aeronautics &amp; Space Administration (NASA)); NASA(National Aeronautics &amp; Space Administration (NASA))</t>
  </si>
  <si>
    <t>We thank Xin Zhu for the assistance with the UCI-CTM, Steve Montzka from NOAA GMD for sharing the surface flasks, and NSF-ICF and IDP for the ice core drilling and samples. This research was supported by NSF Grants OPP-1644245 and OPP-1142517, NSF GRFP Award DGE-1312846 (to M. R. N.), and NASA Grant NNX15AE35G (to M. J. P.). The ice core and surface acetylene data are available online (doi:10.18739/A2J09W45H and https://doi.org/10.7280/D1TD4D).</t>
  </si>
  <si>
    <t>e2019GL085101</t>
  </si>
  <si>
    <t>10.1029/2019GL085101</t>
  </si>
  <si>
    <t>WOS:000529107400020</t>
  </si>
  <si>
    <t>Sun, LT; Deser, C; Tomas, RA; Alexander, M</t>
  </si>
  <si>
    <t>Sun, Lantao; Deser, Clara; Tomas, Robert A.; Alexander, Michael</t>
  </si>
  <si>
    <t>Global Coupled Climate Response to Polar Sea Ice Loss: Evaluating the Effectiveness of Different Ice-Constraining Approaches</t>
  </si>
  <si>
    <t>CIRCULATION RESPONSE; ATMOSPHERIC RESPONSE; COLD WINTERS; AMPLIFICATION; MECHANISMS; FEEDBACK; IMPACTS; MODEL</t>
  </si>
  <si>
    <t>Coupled ocean-atmosphere models have been utilized to investigate the global climate response to polar sea ice loss using different approaches to constrain ice concentration and thickness. The goal of this study is to compare two commonly used methods within a single model framework: ice albedo reduction, which is energy conserving, and ice-flux nudging, which is not energy conserving. The two approaches generate virtually identical equilibrium global climate responses to the same seasonal cycle of sea ice loss. However, while ice-flux nudging is able to control the sea ice state year-round, albedo reduction is most effective during summer and lessens the effects of climate change in winter due to the underestimation of sea ice loss. These evaluations have implications for the Polar Amplification Model Intercomparison Project (PAMIP), which proposes a set of coordinated coupled model experiments but without a defined protocol on how to constrain sea ice. Plain Language Summary What does polar amplification mean for global climate? This question has been addressed by using different arbitrary methods to isolate melting of Arctic and/or Antarctic sea ice in coupled ocean-atmosphere modeling experiments. However, these experiments sometimes obtained different answers. It is still unclear whether the divergent results arise from models' structural differences or from the different methods used to melt sea ice. In this study, two commonly used approaches (albedo reduction and nudging) are applied to a single climate model to generate the same seasonal cycle of ice loss and polar amplification. Nearly identical responses are found, including slowing down the thermohaline circulation in the Atlantic Ocean, weakened westerly winds over high latitudes, increased precipitation over the west coast of North America associated with a deepened Aleutian Low, and tropical upper tropospheric warming. However, ice albedo reduction is found to be ineffective in winter, unlike nudging, which can control sea ice year-round. We therefore recommend nudging to be adopted for the Polar Amplification Model Intercomparison Project (PAMIP) coupled experiments.</t>
  </si>
  <si>
    <t>[Sun, Lantao] Colorado State Univ, Dept Atmospher Sci, Ft Collins, CO 80523 USA; [Deser, Clara; Tomas, Robert A.] Natl Ctr Atmospher Res, POB 3000, Boulder, CO 80307 USA; [Alexander, Michael] NOAA, Earth Syst Res Lab, Phys Sci Div, Boulder, CO USA</t>
  </si>
  <si>
    <t>Colorado State University; National Center Atmospheric Research (NCAR) - USA; National Oceanic Atmospheric Admin (NOAA) - USA</t>
  </si>
  <si>
    <t>Sun, LT (corresponding author), Colorado State Univ, Dept Atmospher Sci, Ft Collins, CO 80523 USA.</t>
  </si>
  <si>
    <t>lantao.sun@colostate.edu</t>
  </si>
  <si>
    <t>Alexander, Michael A/A-7097-2013; Alexander, Michael A/JBJ-7594-2023; Sun, Lantao/D-9948-2015</t>
  </si>
  <si>
    <t>Alexander, Michael A/0000-0001-9646-6427; Sun, Lantao/0000-0001-8578-9175</t>
  </si>
  <si>
    <t>Jim Hurrell's presidential chair startup funding at CSU; NOAA Climate Program Office Earth System Modeling program; National Science Foundation</t>
  </si>
  <si>
    <t>Jim Hurrell's presidential chair startup funding at CSU; NOAA Climate Program Office Earth System Modeling program(National Oceanic Atmospheric Admin (NOAA) - USA); National Science Foundation(National Science Foundation (NSF))</t>
  </si>
  <si>
    <t>We appreciate the constructive suggestions of the two anonymous reviewers. We also appreciate valuable discussions with Dave Bailey and Marika Holland (NCAR) in developing the CCSM4 ice-flux nudging technique, and suggestions from Jim Hurrell (CSU) and Matt Newman (CIRES/NOAA ESRL) and comments from participants at the PAMIP workshop in June 2019. LS is supported by Jim Hurrell's presidential chair startup funding at CSU. This project is partly supported by the NOAA Climate Program Office Earth System Modeling program. We would like to acknowledge high-performance computing support from Cheyenne provided by NCAR's Computational and Information Systems Laboratory, sponsored by the National Science Foundation. NCAR is sponsored by the National Science Foundation. Model data are available at https://zenodo.org/record/3479888#.XZ_PP-dKhBw.</t>
  </si>
  <si>
    <t>e2019GL085788</t>
  </si>
  <si>
    <t>10.1029/2019GL085788</t>
  </si>
  <si>
    <t>WOS:000529107400061</t>
  </si>
  <si>
    <t>Winberry, JP; Huerta, AD; Anandakrishnan, S; Aster, RC; Nyblade, AA; Wiens, DA</t>
  </si>
  <si>
    <t>Winberry, J. Paul; Huerta, Audrey D.; Anandakrishnan, Sridhar; Aster, Richard C.; Nyblade, Andrew A.; Wiens, Douglas A.</t>
  </si>
  <si>
    <t>Glacial Earthquakes and Precursory Seismicity Associated With Thwaites Glacier Calving</t>
  </si>
  <si>
    <t>AMUNDSEN SEA EMBAYMENT; ICE; ANTARCTICA; MOTION; GREENLAND; BAND</t>
  </si>
  <si>
    <t>We observe two (similar to M-S 3) long-period (10-30 s) seismic events that originate from the terminus of Thwaites Glacier, Antarctica. Serendipitous acquisition of satellite images confirm that the seismic events were glacial earthquakes generated during the capsizing of icebergs. The glacial earthquakes were preceded by 6 days of discrete high-frequency seismic events that can be observed at distances exceeding 250 km. The high-frequency seismicity displays an increasing rate of occurrence, culminating in several hours of sustained tremor coeval with the long-period events. A series of satellite images collected during this precursory time period show that the high-frequency events and tremor are the result of accelerating growth of ancillary fractures prior to the culminating calving event. This study indicates that seismic data have the potential to elucidate the processes by which Thwaites Glacier discharges into the ocean, thus improving our ability to constrain future sea level rise.</t>
  </si>
  <si>
    <t>[Winberry, J. Paul; Huerta, Audrey D.] Cent Washington Univ, Dept Geol Sci, Ellensburg, WA 98926 USA; [Anandakrishnan, Sridhar; Nyblade, Andrew A.] Penn State Univ, Dept Geosci, University Pk, PA 16802 USA; [Aster, Richard C.] Colorado State Univ, Dept Geosci, Ft Collins, CO 80523 USA; [Wiens, Douglas A.] Washington Univ, Dept Earth &amp; Planetary Sci, St Louis, MO 63110 USA</t>
  </si>
  <si>
    <t>Central Washington University; Pennsylvania Commonwealth System of Higher Education (PCSHE); Pennsylvania State University; Pennsylvania State University - University Park; Colorado State University; Washington University (WUSTL)</t>
  </si>
  <si>
    <t>Winberry, JP (corresponding author), Cent Washington Univ, Dept Geol Sci, Ellensburg, WA 98926 USA.</t>
  </si>
  <si>
    <t>paul.winberry@gmail.com</t>
  </si>
  <si>
    <t>Aster, Richard/E-5067-2013; Winberry, Paul/HLQ-2673-2023; Anandakrishnan, Sridhar/JCN-5026-2023; Huerta, Audrey D/A-8680-2009; Wiens, Douglas/J-9259-2016</t>
  </si>
  <si>
    <t>Aster, Richard/0000-0002-0821-4906; Winberry, Paul/0000-0003-1205-0745; Wiens, Douglas/0000-0002-5169-4386; Huerta, Audrey/0000-0002-0252-8496</t>
  </si>
  <si>
    <t>U.S. National Science Foundation [1249602, 1246666, 1246712, 1246776, 1738934]</t>
  </si>
  <si>
    <t>U.S. National Science Foundation(National Science Foundation (NSF))</t>
  </si>
  <si>
    <t>This work was supported by the U.S. National Science Foundation (Grants 1249602, 1246666, 1246712, 1246776, and 1738934). All seismic data utilized in this study can be obtained from the IRIS Data Management Center (www.iris.edu), and all satellite imagery can be obtained from ESA (https://scihub.copernicus.eu/) and the USGS (https://earthexplorer.usgs.gov) data centers. We thank the many people involved in the successful deployment of the ANET seismic stations as well as Raytheon Polar Services, Antarctic Support Contract, the New York Air National Guard, and Ken Borek Air for logistical support. We thank the IRIS-PASSCAL Instrument Center for instrumentation and field support.</t>
  </si>
  <si>
    <t>e2019GL086178</t>
  </si>
  <si>
    <t>10.1029/2019GL086178</t>
  </si>
  <si>
    <t>WOS:000529107400028</t>
  </si>
  <si>
    <t>Ding, MH; Yang, DY; van den Broeke, MR; Allison, I; Xiao, CD; Qin, DH; Huai, BJ</t>
  </si>
  <si>
    <t>Ding, Minghu; Yang, Diyi; van den Broeke, Michiel R.; Allison, Ian; Xiao, Cunde; Qin, Dahe; Huai, Baojuan</t>
  </si>
  <si>
    <t>The Surface Energy Balance at Panda 1 Station, Princess Elizabeth Land: A Typical Katabatic Wind Region in East Antarctica</t>
  </si>
  <si>
    <t>ATMOSPHERIC BOUNDARY-LAYER; WESTERN QILIAN MOUNTAINS; MASS-BALANCE; DOME-C; SNOW-SURFACE; ICE-SHEET; SNOWDRIFT SUBLIMATION; THERMAL-CONDUCTIVITY; DAILY CYCLE; ACCUMULATION</t>
  </si>
  <si>
    <t>Using automatic weather station and reanalysis data (ERA5) from 2011 at Panda-1 Station, situated in the katabatic region of Princess Elizabeth Land, East Antarctica, the surface energy balance was calculated using a surface temperature iteration method, and the characteristics of each energy component were analyzed. Downward shortwave and longwave radiation were the two primary energy sources during summer days with seasonal means of 346 and 142 W m(-2). The turbulent fluxes of sensible and latent heat flux represent smaller heat sources. In the annual mean, reflected shortwave radiation exceeds the upward longwave radiation with a seasonal average values of -287 W m(-2). During winter, the shortwave radiation is small, and the main energy input and output terms of the surface energy balance are downward and upward longwave radiation, with seasonal average values of 149 and -159 W m(-2), respectively. The combination of high wind speed and a large near-surface humidity gradient during summer resulted in significant frost depositional events. The total surface frost deposition for the whole year was 24 kg m(-2), which accounted for 61% of the total accumulation (averaged over 10 years). When a high-pressure ridge blocks cyclones and deflects fronts of low-pressure systems to inland East Antarctica during winter, this has a significant impact on the surface energy balance at Panda 1 automatic weather station, with daily sensible and latent heat fluxes increasing by as much as 25 and 12 W m(-2), respectively. These results still contain uncertainties as we only address a single year, when interannual variability may be considerable, and we do not consider drifting snow sublimation.</t>
  </si>
  <si>
    <t>[Ding, Minghu; Yang, Diyi; Huai, Baojuan] Chinese Acad Meteorol Sci, State Key Lab Severe Weather, Beijing, Peoples R China; [Ding, Minghu; Xiao, Cunde; Qin, Dahe] Chinese Acad Sci, Northwest Inst Ecoenvironm &amp; Resources, State Key Lab Cryospher Sci, Lanzhou, Peoples R China; [van den Broeke, Michiel R.] Univ Utrecht, Inst Marine &amp; Atmospher Res, Utrecht, Netherlands; [Allison, Ian] Antarctic Climate &amp; Ecosyst Cooperat Res Ctr, Hobart, Tas, Australia; [Huai, Baojuan] Shandong Normal Univ, Coll Geog &amp; Environm, Jinan, Peoples R China</t>
  </si>
  <si>
    <t>China Meteorological Administration; Chinese Academy of Meteorological Sciences (CAMS); Chinese Academy of Sciences; Utrecht University; Antarctic Climate &amp; Ecosystems Cooperative Research Centre (ACE CRC); Shandong Normal University</t>
  </si>
  <si>
    <t>Ding, MH; Huai, BJ (corresponding author), Chinese Acad Meteorol Sci, State Key Lab Severe Weather, Beijing, Peoples R China.;Ding, MH (corresponding author), Chinese Acad Sci, Northwest Inst Ecoenvironm &amp; Resources, State Key Lab Cryospher Sci, Lanzhou, Peoples R China.;Huai, BJ (corresponding author), Shandong Normal Univ, Coll Geog &amp; Environm, Jinan, Peoples R China.</t>
  </si>
  <si>
    <t>dingminghu@foxmail.com; huaibaojuan@126.com</t>
  </si>
  <si>
    <t>Van den Broeke, Michiel R./F-7867-2011; Ding, Minghu/AFU-3600-2022</t>
  </si>
  <si>
    <t>Van den Broeke, Michiel R./0000-0003-4662-7565; Ding, Minghu/0000-0002-1142-6598; Yang, Diyi/0000-0002-1844-5900</t>
  </si>
  <si>
    <t>Natural Science Foundation of China [41771064]; National Basic Research Program of China [2016YFC1400303]; Basic Fund of the Chinese Academy of Meteorological Sciences [2018Z001]; Institude of Tibetan Plateau and Polar Meteorology</t>
  </si>
  <si>
    <t>Natural Science Foundation of China(National Natural Science Foundation of China (NSFC)); National Basic Research Program of China(National Basic Research Program of China); Basic Fund of the Chinese Academy of Meteorological Sciences; Institude of Tibetan Plateau and Polar Meteorology</t>
  </si>
  <si>
    <t>This research is supported by the Natural Science Foundation of China (41771064), the National Basic Research Program of China (2016YFC1400303), and the Basic Fund of the Chinese Academy of Meteorological Sciences (2018Z001). As for the data availability, ERA5 reanalysis data sets are freely distributed on the Climate Date Store (https://cds.climate.copernicus.eu/cdsapp#!/search?type= dataset). Meteorological data are made available on the website of PANGAEA (Data Publisher for Earth &amp; Environmental Science). The direct link is https://doi.pangaea.de/10.1594/PANGAEA.905761.The authors thank the support from Institude of Tibetan Plateau and Polar Meteorology. Besides, we also deeply appreciate the staffs for their hard work on the Panda1 Station under the inland Antarctica condition and the comments from two anonymous referees.</t>
  </si>
  <si>
    <t>e2019JD030378</t>
  </si>
  <si>
    <t>10.1029/2019JD030378</t>
  </si>
  <si>
    <t>KW3SK</t>
  </si>
  <si>
    <t>WOS:000521086600005</t>
  </si>
  <si>
    <t>Fleming, EL; Newman, PA; Liang, Q; Daniel, JS</t>
  </si>
  <si>
    <t>Fleming, Eric L.; Newman, Paul A.; Liang, Qing; Daniel, John S.</t>
  </si>
  <si>
    <t>The Impact of Continuing CFC-11 Emissions on Stratospheric Ozone</t>
  </si>
  <si>
    <t>CARBON-DIOXIDE; CHEMISTRY; PROJECTIONS; MODEL; INCREASE; GASES</t>
  </si>
  <si>
    <t>Trichlorofluoromethane (CFC-11, CFCl3) is a major anthropogenic ozone-depleting substance and greenhouse gas, and its production and consumption are controlled under the Montreal Protocol. However, recent studies show that CFC-11 emissions have been near constant or increasing since 2002. In this study, we use a two-dimensional chemistry-climate model to investigate the stratospheric ozone response to a range of future CFC-11 emissions scenarios. A scenario with future emissions sustained at 10 gigagrams per year (Gg/year) above the baseline WMO (2018) A1 scenario results in minor additional global (90 degrees S-90 degrees N) ozone depletion of 0.13% by 2100, and a 1.5-year delay in the global ozone recovery to 1980 levels, relative to the baseline. A scenario with 72.5 Gg/year (the 2013-2016 average) sustained to 2100 results in a substantial 15% increase in effective equivalent stratospheric chlorine and nearly 1% additional global ozone depletion by 2100, with a 7.5-year delay in the recovery to 1980 global ozone levels, relative to the baseline. The ozone response averaged over time has a strong linear dependence on the cumulative amount of future CFC-11 emissions under a wide range of scenarios. The resulting ozone response sensitivity gives a simple metric relating the time-averaged ozone change to the cumulative CFC-11 emissions. This sensitivity has an inverse dependence on future greenhouse gas concentrations (CO2, CH4, and N2O). For the medium Intergovernmental Panel on Climate Change Representative Concentration Pathway-6.0 scenario, the sensitivity per 1,000 Gg of cumulative CFC-11 emissions is -0.1% and -1% for global and Antarctic spring ozone, respectively. Plain Language Summary Stratospheric ozone protects the Earth's biosphere from harmful ultraviolet radiation and is key in determining the radiative balance of the atmosphere. CFC-11 is a man-made chlorofluorocarbon, and its emissions and subsequent break down in the stratosphere result in ozone depletion. Because of this, production and consumption of CFC-11 have been controlled under the Montreal Protocol, resulting in a rapid decline in emissions starting in the late 1980s. Recent studies show that CFC-11 emissions have increased in recent years, at odds with expected declines caused by the Montreal Protocol controls. In this study, we examine how potential future CFC-11 emissions will impact stratospheric ozone. The ozone response is proportional to the amount of CFC-11 emitted, and the response is substantial for a future projection in which the increased emissions during 2013-2016 continue to 2100. This scenario will postpone the return of global ozone to 1980 levels from mid-2052 to 2060 and causes additional 1% global ozone depletion by 2100, compared to the baseline. Although there is uncertainty in projecting future emissions, the ozone response is strongly dependent on the amount of CFC-11 emissions accumulated over time, allowing for a simple metric relating the ozone depletion to the cumulative amount of emissions.</t>
  </si>
  <si>
    <t>[Fleming, Eric L.; Newman, Paul A.; Liang, Qing] NASA, Goddard Space Flight Ctr, Greenbelt, MD 20771 USA; [Fleming, Eric L.] Sci Syst &amp; Applicat Inc, Lanham, MD 20706 USA; [Daniel, John S.] NOAA, Chem Sci Div, Earth Syst Res Lab, Boulder, CO USA</t>
  </si>
  <si>
    <t>National Aeronautics &amp; Space Administration (NASA); NASA Goddard Space Flight Center; Science Systems and Applications Inc; National Oceanic Atmospheric Admin (NOAA) - USA</t>
  </si>
  <si>
    <t>Fleming, EL (corresponding author), NASA, Goddard Space Flight Ctr, Greenbelt, MD 20771 USA.;Fleming, EL (corresponding author), Sci Syst &amp; Applicat Inc, Lanham, MD 20706 USA.</t>
  </si>
  <si>
    <t>eric.l.fleming@nasa.gov</t>
  </si>
  <si>
    <t>Newman, Paul A/D-6208-2012; Liang, Qing/B-1276-2011; Liang, Qing/GPX-8988-2022; Daniel, John S/D-9324-2011</t>
  </si>
  <si>
    <t>Liang, Qing/0000-0002-8430-0515; Liang, Qing/0000-0002-8430-0515;</t>
  </si>
  <si>
    <t>NASA Headquarters Atmospheric Composition Modeling and Analysis Program</t>
  </si>
  <si>
    <t>The authors thank Charley Jackman for valuable discussions, and two anonymous reviewers for very helpful comments and suggestions. We thank Luke Oman for supplying the GEOSCCM output and Sandip Dhomse for supplying the CCMI ozone multimodel means used in Appendix A. This work was supported in part by the NASA Headquarters Atmospheric Composition Modeling and Analysis Program. The GSFC2D model description, configuration, input parameters and forcing data sets, and associated references, are provided in section of the main text and in Appendix A. The observational ozone data used for comparisons are available from the following: ground-based total ozone: https://woudc.org/archive/ProjectsCampaigns/ZonalMeans/; Aura/MLS: https://disc.gsfc.nasa.gov/datasets? page=1&amp;keywords=AURAMLS; and GOZCARDS: https://gozcards.jpl.nasa.gov/info.php.</t>
  </si>
  <si>
    <t>e2019JD031849</t>
  </si>
  <si>
    <t>10.1029/2019JD031849</t>
  </si>
  <si>
    <t>WOS:000521086600011</t>
  </si>
  <si>
    <t>Tatlhego, M; Bhattachan, A; Okin, GS; D'Odorico, P</t>
  </si>
  <si>
    <t>Tatlhego, Mokganedi; Bhattachan, Abinash; Okin, Gregory S.; D'Odorico, Paolo</t>
  </si>
  <si>
    <t>Mapping Areas of the Southern Ocean Where Productivity Likely Depends on Dust-Delivered Iron</t>
  </si>
  <si>
    <t>LIMITS PHYTOPLANKTON GROWTH; ROSS SEA; TRANSPORT; LIMITATION; ICE</t>
  </si>
  <si>
    <t>The existence of low-productivity areas in the Southern Ocean has been related to limited supply of bioavailable iron from terrestrial sources of dust. Dust-delivered iron can be crucial to ocean productivity, though alternative mechanisms have also been identified. To explore the geographic distribution of areas limited in the delivery of iron-rich atmospheric dust in the austral summer, we calculate forward trajectories from continental sources in the Southern Hemisphere between 2007 and 2015. A statistical comparison between trajectory patterns and maps of chlorophyll-a, an indicator of ocean productivity, shows a significant positive correlation in ocean areas between 45 degrees S and 65 degrees S, consistent with the dust deposition hypothesis. Likewise, considering the area south of 45 degrees S, while excluding the coastal belt of Antarctica, a positive correlation is also found. These results suggest the existence of two potential sources of bioavailable iron to the Southern Ocean that determine its productivity patterns: aeolian transport from dust sources into the open Southern Ocean and coastal sediment and upwelling in the coastal Antarctic Ocean. Plain Language Summary Iron is a limiting micronutrient in high-nutrient, low-chlorophyll waters of the Southern Ocean, and atmospheric dust from continental sources is considered to be one of the sources of bioavailable iron. Given the relatively few number of dust sources in the Southern Hemisphere, it is important to quantify the distribution of dust in the remote waters of the Southern Ocean and thus investigate ocean regions that likely depend on atmospheric dust for primary productivity. Using modeled pathways of air parcel trajectories starting from each dust source area in South America, Southern Africa, and Australia and average chlorophyll-a concentrations in the Southern Ocean, we found a positive relationship between ocean productivity and trajectory densities within areas that are further away from the coastal belt of Antarctica. Our results suggest that ocean productivity along the Antarctic coast is dependent on other sources of iron such as sedimentary inputs and upwelling, and dust emitted from major continental sources in the Southern Hemisphere is perhaps not contributing to the observed biological activity near the Antarctic coast.</t>
  </si>
  <si>
    <t>[Tatlhego, Mokganedi; D'Odorico, Paolo] Univ Calif Berkeley, Dept Environm Sci Policy &amp; Management, Berkeley, CA 94720 USA; [Bhattachan, Abinash] North Carolina State Univ, Dept Forestry &amp; Environm Resources, Raleigh, NC 27695 USA; [Bhattachan, Abinash; Okin, Gregory S.] Univ Calif Los Angeles, Dept Geog, Los Angeles, CA 90024 USA</t>
  </si>
  <si>
    <t>University of California System; University of California Berkeley; North Carolina State University; University of California System; University of California Los Angeles</t>
  </si>
  <si>
    <t>Bhattachan, A (corresponding author), North Carolina State Univ, Dept Forestry &amp; Environm Resources, Raleigh, NC 27695 USA.;Bhattachan, A (corresponding author), Univ Calif Los Angeles, Dept Geog, Los Angeles, CA 90024 USA.</t>
  </si>
  <si>
    <t>abhattachan@ucla.edu</t>
  </si>
  <si>
    <t>Okin, Greg/D-3226-2019; D'Odorico, Paolo/HTQ-6744-2023</t>
  </si>
  <si>
    <t>D'Odorico, Paolo/0000-0002-0007-5833</t>
  </si>
  <si>
    <t>National Science Foundation [EAR-1147545, EAR-1148334]</t>
  </si>
  <si>
    <t>This study was funded by the National Science Foundation (Grants EAR-1147545 and EAR-1148334). We gratefully acknowledge the NOAA Air Resources Laboratory (ARL) for the provision of the HYSPLIT transport and dispersion model and/or the READY website (https://ready.arl.noaa.gov/index.php) and NASA's Ocean Biology Processing Group (OBPG) for data used in this publication. We also thank four anonymous reviewers for their helpful comments. All data used in this study are available through https://figshare.com/s/149ceef0596f4e640ab8</t>
  </si>
  <si>
    <t>e2019JD030926</t>
  </si>
  <si>
    <t>10.1029/2019JD030926</t>
  </si>
  <si>
    <t>WOS:000521086600012</t>
  </si>
  <si>
    <t>Prothro, LO; Majewski, W; Yokoyama, Y; Simkins, LM; Anderson, JB; Yamane, M; Miyairi, Y; Ohkouchi, N</t>
  </si>
  <si>
    <t>Prothro, Lindsay O.; Majewski, Wojciech; Yokoyama, Yusuke; Simkins, Lauren M.; Anderson, John B.; Yamane, Masako; Miyairi, Yosuke; Ohkouchi, Naohiko</t>
  </si>
  <si>
    <t>Timing and pathways of East Antarctic Ice Sheet retreat</t>
  </si>
  <si>
    <t>Ross sea; Last glacial maximum; Glacial history; Sedimentology; Geomorphology; Radiocarbon</t>
  </si>
  <si>
    <t>LAST GLACIAL MAXIMUM; PLEISTOCENE-HOLOCENE RETREAT; WESTERN ROSS-SEA; SUBMARINE LANDFORMS; HATHERTON GLACIER; CONTINENTAL-SHELF; MARINE-SEDIMENTS; VICTORIA LAND; LEVEL RISE; RADIOCARBON</t>
  </si>
  <si>
    <t>A lack of reliable chronology often leaves Antarctic ice sheet reconstructions incomplete. Despite being the most heavily investigated region of the Antarctic continental shelf, the post-Last Glacial Maximum (LGM) record of marine-based ice sheet dynamics in the Ross Sea has remained largely elusive and at odds with fringing terrestrial records of ice sheet decay. Issues with radiocarbon dating stem primarily from poorly preserved carbonate, contamination by glacially-recycled carbon, and insufficient consideration for glacial geomorphic context and sedimentary facies. We assess nearly 70 newly acquired and more than 200 published radiocarbon ages in the context of a consistent sedimentary facies and geomorphic framework to interpret the timing of the local glacial maximum and subsequent retreat of the East Antarctic Ice Sheet (EMS) in the Ross Sea and potential causes of retreat. Compound-specific radiocarbon ages help to provide good constraints on open marine onset, and we demonstrate that, with proper corrections and considerations, acid insoluble organic (AIO) radiocarbon ages can be reliable in open marine sediments and carbonate ages can be reliable in grounding-zone proximal sediments. We find that the ice flowing through Pennell and JOIDES troughs remained at maximum extent for approximately 10,000 years before retreating at 15.1 and 13 cal ka BP, respectively. An ice shelf covered the outer continental shelf until similar to 9.5 cal ka BP, after which it collapsed in JOIDES Trough, creating deep iceberg furrows. Retreat through Pennell Trough was more episodic, marked by grounding-zone wedges that backstep upstream and onto lateral banks creating deglacial emergent ice rises. As ice retreated from similar to 9 to similar to 4 cal ka BP, there was considerable reorganization of drainage and at least one episode of readvance through southern JOIDES Trough that began drawdown of terrestrial ice near Ross Island at similar to 7.8 cal ka BP. The ice shelf appears to have retreated to a near-present configuration by 2 cal ka BP. However, due to inconsistencies in calendar ages, grounding line position must be inferred from relative chronology based on glacial landforms, which suggests grounded ice retreated nearly to Drygalski Ice Tongue and lingered atop Crary Bank where it was maintained by ice from David Glacier. Our reconstruction further suggests that the EATS in the western Ross Sea was not a discernible contributor to Meltwater Pulse 1A, but likely contributed to eustatic sea level rise well through the middle-perhaps even late-Holocene. (C) 2020 Elsevier Ltd. All rights reserved.</t>
  </si>
  <si>
    <t>[Prothro, Lindsay O.; Anderson, John B.] Rice Univ, Houston, TX 77251 USA; [Prothro, Lindsay O.] Texas A&amp;M Univ, Corpus Christi, TX USA; [Majewski, Wojciech] Polish Acad Sci, Inst Paleobiol, Warsaw, Poland; [Yokoyama, Yusuke; Miyairi, Yosuke] Univ Tokyo, Tokyo, Japan; [Simkins, Lauren M.] Univ Virginia, Charlottesville, VA 22903 USA; [Yamane, Masako] Nagoya Univ, Nagoya, Aichi, Japan; [Ohkouchi, Naohiko] JAMSTEC, Yokosuka, Kanagawa, Japan</t>
  </si>
  <si>
    <t>Rice University; Texas A&amp;M University System; Polish Academy of Sciences; Institute of Paleobiology of the Polish Academy of Sciences; University of Tokyo; University of Virginia; Nagoya University; Japan Agency for Marine-Earth Science &amp; Technology (JAMSTEC)</t>
  </si>
  <si>
    <t>Prothro, LO (corresponding author), Rice Univ, Houston, TX 77251 USA.</t>
  </si>
  <si>
    <t>lindsay.prothro@tamucc.edu</t>
  </si>
  <si>
    <t>Ohkouchi, Naohiko/B-2071-2008; Prothro, Lindsay/Y-9837-2019; Majewski, Wojciech/D-9255-2017</t>
  </si>
  <si>
    <t>Prothro, Lindsay/0000-0003-3385-8487; Majewski, Wojciech/0000-0002-5407-1782; Yamane, Masako/0000-0002-5063-0719; Ohkouchi, Naohiko/0000-0002-6355-7469</t>
  </si>
  <si>
    <t>National Science Foundation [NSF-PLR 1246353]; National Science Centre of Poland [NCN-2015/17/B/ST10/03346]; Japan Society for the Promotion of Science KAKENHI [15KK0151, 17H01168]</t>
  </si>
  <si>
    <t>National Science Foundation(National Science Foundation (NSF)); National Science Centre of Poland(National Science Centre, Poland); Japan Society for the Promotion of Science KAKENHI(Ministry of Education, Culture, Sports, Science and Technology, Japan (MEXT)Japan Society for the Promotion of ScienceGrants-in-Aid for Scientific Research (KAKENHI))</t>
  </si>
  <si>
    <t>We thank the crew of the RV/IB Nathaniel B. Palmer, the Antarctic Support Contract personnel, and ship-based sciendtists for their efforts toward a successful expedition. We thank A. Fonseca and B. Fowler for laboratory assistance, and C. Sjunneskog and S. Petrushak of the FSU Antarctic Research Facility for geotechnical assistance. This manuscript was greatly improved by the comments and suggestions of two reviewers-Brad Rosenheim and one anonymous reviewer. This work was funded by the National Science Foundation [NSF-PLR 1246353] to J.B.A., the National Science Centre of Poland [NCN-2015/17/B/ST10/03346] to W.M., and the Japan Society for the Promotion of Science KAKENHI [15KK0151, 17H01168] to Y.Y.</t>
  </si>
  <si>
    <t>FEB 15</t>
  </si>
  <si>
    <t>10.1016/j.quascirev.2020.106166</t>
  </si>
  <si>
    <t>KN3PY</t>
  </si>
  <si>
    <t>WOS:000514754000013</t>
  </si>
  <si>
    <t>Shi, F; Yin, QZ; Nikolova, I; Berger, A; Ramstein, G; Guo, ZT</t>
  </si>
  <si>
    <t>Shi, Feng; Yin, Qiuzhen; Nikolova, Irina; Berger, Andre; Ramstein, Gilles; Guo, Zhengtang</t>
  </si>
  <si>
    <t>Impacts of extremely asymmetrical polar ice sheets on the East Asian summer monsoon during the MIS-13 interglacial</t>
  </si>
  <si>
    <t>MIS-13 interglacial; Asian monsoon; Astronomical forcing; Ice sheet; Greenland; Antarctica</t>
  </si>
  <si>
    <t>OVERTURNING CIRCULATION; SOUTHERN-OCEAN; REVISED CHRONOSTRATIGRAPHY; CENTENNIAL VARIABILITY; VOJVODINA REGION; NORTHERN SERBIA; COUPLED MODEL; CLIMATE; LOESS; PACIFIC</t>
  </si>
  <si>
    <t>Marine Isotope Stage (MIS) 13 (similar to 500 ka ago) was a relatively weak interglacial according to the benthic delta O-18 and Antarctic ice core records. However, proxy records from the Northern Hemisphere indicate that MIS-13 was at least as warm as or even warmer than more recent interglacials, with an extremely strong summer monsoon and possible melting of the Greenland ice sheet. In this study, assuming an asymmetric hemispheric climate, we investigate the response of the East Asian summer monsoon to various Greenland and Antarctic ice sheet sizes using a set of sensitivity experiments with the HadCM3 model through factor separation analysis. Results show that with no Greenland ice sheet and a large Antarctic ice sheet there is an enhancement of summer monsoon precipitation in the East Asian monsoon region of up to similar to 7%, in agreement with the direction of change from proxy reconstructions for China. This enhancement is associated with a stronger land-sea thermal contrast, more water vapor transport to East Asia and a northward shift of the Intertropical Convergence Zone. The response to the Greenland ice sheet removal is related to thermodynamic and topographical effects that influence the East Asian monsoon through an orographically induced wave train. The response to the larger Antarctic ice sheet involves stronger upwelling of circumpolar deep water in the Southern Ocean melts the sea ice, leading to a warmer SST. This warming propagates to the North, affecting the East Asian summer monsoon. (C) 2020 Elsevier Ltd. All rights reserved.</t>
  </si>
  <si>
    <t>[Shi, Feng; Guo, Zhengtang] Chinese Acad Sci, Inst Geol &amp; Geophys, Key Lab Cenozo Geol &amp; Environm, Beijing 100029, Peoples R China; [Shi, Feng; Yin, Qiuzhen; Nikolova, Irina; Berger, Andre] Catholic Univ Louvain, Georges Lemaitre Ctr Earth &amp; Climate Res Earth &amp;, B-1348 Louvain La Neuve, Belgium; [Shi, Feng; Guo, Zhengtang] CAS Ctr Excellence Life &amp; Paleoenvironm, Beijing 100044, Peoples R China; [Nikolova, Irina] Univ Birmingham, Sch Geog Earth &amp; Environm Sci, Birmingham, W Midlands, England; [Ramstein, Gilles] Univ Paris Saclay, UVSQ, CNRS, LSCE,IPSL,CEA, F-91191 Gif Sur Yvette, France; [Guo, Zhengtang] Univ Chinese Acad Sci, Beijing 100049, Peoples R China</t>
  </si>
  <si>
    <t>Chinese Academy of Sciences; Institute of Geology &amp; Geophysics, CAS; Universite Catholique Louvain; University of Birmingham; CEA; Centre National de la Recherche Scientifique (CNRS); Universite Paris Saclay; Universite Paris Cite; Chinese Academy of Sciences; University of Chinese Academy of Sciences, CAS</t>
  </si>
  <si>
    <t>Shi, F (corresponding author), Chinese Acad Sci, Inst Geol &amp; Geophys, Key Lab Cenozo Geol &amp; Environm, Beijing 100029, Peoples R China.</t>
  </si>
  <si>
    <t>shifeng@mail.iggcas.ac.cn</t>
  </si>
  <si>
    <t>Guo, Zhengtang/B-6854-2008; Shi, Feng/AAG-6973-2020</t>
  </si>
  <si>
    <t>Guo, Zhengtang/0000-0003-2259-9715; Shi, Feng/0000-0003-3963-1822; Yin, Qiuzhen/0000-0002-7189-8335</t>
  </si>
  <si>
    <t>National Natural Science Foundation of China [4188101, 41690114, 41877440, 41430531]; Fonds de la Recherche Scientifique-FNRS (F.R.S.-FNRS) of Belgium [MIS F.4529.18]; Key Research Program of the Institute of Geology &amp; Geophysics, CAS [IGGCAS-201905]; MOVE-IN Louvain Incoming Post-doctoral Fellowship; F.R.S.-FNRS [2.5020.11]; Marie Curie Actions of the European Commission</t>
  </si>
  <si>
    <t>National Natural Science Foundation of China(National Natural Science Foundation of China (NSFC)); Fonds de la Recherche Scientifique-FNRS (F.R.S.-FNRS) of Belgium(Fonds de la Recherche Scientifique - FNRS); Key Research Program of the Institute of Geology &amp; Geophysics, CAS; MOVE-IN Louvain Incoming Post-doctoral Fellowship; F.R.S.-FNRS(Fonds de la Recherche Scientifique - FNRS); Marie Curie Actions of the European Commission(European Union (EU)Marie Curie ActionsEuropean Commission Joint Research Centre)</t>
  </si>
  <si>
    <t>The ICE-5G data (0-21KBP inclusive, 1 degrees resolution) was downloaded from the PMIP2 website: https://pmip2.lsce.ipsl.fr/design/ice5g/ice5g_v1_1.shtml.We appreciate helpful discussions with Hugues Goosse, Michel Crucifix, and Sen Zhao. We thank Sen Zhao for his help in the processing of the data and the figures. This work is supported by the National Natural Science Foundation of China (Grant Nos. 4188101; 41690114; 41877440; 41430531), the Fonds de la Recherche Scientifique-FNRS (F.R.S.-FNRS) of Belgium (Grant No. MIS F.4529.18), and the Key Research Program of the Institute of Geology &amp; Geophysics, CAS (Grant No. IGGCAS-201905). Feng Shi is funded by the MOVE-IN Louvain Incoming Post-doctoral Fellowship, co-funded by the Marie Curie Actions of the European Commission. Qiuzhen Yin is Research Associate of F.R.S.-FNRS. Computational resources were provided by the supercomputing facilities of the Universite Catholique de Louvain (CISM/UCL) and the Consortium des Equipements de Calcul Intensif en Federation Wallonie Bruxelles (CECI) funded by F.R.S.-FNRS under convention 2.5020.11.</t>
  </si>
  <si>
    <t>10.1016/j.quascirev.2020.106164</t>
  </si>
  <si>
    <t>WOS:000514754000009</t>
  </si>
  <si>
    <t>Heerema, CJ; Talling, PJ; Cartigny, MJ; Paull, CK; Bailey, L; Simmons, SM; Parsons, DR; Clare, MA; Gwiazda, R; Lundsten, E; Anderson, K; Maier, KL; Xu, JP; Sumner, EJ; Rosenberger, K; Gales, J; McGann, M; Carter, L; Pope, E</t>
  </si>
  <si>
    <t>Heerema, Catharina J.; Talling, Peter J.; Cartigny, Matthieu J.; Paull, Charles K.; Bailey, Lewis; Simmons, Stephen M.; Parsons, Daniel R.; Clare, Michael A.; Gwiazda, Roberto; Lundsten, Eve; Anderson, Krystle; Maier, Katherine L.; Xu, Jingping P.; Sumner, Esther J.; Rosenberger, Kurt; Gales, Jenny; McGann, Mary; Carter, Lionel; Pope, Edward</t>
  </si>
  <si>
    <t>Monterey Coordinated Canyon Expt</t>
  </si>
  <si>
    <t>What determines the downstream evolution of turbidity currents?</t>
  </si>
  <si>
    <t>turbidity current; submarine canyon; ignition; dissipation; autosuspension; flow behaviour</t>
  </si>
  <si>
    <t>SEDIMENT DENSITY FLOWS; WATER MIXTURE FLOWS; INTERNAL STRUCTURE; SUBMARINE CANYONS; MONTEREY CANYON; SAND; SUSPENSION; VELOCITY; EVENTS; BREAKS</t>
  </si>
  <si>
    <t>Seabed sediment flows called turbidity currents form some of the largest sediment accumulations, deepest canyons and longest channel systems on Earth. Only rivers transport comparable sediment volumes over such large areas; but there are far fewer measurements from turbidity currents, ensuring they are much more poorly understood. Turbidity currents differ fundamentally from rivers, as turbidity currents are driven by the sediment that they suspend. Fast turbidity currents can pick up sediment, and self-accelerate (ignite); whilst slow flows deposit sediment and dissipate. Self-acceleration cannot continue indefinitely, and flows might reach a near-uniform state (autosuspension). Here we show how turbidity currents evolve using the first detailed measurements from multiple locations along their pathway, which come from Monterey Canyon offshore California. All flows initially ignite. Typically, initially-faster flows then achieve near-uniform velocities (autosuspension), whilst slower flows dissipate. Fractional increases in initial velocity favour much longer runout, and a new model explains this bifurcating behaviour. However, the only flow during less-stormy summer months is anomalous as it self-accelerated, which is perhaps due to erosion of surficial-mud layer mid-canyon. Turbidity current evolution is therefore highly sensitive to both initial velocities and seabed character. (C) 2019 Published by Elsevier B.V.</t>
  </si>
  <si>
    <t>[Heerema, Catharina J.; Talling, Peter J.; Cartigny, Matthieu J.; Pope, Edward] Univ Durham, Dept Geog, Durham DH1 3LE, England; [Heerema, Catharina J.; Talling, Peter J.; Cartigny, Matthieu J.; Pope, Edward] Univ Durham, Dept Earth Sci, Durham DH1 3LE, England; [Paull, Charles K.; Gwiazda, Roberto; Lundsten, Eve; Anderson, Krystle; Maier, Katherine L.] Monterey Bay Aquarium Res Inst, Moss Landing, CA 95039 USA; [Bailey, Lewis; Sumner, Esther J.] Univ Southampton, Ocean &amp; Earth Sci, European Way, Southampton SO14 3ZH, Hants, England; [Bailey, Lewis; Clare, Michael A.] Univ Southampton, Natl Oceanog Ctr, Waterfront Campus,European Way, Southampton SO14 3ZH, Hants, England; [Simmons, Stephen M.; Parsons, Daniel R.] Univ Hull, Energy &amp; Environm Inst, Cottingham Rd, Kingston Upon Hull HU6 7RX, N Humberside, England; [Maier, Katherine L.; Rosenberger, Kurt; McGann, Mary] US GS, Pacific Coastal &amp; Marine Sci Ctr, Santa Cruz, CA 95060 USA; [Maier, Katherine L.] Natl Inst Water &amp; Atmospher Res, Wellington, New Zealand; [Xu, Jingping P.] Southern Univ Sci &amp; Technol China, Shenzhen 518055, Peoples R China; [Xu, Jingping P.] Qingdao Natl Lab Marine Sci &amp; Technol, Qingdao 266061, Peoples R China; [Gales, Jenny] Univ Plymouth, Plymouth PL4 8AA, Devon, England; [Carter, Lionel] Victoria Univ Wellington, Antarctic Res Ctr, Wellington, New Zealand</t>
  </si>
  <si>
    <t>Durham University; Durham University; Monterey Bay Aquarium Research Institute; University of Southampton; NERC National Oceanography Centre; University of Southampton; University of Hull; National Institute of Water &amp; Atmospheric Research (NIWA) - New Zealand; Southern University of Science &amp; Technology; Laoshan Laboratory; University of Plymouth; Victoria University Wellington</t>
  </si>
  <si>
    <t>Heerema, CJ (corresponding author), Univ Durham, Dept Geog, Durham DH1 3LE, England.;Heerema, CJ (corresponding author), Univ Durham, Dept Earth Sci, Durham DH1 3LE, England.</t>
  </si>
  <si>
    <t>catharina.j.heerema@durham.ac.uk</t>
  </si>
  <si>
    <t>Parsons, Daniel R/G-9101-2011; Cartigny, Matthieu J.B./N-2683-2014; Clare, Michael A/C-7937-2016; Pope, Ed/H-9409-2017</t>
  </si>
  <si>
    <t>Gales, Jenny/0000-0003-4402-5800; Heerema, Kate/0000-0002-6948-6243; Talling, Peter/0000-0001-5234-0398; Bailey, Lewis/0000-0002-4188-1778; Pope, Ed/0000-0002-2090-2971; Simmons, Stephen/0000-0002-0519-1470</t>
  </si>
  <si>
    <t>European Union [721403 - ITN SLATE]; David and Lucile Packard Foundation; Natural Environment Research Council [NE/K011480/1, NE/M007138/1, NE/M017540/1, NE/P009190/1, NE/P005780/1]; U.S. Geological Survey (USGS) Coastal and Marine Program; Ocean University of China; NERC National Capability project Climate Linked Atlantic Sector Science [NE/R015953/1]; Leverhulme Trust [ECF-2018-267]; NERC [NE/M017540/1, NE/R001952/1, NE/P009190/1, NE/K011480/1, NE/S010068/1, NE/S009965/1, NE/M007138/1, NE/P005780/1, noc010011] Funding Source: UKRI</t>
  </si>
  <si>
    <t>European Union(European Union (EU)); David and Lucile Packard Foundation(The David &amp; Lucile Packard Foundation); Natural Environment Research Council(UK Research &amp; Innovation (UKRI)Natural Environment Research Council (NERC)); U.S. Geological Survey (USGS) Coastal and Marine Program(United States Geological Survey); Ocean University of China; NERC National Capability project Climate Linked Atlantic Sector Science; Leverhulme Trust(Leverhulme Trust); NERC(UK Research &amp; Innovation (UKRI)Natural Environment Research Council (NERC))</t>
  </si>
  <si>
    <t>C.J. Heerema is funded by the European Union's Horizon 2020 research and innovation program under the Marie Sklodowska-Curie grant agreement No. 721403 - ITN SLATE. This project received funding from the David and Lucile Packard Foundation, Natural Environment Research Council (grant NE/K011480/1, NE/M007138/1, NE/M017540/1, NE/P009190/1, and NE/P005780/1), U.S. Geological Survey (USGS) Coastal and Marine Program, and Ocean University of China. M.A. Clare acknowledges support from NERC National Capability project Climate Linked Atlantic Sector Science (NE/R015953/1). E. Pope was supported by a Leverhulme Trust Early Career Fellowship (ECF-2018-267).</t>
  </si>
  <si>
    <t>10.1016/j.epsl.2019.116023</t>
  </si>
  <si>
    <t>KL2XH</t>
  </si>
  <si>
    <t>Green Submitted, Green Published, Green Accepted, hybrid</t>
  </si>
  <si>
    <t>WOS:000513291400007</t>
  </si>
  <si>
    <t>Chávez, D; Machuca, A; Fuentes-Ramirez, A; Fernandez, N; Cornejo, P</t>
  </si>
  <si>
    <t>Chavez, Daniel; Machuca, Angela; Fuentes-Ramirez, Andres; Fernandez, Natalia; Cornejo, Pablo</t>
  </si>
  <si>
    <t>Shifts in soil traits and arbuscular mycorrhizal symbiosis represent the conservation status of Araucaria araucana forests and the effects after fire events</t>
  </si>
  <si>
    <t>FOREST ECOLOGY AND MANAGEMENT</t>
  </si>
  <si>
    <t>Arbuscular mycorrhizae; Biochemical soil activity; Fire impacts; Native forests; Protected areas; Soil ecology</t>
  </si>
  <si>
    <t>RECENT TEPHRA DEPOSITION; MEDITERRANEAN HEATHLAND; FLORISTIC COMPOSITION; NOTHOFAGUS FORESTS; TEMPERATE FORESTS; INVASIVE PLANTS; MONKEY-PUZZLE; NATIONAL-PARK; IMPACTS; MANAGEMENT</t>
  </si>
  <si>
    <t>Araucaria araucana is a long-lived native conifer from the sub-Antarctic Andean forests of South America. Currently, the species is classified as endangered due to fragmentation, deforestation and increasing fire events affecting southern Chile. Although fire is a key factor shaping the dynamics of A. araucana forests, the impact of fire on the chemical and microbiological soil properties remains elusive. Here, we aimed to characterize the (bio) chemical and microbiological soil traits in different sites of the Andes and the Coastal range of southern Chile, as a way to describe the conservation status of A. araucana forests in contrasting environments with different fire history. The study was conducted in old-growth A. araucana forests within protected areas affected by different fire events during the last 18 years. Roots were analyzed for arbuscular mycorrhizal (AM) colonization and soil samples were processed for (bio)chemical and microbiological analyses. Our results revealed that AM colonization was strongly affected by fire, being closely related with the acid phosphatase and beta-glucosidase enzymatic activities, which also showed lower values in fire-affected sites. Glomalin-related protein in the soil was also a good indicator of soil stability associated to environments non-affected by fire. Based on our results, the conservation status benchmark for A. araucana is in the Coastal range, showing high rates of AM colonization, fungal structures and biochemical activities in environments subjected to minor geological risks and no fire events. This research provides helpful information for finding efficient biological inoculants, including indigenous AM fungal species, which can help to enhance A. araucana plantlets with an optimized rhizosphere oriented to the restoration of burned A. araucana forests in south-central Chile.</t>
  </si>
  <si>
    <t>[Chavez, Daniel; Machuca, Angela] Univ Concepcion, Dept Plant Sci &amp; Technol, Campus Los Angeles,Juan Antonio Coloma 0201, Los Angeles, Chile; [Chavez, Daniel; Cornejo, Pablo] Univ La Frontera, Ctr Invest Micorrizas &amp; Sustentabilidad Agroambie, CIMYSA, Av Francisco Salazar 01145, Temuco, Chile; [Fuentes-Ramirez, Andres] Univ La Frontera, Dept Ciencias Forestales, Lab Biometria, Temuco, Chile; [Fuentes-Ramirez, Andres] Univ La Frontera, Fac Ciencias Agr &amp; Forestales, Ctr Butamallin Invest Cambio Global, Temuco, Chile; [Fuentes-Ramirez, Andres] IEB, Santiago, Chile; [Fernandez, Natalia] Univ Nacl Comahue, Ctr Reg Univ Bariloche, Lab Microbiol Aplicada &amp; Biotecnol, RA-1250 San Carlos De Bariloche, Rio Negro, Argentina; [Fernandez, Natalia] IPATEC CONICET, RA-1250 San Carlos De Bariloche, Rio Negro, Argentina</t>
  </si>
  <si>
    <t>Universidad de Concepcion; Universidad de La Frontera; Universidad de La Frontera; Universidad de La Frontera; Universidad Nacional del Comahue</t>
  </si>
  <si>
    <t>Cornejo, P (corresponding author), Univ La Frontera, Ctr Invest Micorrizas &amp; Sustentabilidad Agroambie, CIMYSA, Av Francisco Salazar 01145, Temuco, Chile.</t>
  </si>
  <si>
    <t>pablo.cornejo@ufrontera.cl</t>
  </si>
  <si>
    <t>Fuentes, Andres/AAZ-5031-2020; Cornejo, Pablo E./B-1039-2015</t>
  </si>
  <si>
    <t>Fuentes, Andres/0000-0003-1258-7462; Fernandez, Natalia/0000-0001-6483-0407; Chavez, Daniel/0000-0003-4130-1339; Cornejo, Pablo/0000-0003-2124-3100</t>
  </si>
  <si>
    <t>FONDECYT/POSTDOCTORADO [3170089]; FONDECYT/REGULAR [1170264]; Concurso Nacional de Insercion en la Academia 2017 CONICYT-PAI [79170054]; [CONICYT/FONDAP/15130015]</t>
  </si>
  <si>
    <t>FONDECYT/POSTDOCTORADO(Comision Nacional de Investigacion Cientifica y Tecnologica (CONICYT)CONICYT FONDECYT); FONDECYT/REGULAR(Comision Nacional de Investigacion Cientifica y Tecnologica (CONICYT)CONICYT FONDECYT); Concurso Nacional de Insercion en la Academia 2017 CONICYT-PAI;</t>
  </si>
  <si>
    <t>We thank to the National Park Administration of the Chilean Forest Service (CONAF) for allowing the fieldwork within protected areas in La Araucania Region (permit No 02/2017 IX). This work was supported by FONDECYT/POSTDOCTORADO/No 3170089 (DCM), FONDECYT/REGULAR/No 1170264 (PCR) and by CONICYT/FONDAP/15130015. AFR was supported by Concurso Nacional de Insercion en la Academia 2017 CONICYT-PAI No 79170054. Peer reviewers made a number of suggestions greatly improving the paper.</t>
  </si>
  <si>
    <t>0378-1127</t>
  </si>
  <si>
    <t>1872-7042</t>
  </si>
  <si>
    <t>FOREST ECOL MANAG</t>
  </si>
  <si>
    <t>For. Ecol. Manage.</t>
  </si>
  <si>
    <t>10.1016/j.foreco.2019.117806</t>
  </si>
  <si>
    <t>Forestry</t>
  </si>
  <si>
    <t>KJ7DW</t>
  </si>
  <si>
    <t>WOS:000512219500030</t>
  </si>
  <si>
    <t>Hong, SB; Yoon, YJ; Becagli, S; Gim, Y; Chambers, SD; Park, KT; Park, SJ; Traversi, R; Severi, M; Vitale, V; Kim, JH; Jang, E; Crawford, J; Griffiths, AD</t>
  </si>
  <si>
    <t>Hong, Sang-bum; Yoon, Young Jun; Becagli, Silvia; Gim, Yeontae; Chambers, S. D.; Park, Ki-Tae; Park, Sang-Jong; Traversi, Rita; Severi, Mirko; Vitale, V.; Kim, Joo-Hong; Jang, Eunho; Crawford, J.; Griffiths, A. D.</t>
  </si>
  <si>
    <t>Seasonality of aerosol chemical composition at King Sejong Station (Antarctic Peninsula) in 2013</t>
  </si>
  <si>
    <t>ATMOSPHERIC ENVIRONMENT</t>
  </si>
  <si>
    <t>PM10 and PM2.5 aerosol; King sejong station; Seasonal variations of ionic components; Sea spray; Biogenic sulphur compounds; Ammonium</t>
  </si>
  <si>
    <t>SEA-SALT AEROSOL; SIZE-SEGREGATED AEROSOL; TRACE-ELEMENTS; ATMOSPHERIC AEROSOLS; CONCORDIA SITE; BOUNDARY-LAYER; ROUND RECORDS; ARCTIC-OCEAN; SULFUR; ISLAND</t>
  </si>
  <si>
    <t>Seasonal variations of ionic species concentrations in Pls43.0 and PM2,5 aerosols were investigated at King Sejong Station (King George Island, Antarctic Peninsula) in 2013. Seasonal variations of PM2,5 mass were also determined, and found to be in the range: 2482.2 944.4 ng m-3 (austral winter) to 3493.3 1223.8 ng m-3 (austral fall). On a weight basis, the PM2.5 ionic species consisted mainly of primary ions from sea spray (-30% in summer,-50% in winter) and partly from secondary ions (-20% in summer), with the ratios of sea spray and secondary ion components to PM2,5 mass showing clear seasonal variation. The seasonal cycle of sea spray components was not well defined, but was weakly correlated with wind speed (r2 = 0.38). This correlation was likely attributable to a combination of the seasonal properties of wind and the measurement site's location at the western tip of Barton Peninsula. The concentrations of sulphur species (CH3S03 and non sea salt SO.i-) were clearly higher during austral summer. Notably, these concentrations were-2-3 times higher during in January 2013 than in other summer months of the field observation period. This was attributed to an increased biomass of algae in the ocean area surrounding King George Island and more frequent air mass passage over ocean areas with algae blooms. The NHt concentration was also clearly higher in austral summer 2013, mainly due to secondary formation from the NH3 released from local emission sources such as penguin colonies and ocean areas near the measurement site with acidic aerosol, but also affected by local meteorology specific to the summer of 2014.</t>
  </si>
  <si>
    <t>[Hong, Sang-bum; Yoon, Young Jun; Gim, Yeontae; Park, Ki-Tae; Park, Sang-Jong; Kim, Joo-Hong; Jang, Eunho] Korea Polar Res Inst KOPRI, 26 Songdomirae Ro, Incheon 21990, South Korea; [Becagli, Silvia; Traversi, Rita; Severi, Mirko] Univ Florence, Dept Chem Ugo Schiff, Florence, Italy; [Chambers, S. D.; Crawford, J.; Griffiths, A. D.] ANSTO, Environm Res, Locked Bag 2001, Kirrawee Dc, NSW 2232, Australia; [Vitale, V.] ISAC CNR, Bologna, Italy; [Jang, Eunho] Univ Sci &amp; Technol, 217 Gajeong Ro, Daejeon 34113, South Korea</t>
  </si>
  <si>
    <t>Korea Polar Research Institute (KOPRI); University of Florence; Australian Nuclear Science &amp; Technology Organisation; Consiglio Nazionale delle Ricerche (CNR); Istituto di Scienze dell'Atmosfera e del Clima (ISAC-CNR); University of Science &amp; Technology (UST)</t>
  </si>
  <si>
    <t>Hong, SB (corresponding author), Korea Polar Res Inst KOPRI, 26 Songdomirae Ro, Incheon 21990, South Korea.;Becagli, S (corresponding author), Univ Florence, Dept Chem Ugo Schiff, Florence, Italy.</t>
  </si>
  <si>
    <t>hong909@kopri.re.kr; silvia.becagli@unifi.it</t>
  </si>
  <si>
    <t>Severi, Mirko/J-2508-2012; vitale, vito/AAW-8441-2021; Becagli, Silvia/GNW-2665-2022; Park, Ki-Tae/CAF-2480-2022; Park, Sang-Jong/B-7049-2011; Griffiths, Alan/I-4766-2014; Traversi, Rita/M-7586-2015</t>
  </si>
  <si>
    <t>Chambers, Scott/0000-0002-2521-959X; Griffiths, Alan/0000-0003-1135-1810; vitale, vito/0000-0003-0978-8976; Traversi, Rita/0000-0002-9790-2195</t>
  </si>
  <si>
    <t>KOPRI research grant [PE19010, PE19040]</t>
  </si>
  <si>
    <t>KOPRI research grant(Korea Polar Research Institute of Marine Research Placement (KOPRI))</t>
  </si>
  <si>
    <t>This research was partly supported by KOPRI research grant (PE19010 and PE19040). We sincerely thank over-wintering staff at King Sejong Station for their support of the installation of aerosol sampler. A special acknowledgement to Prof. Roberto Udisti, now retired, that strongly wanted these measurements, without his efforts such measurements would have not be done. We gratefully acknowledge the Air Resources Laboratory (ARL) for provision of the HYSPLIT transport and dispersion model and mixing height on READY website (http://ready.arl.noaa.gov/HYSPLIT_traj.php and http://ready.arl.noaa.gov/READYamet.php) used in this publication. Also, we thank the environmental analysis group of the department of Chemistry of Jeju National University for their support of measurement of mass of PM2.5 and also reanalysis of anions in extracted samples from denuder tubes for their certification. We would also like to thank the reviewers for their insightful and constructive feedback, which has helped improving the clarity and utility of the final manuscript.</t>
  </si>
  <si>
    <t>1352-2310</t>
  </si>
  <si>
    <t>1873-2844</t>
  </si>
  <si>
    <t>ATMOS ENVIRON</t>
  </si>
  <si>
    <t>Atmos. Environ.</t>
  </si>
  <si>
    <t>10.1016/j.atmosenv.2019.117185</t>
  </si>
  <si>
    <t>KR5LP</t>
  </si>
  <si>
    <t>WOS:000517660200036</t>
  </si>
  <si>
    <t>Gottschalk, J; Skinner, LC; Jaccard, SL; Menviel, L; Nehrbass-Ahles, C; Waelbroeck, C</t>
  </si>
  <si>
    <t>Gottschalk, Julia; Skinner, Luke C.; Jaccard, Samuel L.; Menviel, Laurie; Nehrbass-Ahles, Christoph; Waelbroeck, Claire</t>
  </si>
  <si>
    <t>Southern Ocean link between changes in atmospheric CO2 levels and northern-hemisphere climate anomalies during the last two glacial periods</t>
  </si>
  <si>
    <t>Glacials; Palaeoclimatology; Southern Ocean; Redox-sensitive elements; Carbon cycle; Foraminifera; Dansgaard-Oeschger cycles; Atmospheric CO2 variations; Stadials; Interstadials</t>
  </si>
  <si>
    <t>CARBON ISOTOPIC COMPOSITION; SEA BENTHIC FORAMINIFERA; MILLENNIAL-SCALE CHANGES; SOFT-TISSUE PUMP; ICE-CORE; ANTARCTIC ICE; DEEP-WATER; CHRONOLOGY AICC2012; CONTINENTAL-MARGIN; AUTHIGENIC URANIUM</t>
  </si>
  <si>
    <t>Past millennial-scale changes in atmospheric CO2 (CO2,atm) concentrations have often been attributed to variations in the overturning timescale of the ocean that result in changes in the marine carbon inventory. Yet, there remains a paucity of proxy evidence that documents changes in marine carbon storage globally, and that links them to abrupt climate variability in the northern hemisphere associated with perturbations of the Atlantic Meridional Overturning Circulation (AMOC). The last two glacial periods were suggested to differ in the spatial extent of the AMOC and its sensitivity to perturbations. This provides an opportunity to compare the nature of marine carbon cycle-climate feedbacks between them. Here, we reconstruct variations in respired carbon storage (via oxygenation) and the AMOC geometry (via carbonate ion saturation) in the deep South Atlantic. We infer decreases in deep South Atlantic respired carbon levels at times of weakened AMOC and rising CO2,atm concentrations during both glacial periods. These findings suggest a consistent pattern of increased Southern Ocean convection and/or air-sea CO2 fluxes during northern-hemisphere stadials accompanying AMOC perturbations and promoting a rise in CO2,atm levels. We find that net ocean carbon loss, and hence the magnitude of CO2,atm rise, is largely determined by the stadial duration. North Atlantic climate anomalies therefore affect Southern Ocean carbon cycling in a consistent manner, through oceanic (e.g., ventilation seesaw) and/or atmospheric processes (e.g., Ekman pumping). (C) 2019 Elsevier Ltd. All rights reserved.</t>
  </si>
  <si>
    <t>[Gottschalk, Julia; Skinner, Luke C.; Nehrbass-Ahles, Christoph] Univ Cambridge, Dept Earth Sci, Godwin Lab Palaeoclimate Res, Cambridge, England; [Gottschalk, Julia; Jaccard, Samuel L.] Univ Bern, Inst Geol Sci, Bern, Switzerland; [Gottschalk, Julia; Jaccard, Samuel L.] Univ Bern, Oeschger Ctr Climate Change Res, Bern, Switzerland; [Gottschalk, Julia] Columbia Univ, Lamont Doherty Earth Observ, Palisades, NY 10964 USA; [Menviel, Laurie] Univ New South Wales, Climate Change Res Ctr, PANGEA, Sydney, NSW, Australia; [Nehrbass-Ahles, Christoph] Univ Bern, Oeschger Ctr Climate Change Res, Phys Inst, Climate &amp; Environm Phys, Bern, Switzerland; [Waelbroeck, Claire] Univ Paris Saclay, CNRS, CEA, LSCE,IPSL,UVSQ, Gif Sur Yvette, France</t>
  </si>
  <si>
    <t>University of Cambridge; University of Bern; University of Bern; Columbia University; University of New South Wales Sydney; University of Bern; CEA; Centre National de la Recherche Scientifique (CNRS); Universite Paris Saclay; Universite Paris Cite</t>
  </si>
  <si>
    <t>Gottschalk, J (corresponding author), Columbia Univ, Lamont Doherty Earth Observ, Palisades, NY 10964 USA.</t>
  </si>
  <si>
    <t>jgottsch@ldeo.columbia.edu</t>
  </si>
  <si>
    <t>Jaccard, Samuel/G-3447-2014; Menviel, Laurie/D-6902-2013</t>
  </si>
  <si>
    <t>Jaccard, Samuel/0000-0002-5793-0896; Menviel, Laurie/0000-0002-5068-1591; Gottschalk, Julia/0000-0002-0403-3059</t>
  </si>
  <si>
    <t>Gates Cambridge Trust; German Research Foundation [GO 2294/2-1]; Royal Society; NERC [NE/J010545/1]; Cambridge Newton Trust; Swiss National Science Foundation [PP00P2_144811, 200021_163003]; Australian Research Council [DE150100107, FT180100606]; European Research Concil [339108]; NERC [NE/J010545/1] Funding Source: UKRI; European Research Council (ERC) [339108] Funding Source: European Research Council (ERC); Swiss National Science Foundation (SNF) [200021_163003] Funding Source: Swiss National Science Foundation (SNF)</t>
  </si>
  <si>
    <t>Gates Cambridge Trust; German Research Foundation(German Research Foundation (DFG)); Royal Society(Royal Society); NERC(UK Research &amp; Innovation (UKRI)Natural Environment Research Council (NERC)); Cambridge Newton Trust(National Institutes of Health Research (NIHR)); Swiss National Science Foundation(Swiss National Science Foundation (SNSF)); Australian Research Council(Australian Research Council); European Research Concil; NERC(UK Research &amp; Innovation (UKRI)Natural Environment Research Council (NERC)); European Research Council (ERC)(European Research Council (ERC)Spanish Government); Swiss National Science Foundation (SNF)(Swiss National Science Foundation (SNSF))</t>
  </si>
  <si>
    <t>This study was supported by the Gates Cambridge Trust, the German Research Foundation (through grant GO 2294/2-1 to J.G.), the Royal Society, NERC grant NE/J010545/1, the Cambridge Newton Trust (LC.S.), the Swiss National Science Foundation (grants PP00P2_144811 and 200021_163003 to S.L.J.), the Australian Research Council (grant DE150100107 and FT180100606 to L.M.), and the European Research Concil (grant 339108 to C.W.). We thank Jinhwa Shin and Jerome Chappellaz (Institut des Geosciences de l'Environnement, Grenoble, France) for fruitful discussions of CO2,atm variability in MIS 6, and Sophie Hines and Jerry McManus for sharing views on inter-hemispheric climate variability. Allison Jacobel and Babette Hoogakker are thanked for insightful discussions of the Delta delta13C-[O2] proxy. We are also grateful to Linda Booth, Adam Scrivner, Tim Setzkorn and Salima Souanef-Ureta for laboratory support, and sincerely thank three anonymous reviewers for their thoughtful and constructive feedback. Age models for the study cores and data presented in this study are available from the PANGAEA website (https://doi.pangaea.de/10.1594/PANGAEA.898193).</t>
  </si>
  <si>
    <t>10.1016/j.quascirev.2019.106067</t>
  </si>
  <si>
    <t>WOS:000514754000002</t>
  </si>
  <si>
    <t>Jacobel, AW; Anderson, RF; Jaccard, SL; McManus, JF; Pavia, FJ; Winckler, G</t>
  </si>
  <si>
    <t>Jacobel, A. W.; Anderson, R. F.; Jaccard, S. L.; McManus, J. F.; Pavia, F. J.; Winckler, G.</t>
  </si>
  <si>
    <t>Deep Pacific storage of respired carbon during the last ice age: Perspectives from bottom water oxygen reconstructions</t>
  </si>
  <si>
    <t>Carbon; Oxygen; Geochemical archives; Paleoclimate; Ocean Drilling Program; Ocean carbon storage</t>
  </si>
  <si>
    <t>EASTERN EQUATORIAL PACIFIC; ORGANIC-MATTER PRESERVATION; SUB-ANTARCTIC OCEAN; ATMOSPHERIC CO2; ARABIAN SEA; NORTH PACIFIC; BENTHIC FORAMINIFERA; ISOTOPIC COMPOSITION; URANIUM RELOCATIONS; AUTHIGENIC URANIUM</t>
  </si>
  <si>
    <t>Reconstructions of past changes in dissolved oxygen concentrations in the abyssal ocean are of interest to paleoceanographers because of their potential to help characterize and quantify the transfer of carbon between the atmosphere and the deep ocean. This potential, derived from the stoichiometric relationship between oxygen consumption and the regeneration of organic matter, has recently been expanded by compilations of core top observations for two proxies: the delta C-13 gradient between coeval infaunal and epifaunal benthic foraminifera (Delta delta C-13), and biomarker preservation. Here, we review these newer proxies, and the more established redox proxy authigenic uranium (aU), to critically evaluate our understanding of the controls on proxy signal production and preservation. We locate our work in the equatorial Pacific, presenting both new data and a compilation of existing records from thirty-two sediment cores to draw semi-quantitative conclusions about bottom water oxygen and respired carbon concentrations over the last glacial period. We find that the biogeochemical limitations on these proxies may be more substantial than previously appreciated, and therefore suggest several best-practice recommendations for their application. Despite the recognized data limitations, the compilation identifies the glacial Pacific Ocean as a dominant sink for CO2 at all depths below the modern oxygen minimum zone. Our review emphasizes the importance of multiproxy reconstructions, informed by site-specific records of paleoproductivity, in drawing coherent, internally consistent conclusions about glacial ocean oxygenation and carbon storage. (C) 2019 Elsevier Ltd. All rights reserved,</t>
  </si>
  <si>
    <t>[Jacobel, A. W.; Anderson, R. F.; McManus, J. F.; Pavia, F. J.; Winckler, G.] Lamont Doherty Earth Observ, Palisades, NY 10964 USA; [Anderson, R. F.; McManus, J. F.; Pavia, F. J.; Winckler, G.] Columbia Univ, Dept Earth &amp; Environm Sci, New York, NY USA; [Jaccard, S. L.] Univ Bern, Inst Geol Sci, Bern, Switzerland; [Jaccard, S. L.] Univ Bern, Oeschger Ctr Climate Change Res, Bern, Switzerland; [Jacobel, A. W.] Brown Univ, Brown Environm &amp; Soc, Providence, RI 02912 USA; [Jacobel, A. W.] Brown Univ, Dept Earth Environm &amp; Planetary Sci, Providence, RI 02912 USA</t>
  </si>
  <si>
    <t>Columbia University; Columbia University; University of Bern; University of Bern; Brown University; Brown University</t>
  </si>
  <si>
    <t>Jacobel, AW (corresponding author), Lamont Doherty Earth Observ, Palisades, NY 10964 USA.;Jacobel, AW (corresponding author), Brown Univ, Brown Environm &amp; Soc, Providence, RI 02912 USA.;Jacobel, AW (corresponding author), Brown Univ, Dept Earth Environm &amp; Planetary Sci, Providence, RI 02912 USA.</t>
  </si>
  <si>
    <t>jacobel@brown.edu</t>
  </si>
  <si>
    <t>Jaccard, Samuel/G-3447-2014</t>
  </si>
  <si>
    <t>Jaccard, Samuel/0000-0002-5793-0896; mcmanus, jerry/0000-0002-7365-1600</t>
  </si>
  <si>
    <t>US National Science Foundation [AGS-1502889]; Explorer's Club; Swiss National Science Foundation [PP00P2_144811, PP00P2_172915]; Swiss National Science Foundation (SNF) [PP00P2_172915, PP00P2_144811] Funding Source: Swiss National Science Foundation (SNF)</t>
  </si>
  <si>
    <t>US National Science Foundation(National Science Foundation (NSF)); Explorer's Club; Swiss National Science Foundation(Swiss National Science Foundation (SNSF)); Swiss National Science Foundation (SNF)(Swiss National Science Foundation (SNSF))</t>
  </si>
  <si>
    <t>The authors would like to thank Marty Fleisher and Roseanne Schwartz for assistance in the lab. This manuscript was improved by comments from three anonymous referees. This research was funded in part by an award from the US National Science Foundation (AGS-1502889 to J.F.M. and G.W.), and in part by an award from Rolex and the Explorer's Club to A.W.J. S.L.J. acknowledges support from the Swiss National Science Foundation (grants PP00P2_144811 and PP00P2_172915).</t>
  </si>
  <si>
    <t>10.1016/j.quascirev.2019.106065</t>
  </si>
  <si>
    <t>WOS:000514754000001</t>
  </si>
  <si>
    <t>Holder, PE; Jeanson, AL; Lennox, RJ; Brownscombe, JW; Arlinghaus, R; Danylchuk, AJ; Bower, SD; Hyder, K; Hunt, LM; Fenichel, EP; Venturelli, PA; Thorstad, EB; Allen, MS; Potts, WM; Clark-Danylchuk, S; Claussen, JE; Lyle, JM; Tsuboi, J; Brummett, R; Freire, KMF; Tracey, SR; Skov, C; Cooke, SJ</t>
  </si>
  <si>
    <t>Holder, Peter E.; Jeanson, Amanda L.; Lennox, Robert J.; Brownscombe, Jacob W.; Arlinghaus, Robert; Danylchuk, Andy J.; Bower, Shannon D.; Hyder, Kieran; Hunt, Len M.; Fenichel, Eli P.; Venturelli, Paul A.; Thorstad, Eva B.; Allen, Micheal S.; Potts, Warren M.; Clark-Danylchuk, Sascha; Claussen, Julie E.; Lyle, Jeremy M.; Tsuboi, Jun-ichi; Brummett, Randall; Freire, Katia M. F.; Tracey, Sean R.; Skov, Christian; Cooke, Steven J.</t>
  </si>
  <si>
    <t>Preparing for a changing future in recreational fisheries: 100 research questions for global consideration emerging from a horizon scan</t>
  </si>
  <si>
    <t>REVIEWS IN FISH BIOLOGY AND FISHERIES</t>
  </si>
  <si>
    <t>Recreational fisheries; Fisheries management; Global fisheries; Research priorities; Biodiversity; Conservation</t>
  </si>
  <si>
    <t>CATCH-AND-RELEASE; BIOECONOMIC MODELS; HUMAN DIMENSIONS; CLIMATE-CHANGE; MANAGEMENT; CONSERVATION; FISH; ANGLERS; RESOURCES; SCIENCE</t>
  </si>
  <si>
    <t>Recreational fisheries hold immense ecological, social, and economic value. The management of these fisheries is increasingly important as we move forward in the Anthropocene. Recreational fisheries managers face several challenges as fisheries often involve diverse social and ecological systems comprised of complex feedback and stakeholder motivations and needs. Here, we used a horizon scanning exercise to yield 100 research questions related to recreational fisheries science and management in the Anthropocene. Initial research questions (n = 205) were collected from recreational fisheries experts (i.e., stakeholders, managers, researchers) from various sectors (i.e., industry, government, NGOs) and geographic locations (14 countries: Australia, Brazil, Canada, Czech Republic, Germany, Italy, New Zealand, Norway, South Africa, Spain, Sweden, Switzerland, United Kingdom, USA). These questions were subsequently categorized, thematized, and refined by our authorship team, eventually yielding what we considered to be the top 100 research questions of relevance to management of recreational fisheries. The key themes include: human dimensions; bioeconomics; resource monitoring and data acquisition; governance; management-regulatory actions; management-stock and habitat enhancement; catch-and-release; impacts of recreational fisheries on populations, communities and ecosystems; threats and sustainability; and angler outreach, education and engagement. It is our intention that this comprehensive and forward-looking list will create a framework to guide future research within this field, and contribute to evidence-based recreational fisheries management and policy.</t>
  </si>
  <si>
    <t>[Holder, Peter E.; Jeanson, Amanda L.; Brownscombe, Jacob W.; Cooke, Steven J.] Carleton Univ, Dept Biol, Fish Ecol &amp; Conservat Physiol Lab, Ottawa, ON K1S 5B6, Canada; [Holder, Peter E.; Jeanson, Amanda L.; Brownscombe, Jacob W.; Cooke, Steven J.] Carleton Univ, Inst Environm &amp; Interdisciplinary Sci, Ottawa, ON K1S 5B6, Canada; [Lennox, Robert J.] NORCE Norwegian Res Ctr, Lab Freshwater Ecol &amp; Inland Fisheries, Bergen, Norway; [Brownscombe, Jacob W.] Dalhousie Univ, Dept Biol, 1355 Oxford St, Halifax, NS B4H 4R2, Canada; [Arlinghaus, Robert] Leibniz Inst Freshwater Ecol &amp; Inland Fisheries, Dept Biol &amp; Ecol Fishes, Muggelseedamm 310, D-12587 Berlin, Germany; [Arlinghaus, Robert] Humboldt Univ, Div Integrativer Fisheries Management, Fac Life Sci, Philippstr 13, D-10115 Berlin, Germany; [Danylchuk, Andy J.] Univ Massachusetts, Dept Environm Conservat, 160 Holdsworth Way, Amherst, MA 01003 USA; [Bower, Shannon D.] Uppsala Univ, Dept Earth Sci, Nat Resources &amp; Sustainable Dev, Cramergatan 3, S-62157 Visby, Sweden; [Hyder, Kieran] Ctr Environm Fisheries &amp; Aquaculture Sci, Lowestoft NR33 0HT, Suffolk, England; [Hunt, Len M.] Ontario Minist Nat Resources &amp; Forestry, Ctr Northern Forest Ecosyst Res, 103-421 James St South, Thunder Bay, ON P7E 2V6, Canada; [Fenichel, Eli P.] Yale Sch Forestry &amp; Environm Studies, 195 Prospect St, New Haven, CT 06460 USA; [Venturelli, Paul A.] Ball State Univ, Dept Biol, 121 Cooper Bldg, Muncie, IN 47306 USA; [Thorstad, Eva B.] Norwegian Inst Nat Res, Postboks 5685, N-7485 Trondheim, Norway; [Allen, Micheal S.] Univ Florida, Fisheries &amp; Aquat Sci Program, Nat Coast Biol Stn, 552 First St, Cedar Key, FL 32625 USA; [Potts, Warren M.] Rhodes Univ, Dept Ichthyol &amp; Fisheries Sci, POB 94, ZA-6139 Grahamstown, South Africa; [Clark-Danylchuk, Sascha] Keep Fish Wet, 11 Kingman Rd, Amherst, MA 01002 USA; [Claussen, Julie E.] Fisheries Conservat Fdn, 302 E Green St 2102, Champaign, IL 61820 USA; [Lyle, Jeremy M.; Tracey, Sean R.] Univ Tasmania, Inst Marine &amp; Antarctic Studies, Private Bag 49, Hobart, Tas 7001, Australia; [Tsuboi, Jun-ichi] Yamanashi Prefectural Fisheries Technol Ctr, Yamanashi 7, Kai, Yamanashi 4000121, Japan; [Brummett, Randall] World Bank, Environm &amp; Nat Resources Dept, 1818 H St NW, Washington, DC 20433 USA; [Freire, Katia M. F.] Univ Fed Sergipe, Lab Ecol Pesqueira, Dept Engn Pesca &amp; Aquicultura, Cidade Univ Prof Jose Alofsio de Campos, BR-49100000 Sao Cristovao, Sergipe, Brazil; [Tracey, Sean R.] Univ Tasmania, Ctr Marine Socioecol, Private Bag 49, Hobart, Tas 7001, Australia; [Skov, Christian] Tech Univ Denmark, DTU AQUA, Sect Inland Fisheries &amp; Ecol, Vejlsovej 39, DK-8600 Silkeborg, Denmark</t>
  </si>
  <si>
    <t>Carleton University; Carleton University; Norwegian Research Centre (NORCE); Dalhousie University; Leibniz Institut fur Gewasserokologie und Binnenfischerei (IGB); Humboldt University of Berlin; University of Massachusetts System; University of Massachusetts Amherst; Uppsala University; Centre for Environment Fisheries &amp; Aquaculture Science; Ministry of Natural Resources &amp; Forestry; Yale University; Ball State University; Norwegian Institute Nature Research; State University System of Florida; University of Florida; Rhodes University; University of Tasmania; The World Bank; Universidade Federal de Sergipe; University of Tasmania; Technical University of Denmark</t>
  </si>
  <si>
    <t>Holder, PE (corresponding author), Carleton Univ, Dept Biol, Fish Ecol &amp; Conservat Physiol Lab, Ottawa, ON K1S 5B6, Canada.;Holder, PE (corresponding author), Carleton Univ, Inst Environm &amp; Interdisciplinary Sci, Ottawa, ON K1S 5B6, Canada.</t>
  </si>
  <si>
    <t>peter.holder02@gmail.com; arlinghaus@igb-berlin.de</t>
  </si>
  <si>
    <t>Jeanson, Amanda/AAM-3653-2020; Skov, Christian/X-6511-2019; Lyle, Jeremy M/J-7170-2014; Cooke, Steven J/F-4193-2010; Venturelli, Paul A/A-2337-2008; Tracey, Sean/J-7446-2014</t>
  </si>
  <si>
    <t>Skov, Christian/0000-0002-8547-6520; Cooke, Steven J/0000-0002-5407-0659; Venturelli, Paul A/0000-0002-7329-7517; Potts, Warren/0000-0002-6707-0383; Tracey, Sean/0000-0002-6735-5899; Lennox, Robert/0000-0003-1010-0577; Holder, Peter/0000-0002-5420-6720; Hyder, Kieran/0000-0003-1428-5679; Arlinghaus, Robert/0000-0003-2861-527X</t>
  </si>
  <si>
    <t>Canada Research Chairs Program; Natural Sciences and Engineering Research Council of Canada; Genome BC; Banting Postdoctoral Fellowship; Bonefish and Tarpon Trust; South African National Research Foundation through their Rated Researcher Grant Program; European Union (European Maritime and Fisheries Fund); State of Mecklenburg-Vorpommern (Germany) [MV-I.18-LM004, B 730117000069]; German Federal Ministry of Education and Research [01LC1826E, 033W046A]</t>
  </si>
  <si>
    <t>Canada Research Chairs Program(Canada Research Chairs); Natural Sciences and Engineering Research Council of Canada(Natural Sciences and Engineering Research Council of Canada (NSERC)CGIAR); Genome BC; Banting Postdoctoral Fellowship; Bonefish and Tarpon Trust; South African National Research Foundation through their Rated Researcher Grant Program; European Union (European Maritime and Fisheries Fund); State of Mecklenburg-Vorpommern (Germany); German Federal Ministry of Education and Research(Federal Ministry of Education &amp; Research (BMBF))</t>
  </si>
  <si>
    <t>We would like to thank the Fisheries Section of the Ontario Ministry of Natural Resources and Forestry for their input while refining this manuscript. Cooke is supported by the Canada Research Chairs Program, the Natural Sciences and Engineering Research Council of Canada and Genome BC. Brownscombe is supported by a Banting Postdoctoral Fellowship and Bonefish and Tarpon Trust. Potts is supported by the South African National Research Foundation through their Rated Researcher Grant Program. Arlinghaus received funding through the European Union (European Maritime and Fisheries Fund) and the State of Mecklenburg-Vorpommern (Germany) (Grant MV-I.18-LM004, B 730117000069), and the German Federal Ministry of Education and Research (Grants 01LC1826E and 033W046A).</t>
  </si>
  <si>
    <t>0960-3166</t>
  </si>
  <si>
    <t>1573-5184</t>
  </si>
  <si>
    <t>REV FISH BIOL FISHER</t>
  </si>
  <si>
    <t>Rev. Fish. Biol. Fish.</t>
  </si>
  <si>
    <t>10.1007/s11160-020-09595-y</t>
  </si>
  <si>
    <t>KT5VI</t>
  </si>
  <si>
    <t>WOS:000516274400001</t>
  </si>
  <si>
    <t>Martínez, DP; Sousa, C; Oyarzún, R; Pontigo, JP; Canario, AVM; Power, DM; Vargas-Chacoff, L; Guerreiro, PM</t>
  </si>
  <si>
    <t>Pamela Martinez, Danixa; Sousa, Carmen; Oyarzun, Ricardo; Pontigo, Juan Pablo; Canario, Adelino V. M.; Power, Deborah Mary; Vargas-Chacoff, Luis; Guerreiro, Pedro Miguel</t>
  </si>
  <si>
    <t>LPS Modulates the Expression of Iron-Related Immune Genes in Two Antarctic Notothenoids</t>
  </si>
  <si>
    <t>ANTIOXIDANT DEFENSE SYSTEM; RESPONSES; CLONING; CERULOPLASMIN; METABOLISM; CORIICEPS; GROWTH; LIPOPOLYSACCHARIDE; ACQUISITION; TRANSPORT</t>
  </si>
  <si>
    <t>The non-specific immunity can induce iron deprivation as a defense mechanism against potential bacterial pathogens, but little information is available as to its role in Antarctic fish. In this study the response of iron metabolism related genes was evaluated in liver and head kidney of the Antarctic notothenoids Notothenia coriiceps and Notothenia rossii 7 days after lipopolysaccharide (LPS) injection. Average plasma Fe2+ concentration was unaffected by treatment in any of the species. The gene expression response to LPS varied between tissues and species, being stronger in N. coriiceps and more prominent in the head kidney than liver. The reaction to LPS was marked by increased individual variability in most genes analyzed, even when the change in expression was not statistically significant, suggesting different individual sensitivity and coping responses in these wild fish. We found that iron related genes had an attenuated and homogenous response to LPS but there was no detectable relationship between plasma Fe2+ and gene expression. However, overall in both tissues and species LPS exposure set a multilevel response that concur to promote intracellular accumulation of iron, an indication that Antarctic Notothenoids use innate nutritional immunity as a resistance mechanism against pathogens.</t>
  </si>
  <si>
    <t>[Pamela Martinez, Danixa; Oyarzun, Ricardo; Pontigo, Juan Pablo; Vargas-Chacoff, Luis] Univ Austral Chile, Inst Ciencias Marinas &amp; Limnol, Valdivia, Chile; [Pamela Martinez, Danixa; Oyarzun, Ricardo; Vargas-Chacoff, Luis] Univ Austral Chile, Ctr Fondap Invest Altas Latitudes IDEAL, Valdivia, Chile; [Sousa, Carmen; Canario, Adelino V. M.; Power, Deborah Mary; Guerreiro, Pedro Miguel] Univ Algarve, Ctr Ciencias Mar CCMAR, Faro, Portugal; [Oyarzun, Ricardo] Univ Austral Chile, Programa Doctorado Ciencias Acuicultura, Escuela Grad, Puerto Montt, Chile</t>
  </si>
  <si>
    <t>Universidad Austral de Chile; Universidad Austral de Chile; Universidade do Algarve; Universidad Austral de Chile</t>
  </si>
  <si>
    <t>Vargas-Chacoff, L (corresponding author), Univ Austral Chile, Inst Ciencias Marinas &amp; Limnol, Valdivia, Chile.;Vargas-Chacoff, L (corresponding author), Univ Austral Chile, Ctr Fondap Invest Altas Latitudes IDEAL, Valdivia, Chile.;Guerreiro, PM (corresponding author), Univ Algarve, Ctr Ciencias Mar CCMAR, Faro, Portugal.</t>
  </si>
  <si>
    <t>luis.vargas@uach.cl; pmgg@ualg.pt</t>
  </si>
  <si>
    <t>Pontigo, Juan Pablo/AAS-2367-2021; Power, Deborah M/D-3333-2011; Canario, Adelino/C-7942-2009; Oyarzún-Salazar, Ricardo/HGU-6035-2022; Vargas-Chacoff, Luis LVCh/A-5855-2012</t>
  </si>
  <si>
    <t>Pontigo, Juan Pablo/0000-0003-0084-0862; Power, Deborah M/0000-0003-1366-0246; Canario, Adelino/0000-0002-6244-6468; Oyarzun-Salazar, Ricardo/0000-0003-3177-399X; Kaufman, Jordy/0000-0001-9881-371X; Sousa, Carmen/0000-0002-3483-1932; , Georgia/0000-0002-7690-1302; MARTINEZ GONZALEZ, DANIXA PAMELA/0000-0002-7363-419X</t>
  </si>
  <si>
    <t>Portuguese Polar Program (FACC PROPOLAR 2016-2017); Portuguese Foundation for Science and Technology (FCT) [FCT-NSFC/0002/2016, CCMAR/Multi/04326/2013, PTDC/BIAANM/3484/2014]; Chilean project FONDAP-IDEAL grant [15150003]; Chilean project FONDECYT REGULAR grant [1160877]; Chilean project VIDCA UACH; Chilean project INACH</t>
  </si>
  <si>
    <t>Portuguese Polar Program (FACC PROPOLAR 2016-2017); Portuguese Foundation for Science and Technology (FCT)(Fundacao para a Ciencia e a Tecnologia (FCT)); Chilean project FONDAP-IDEAL grant; Chilean project FONDECYT REGULAR grant; Chilean project VIDCA UACH; Chilean project INACH</t>
  </si>
  <si>
    <t>This study was carried out with logistic and financial support of the Portuguese Polar Program (FACC PROPOLAR 2016-2017) and funded by Portuguese Foundation for Science and Technology (FCT) through projects FCT-NSFC/0002/2016, CCMAR/Multi/04326/2013, and fellowship PTDC/BIAANM/3484/2014 to CS. This study was also supported by Chilean projects FONDAP-IDEAL grant no. 15150003, FONDECYT REGULAR grant no. 1160877, VIDCA UACH and INACH.</t>
  </si>
  <si>
    <t>FEB 14</t>
  </si>
  <si>
    <t>10.3389/fphys.2020.00102</t>
  </si>
  <si>
    <t>KR3RX</t>
  </si>
  <si>
    <t>WOS:000517536800001</t>
  </si>
  <si>
    <t>Grigorieva, EA</t>
  </si>
  <si>
    <t>Grigorieva, Elena A.</t>
  </si>
  <si>
    <t>Adventurous tourism: acclimatization problems and decisions in trans-boundary travels</t>
  </si>
  <si>
    <t>INTERNATIONAL JOURNAL OF BIOMETEOROLOGY</t>
  </si>
  <si>
    <t>Climate and tourism; Climate contrasts; Acclimatization Thermal Strain Index for Tourism; Adventurous tourism; The Arctic; the Antarctic; the Tibetan Plateau; adaptation strategies</t>
  </si>
  <si>
    <t>QINGHAI-TIBET RAILWAY; CLIMATE; WEATHER; COLD; INFORMATION; ROAD; TEMPERATURE; RECREATION; MORTALITY; EXERCISE</t>
  </si>
  <si>
    <t>As the twenty-first-Century Maritime Silk Road tourism program aims on development of new tourist routes with special interest on the polar regions of the Arctic and the Antarctic, as well as the Tibetan Plateau, management of climate risks in travels and their reduction is an important issue for achievement of its goals at national and local levels. Acclimatization is crucial for adventurous tourists, and especially for those traveling to extremely cold and highly elevated environments, when climate and weather in tourist destination differ significantly from those at home. The Acclimatization Thermal Strain Index for Tourism (ATSIT) is designed and used to measure numerically the physiological expenses a traveler pays during the acclimatization process. The purpose of the present study is to examine acclimatization consequences for travels from Beijing, capital of China, to destinations at the Arctic, the Antarctic, and the Tibetan Plateau, collectively referred to as the 3Polar regions, during the main seasons of winter and summer, and back. The results show that acclimatizing to cold involves greater physiological strain than adjustment to heat. Acclimatization load in winter is low for all travels from Beijing and back home. ATSIT projections detect the most harmful degree of discomfort for summer travels from Beijing. The greatest acclimatization impact comes when changing locales from hot and humid to cold and dry climatic conditions, which might cause high and very high physiological strain. Moreover, as many destinations in the 3Polar regions, mostly in the Tibetan Plateau, are located in mountains, a special acclimatization plan is required to weaken the threat of mountain sickness. The results will be helpful for warning stakeholders and the decision makers in the tourism sector of economies, and are expected to be translated into action for the development of proper intervention procedures in health control, to minimize population loss.</t>
  </si>
  <si>
    <t>[Grigorieva, Elena A.] RAS, FEB, ICARP, Birobidzhan, Russia</t>
  </si>
  <si>
    <t>Russian Academy of Sciences; Institute for Complex Analysis of Regional Problems</t>
  </si>
  <si>
    <t>Grigorieva, EA (corresponding author), RAS, FEB, ICARP, Birobidzhan, Russia.</t>
  </si>
  <si>
    <t>eagrigor@yandex.ru</t>
  </si>
  <si>
    <t>Фоменко, Наталья/I-6453-2016; Grigorieva, Elena/B-2014-2014</t>
  </si>
  <si>
    <t>Фоменко, Наталья/0000-0001-8738-4315; Grigorieva, Elena/0000-0002-7811-7853</t>
  </si>
  <si>
    <t>0020-7128</t>
  </si>
  <si>
    <t>1432-1254</t>
  </si>
  <si>
    <t>INT J BIOMETEOROL</t>
  </si>
  <si>
    <t>Int. J. Biometeorol.</t>
  </si>
  <si>
    <t>10.1007/s00484-020-01875-3</t>
  </si>
  <si>
    <t>Biophysics; Environmental Sciences; Meteorology &amp; Atmospheric Sciences; Physiology</t>
  </si>
  <si>
    <t>Biophysics; Environmental Sciences &amp; Ecology; Meteorology &amp; Atmospheric Sciences; Physiology</t>
  </si>
  <si>
    <t>SB0WZ</t>
  </si>
  <si>
    <t>WOS:000516123000001</t>
  </si>
  <si>
    <t>Albrecht, T; Winkelmann, R; Levermann, A</t>
  </si>
  <si>
    <t>Albrecht, Torsten; Winkelmann, Ricarda; Levermann, Anders</t>
  </si>
  <si>
    <t>Glacial-cycle simulations of the Antarctic Ice Sheet with the Parallel Ice Sheet Model (PISM) - Part 1: Boundary conditions and climatic forcing</t>
  </si>
  <si>
    <t>FUTURE SEA-LEVEL; LARGE ENSEMBLE ANALYSIS; SURFACE MASS-BALANCE; GROUNDING-LINE; WEST ANTARCTICA; ICE-6G-C RECONSTRUCTION; DYNAMIC-RESPONSE; SOLID-EARTH; MELT RATES; SHELF</t>
  </si>
  <si>
    <t>Simulations of the glacial-interglacial history of the Antarctic Ice Sheet provide insights into dynamic threshold behavior and estimates of the ice sheet's contributions to global sea-level changes for the past, present and future. However, boundary conditions are weakly constrained, in particular at the interface of the ice sheet and the bedrock. Also climatic forcing covering the last glacial cycles is uncertain, as it is based on sparse proxy data. We use the Parallel Ice Sheet Model (PISM) to investigate the dynamic effects of different choices of input data, e.g., for modern basal heat flux or reconstructions of past changes of sea level and surface temperature. As computational resources are limited, glacial-cycle simulations are performed using a comparably coarse model grid of 16 km and various parameterizations, e.g., for basal sliding, iceberg calving, or for past variations in precipitation and ocean temperatures. In this study we evaluate the model's transient sensitivity to corresponding parameter choices and to different boundary conditions over the last two glacial cycles and provide estimates of involved uncertainties. We also discuss isolated and combined effects of climate and sea-level forcing. Hence, this study serves as a cookbook for the growing community of PISM users and paleo-ice sheet modelers in general. For each of the different model uncertainties with regard to climatic forcing, ice and Earth dynamics, and basal processes, we select one representative model parameter that captures relevant uncertainties and motivates corresponding parameter ranges that bound the observed ice volume at present. The four selected parameters are systematically varied in a parameter ensemble analysis, which is described in a companion paper.</t>
  </si>
  <si>
    <t>[Albrecht, Torsten; Winkelmann, Ricarda; Levermann, Anders] Leibniz Assoc, Potsdam Inst Climate Impact Res PIK, POB 601203, D-14412 Potsdam, Germany; [Winkelmann, Ricarda; Levermann, Anders] Univ Potsdam, Inst Phys &amp; Astron, Karl Liebknecht Str 24-25, D-14476 Potsdam, Germany; [Levermann, Anders] Columbia Univ, Lamont Doherty Earth Observ, New York, NY USA</t>
  </si>
  <si>
    <t>Potsdam Institut fur Klimafolgenforschung; University of Potsdam; Columbia University</t>
  </si>
  <si>
    <t>Albrecht, T (corresponding author), Leibniz Assoc, Potsdam Inst Climate Impact Res PIK, POB 601203, D-14412 Potsdam, Germany.</t>
  </si>
  <si>
    <t>albrecht@pik-potsdam.de</t>
  </si>
  <si>
    <t>Levermann, Anders/G-4666-2011; albrecht, torsten/J-8259-2019</t>
  </si>
  <si>
    <t>Levermann, Anders/0000-0003-4432-4704; albrecht, torsten/0000-0001-7459-2860</t>
  </si>
  <si>
    <t>Deutsche Forschungsgemeinschaft [LE1448/6-1, LE1448/7-1]</t>
  </si>
  <si>
    <t>Deutsche Forschungsgemeinschaft(German Research Foundation (DFG))</t>
  </si>
  <si>
    <t>This research has been supported by the Deutsche Forschungsgemeinschaft (grant nos. LE1448/6-1 and LE1448/7-1).</t>
  </si>
  <si>
    <t>10.5194/tc-14-599-2020</t>
  </si>
  <si>
    <t>KM5HP</t>
  </si>
  <si>
    <t>WOS:000514167500001</t>
  </si>
  <si>
    <t>Glacial-cycle simulations of the Antarctic Ice Sheet with the Parallel Ice Sheet Model (PISM) - Part 2: Parameter ensemble analysis</t>
  </si>
  <si>
    <t>SEA-LEVEL; ICE-6G-C RECONSTRUCTION; GREENLAND; SENSITIVITY; EVOLUTION; CLIMATE; EARTH; DEGLACIATION; VARIABILITY; DYNAMICS</t>
  </si>
  <si>
    <t>The Parallel Ice Sheet Model (PISM) is applied to the Antarctic Ice Sheet over the last two glacial cycles (approximate to 210 000 years) with a resolution of 16 km. An ensemble of 256 model runs is analyzed in which four relevant model parameters have been systematically varied using full-factorial parameter sampling. Parameters and plausible parameter ranges have been identified in a companion paper (Albrecht et al., 2020) and are associated with ice dynamics, climatic forcing, basal sliding and bed deformation and represent distinct classes of model uncertainties. The model is scored against both modern and geologic data, including reconstructed grounding-line locations, elevation-age data, ice thickness, surface velocities and uplift rates. An aggregated score is computed for each ensemble member that measures the overall model-data misfit, including measurement uncertainty in terms of a Gaussian error model (Briggs and Tarasov, 2013). The statistical method used to analyze the ensemble simulation results follows closely the simple averaging method described in Pollard et al. (2016). This analysis reveals clusters of best-fit parameter combinations, and hence a likely range of relevant model and boundary parameters, rather than individual best-fit parameters. The ensemble of reconstructed histories of Antarctic Ice Sheet volumes provides a score-weighted likely range of sea-level contributions since the Last Glacial Maximum (LGM) of 9.4 +/- 4.1m (or 6.5 +/- 2.0 x 10(6) km(3)), which is at the upper range of most previous studies. The last deglaciation occurs in all ensemble simulations after around 12 000 years before present and hence after the meltwater pulse 1A (MWP1a). Our ensemble analysis also provides an estimate of parametric uncertainty bounds for the present-day state that can be used for PISM projections of future sea-level contributions from the Antarctic Ice Sheet.</t>
  </si>
  <si>
    <t>albrecht, torsten/J-8259-2019; Levermann, Anders/G-4666-2011</t>
  </si>
  <si>
    <t>albrecht, torsten/0000-0001-7459-2860; Levermann, Anders/0000-0003-4432-4704</t>
  </si>
  <si>
    <t>Deutsche Forschungsgemeinschaft [LE1448/6-1, LE1448/7-1, WI14556/4-1]; NASA [NNX17AG65G]; NSF [PLR-1603799, PLR-1644277]; Gauss Centre for Supercomputing and Leibniz Supercomputing Centre [pn69ru, pr94ga]</t>
  </si>
  <si>
    <t>Deutsche Forschungsgemeinschaft(German Research Foundation (DFG)); NASA(National Aeronautics &amp; Space Administration (NASA)); NSF(National Science Foundation (NSF)); Gauss Centre for Supercomputing and Leibniz Supercomputing Centre</t>
  </si>
  <si>
    <t>This research has been supported by the Deutsche Forschungsgemeinschaft (grant nos. LE1448/6-1, LE1448/7-1 and WI14556/4-1), NASA (grant no. NNX17AG65G), the NSF (grant nos. PLR-1603799 and PLR-1644277), and the Gauss Centre for Supercomputing and Leibniz Supercomputing Centre (grant nos. pn69ru and pr94ga).</t>
  </si>
  <si>
    <t>10.5194/tc-14-633-2020</t>
  </si>
  <si>
    <t>WOS:000514167500002</t>
  </si>
  <si>
    <t>Levermann, A; Winkelmann, R; Albrecht, T; Goelzer, H; Golledge, NR; Greve, R; Huybrechts, P; Jordan, J; Leguy, G; Martin, D; Morlighem, M; Pattyn, F; Pollard, D; Quiquet, A; Rodehacke, C; Seroussi, H; Sutter, J; Zhang, T; Van Breedam, J; Calov, R; DeConto, R; Dumas, C; Garbe, J; Gudmundsson, GH; Hoffman, MJ; Humbert, A; Kleiner, T; Lipscomb, WH; Meinshausen, M; Ng, E; Nowicki, SMJ; Perego, M; Price, SF; Saito, F; Schlegel, NJ; Sun, S; van de Wal, RSW</t>
  </si>
  <si>
    <t>Levermann, Anders; Winkelmann, Ricarda; Albrecht, Torsten; Goelzer, Heiko; Golledge, Nicholas R.; Greve, Ralf; Huybrechts, Philippe; Jordan, Jim; Leguy, Gunter; Martin, Daniel; Morlighem, Mathieu; Pattyn, Frank; Pollard, David; Quiquet, Aurelien; Rodehacke, Christian; Seroussi, Helene; Sutter, Johannes; Zhang, Tong; Van Breedam, Jonas; Calov, Reinhard; DeConto, Robert; Dumas, Christophe; Garbe, Julius; Gudmundsson, G. Hilmar; Hoffman, Matthew J.; Humbert, Angelika; Kleiner, Thomas; Lipscomb, William H.; Meinshausen, Malte; Ng, Esmond; Nowicki, Sophie M. J.; Perego, Mauro; Price, Stephen F.; Saito, Fuyuki; Schlegel, Nicole-Jeanne; Sun, Sainan; van de Wal, Roderik S. W.</t>
  </si>
  <si>
    <t>Projecting Antarctica's contribution to future sea level rise from basal ice shelf melt using linear response functions of 16 ice sheet models (LARMIP-2)</t>
  </si>
  <si>
    <t>EARTH SYSTEM DYNAMICS</t>
  </si>
  <si>
    <t>SURFACE MASS-BALANCE; GROUNDING LINE; PINE ISLAND; INTERCOMPARISON PROJECT; NUMERICAL SIMULATIONS; RETREAT DRIVEN; CLIMATE; FLOW; GREENLAND; SYSTEM</t>
  </si>
  <si>
    <t>The sea level contribution of the Antarctic ice sheet constitutes a large uncertainty in future sea level projections. Here we apply a linear response theory approach to 16 state-of-the-art ice sheet models to estimate the Antarctic ice sheet contribution from basal ice shelf melting within the 21st century. The purpose of this computation is to estimate the uncertainty of Antarctica's future contribution to global sea level rise that arises from large uncertainty in the oceanic forcing and the associated ice shelf melting. Ice shelf melting is considered to be a major if not the largest perturbation of the ice sheet's flow into the ocean. However, by computing only the sea level contribution in response to ice shelf melting, our study is neglecting a number of processes such as surface-mass-balance-related contributions. In assuming linear response theory, we are able to capture complex temporal responses of the ice sheets, but we neglect any self-dampening or self-amplifying processes. This is particularly relevant in situations in which an instability is dominating the ice loss. The results obtained here are thus relevant, in particular wherever the ice loss is dominated by the forcing as opposed to an internal instability, for example in strong ocean warming scenarios. In order to allow for comparison the methodology was chosen to be exactly the same as in an earlier study (Levermann et al., 2014) but with 16 instead of 5 ice sheet models. We include uncertainty in the atmospheric warming response to carbon emissions (full range of CMIP5 climate model sensitivities), uncertainty in the oceanic transport to the Southern Ocean (obtained from the time-delayed and scaled oceanic subsurface warming in CMIP5 models in relation to the global mean surface warming), and the observed range of responses of basal ice shelf melting to oceanic warming outside the ice shelf cavity. This uncertainty in basal ice shelf melting is then convoluted with the linear response functions of each of the 16 ice sheet models to obtain the ice flow response to the individual global warming path. The model median for the observational period from 1992 to 2017 of the ice loss due to basal ice shelf melting is 10.2 mm, with a likely range between 5.2 and 21.3 mm For the same period the Antarctic ice sheet lost mass equivalent to 7.4 mm of global sea level rise, with a standard deviation of 3.7 mm (Shepherd et al., 2018) including all processes, especially surface-mass-balance changes. For the unabated warming path, Representative Concentration Pathway 8.5 (RCP8.5), we obtain a median contribution of the Antarctic ice sheet to global mean sea level rise from basal ice shelf melting within the 21st century of 17 cm, with a likely range (66th percentile around the mean) between 9 and 36 cm and a very likely range (90th percentile around the mean) between 6 and 58 cm. For the RCP2.6 warming path, which will keep the global mean temperature below 2 degrees C of global warming and is thus consistent with the Paris Climate Agreement, the procedure yields a median of 13 cm of global mean sea level contribution. The likely range for the RCP2.6 scenario is between 7 and 24 cm, and the very likely range is between 4 and 37 cm. The structural uncertainties in the method do not allow for an interpretation of any higher uncertainty percentiles. We provide projections for the five Antarctic regions and for each model and each scenario separately. The rate of sea level contribution is highest under the RCP8.5 scenario. The maximum within the 21st century of the median value is 4 cm per decade, with a likely range between 2 and 9 cm per decade and a very likely range between 1 and 14 cm per decade.</t>
  </si>
  <si>
    <t>[Levermann, Anders; Winkelmann, Ricarda; Albrecht, Torsten; Calov, Reinhard; Garbe, Julius; Meinshausen, Malte] Potsdam Inst Climate Impact Res, Potsdam, Germany; [Levermann, Anders] Columbia Univ, LDEO, New York, NY 10027 USA; [Levermann, Anders; Winkelmann, Ricarda; Garbe, Julius] Univ Potsdam, Inst Phys &amp; Astron, D-14476 Potsdam, Germany; [Goelzer, Heiko; van de Wal, Roderik S. W.] Univ Utrecht, Inst Marine &amp; Atmospher Res Utrecht, Utrecht, Netherlands; [Goelzer, Heiko; Pattyn, Frank; Sun, Sainan] Univ Libre Bruxelles, Lab Glaciol, Brussels, Belgium; [Golledge, Nicholas R.] Victoria Univ Wellington, Antarctic Res Ctr, Wellington 6140, New Zealand; [Golledge, Nicholas R.] GNS Sci, Lower Hutt 5011, New Zealand; [Greve, Ralf] Hokkaido Univ, Inst Low Temp Sci, Sapporo, Hokkaido 0600819, Japan; [Huybrechts, Philippe; Van Breedam, Jonas] Vrije Univ Brussel, Earth Syst Sci &amp; Dept Geog, Brussels, Belgium; [Jordan, Jim; Gudmundsson, G. Hilmar] Northumbria Univ, Dept Geog &amp; Environm Sci, Newcastle Upon Tyne, Tyne &amp; Wear, England; [Leguy, Gunter; Lipscomb, William H.] Natl Ctr Atmospher Res, Climate &amp; Global Dynam Lab, POB 3000, Boulder, CO 80307 USA; [Martin, Daniel; Ng, Esmond] Lawrence Berkeley Natl Lab, Berkeley, CA USA; [Morlighem, Mathieu] Univ Calif Irvine, Dept Earth Syst Sci, Irvine, CA USA; [Pollard, David] Penn State Univ, Earth &amp; Environm Syst Inst, University Pk, PA 16802 USA; [Quiquet, Aurelien; Dumas, Christophe] CNRS, INSU, UVSQ, Lab Sci Climat &amp; Environm,CEA, Gif Sur Yvette, France; [Rodehacke, Christian] Danish Meteorol Inst, Arctic &amp; Climate, Copenhagen, Denmark; [Rodehacke, Christian; Sutter, Johannes; Humbert, Angelika; Kleiner, Thomas] Helmholtz Ctr Polar &amp; Marine Res, Alfred Wegener Inst, Bremerhaven, Germany; [Seroussi, Helene; Schlegel, Nicole-Jeanne] CALTECH, Jet Prop Lab, Pasadena, CA 91125 USA; [Sutter, Johannes] Univ Bern, Phys Inst, Bern, Switzerland; [Zhang, Tong; Hoffman, Matthew J.; Price, Stephen F.] Los Alamos Natl Lab, Div Theoret, Los Alamos, NM 87545 USA; [DeConto, Robert] Univ Massachusetts, Dept Geosci, Amherst, MA 01003 USA; [Humbert, Angelika] Univ Bremen, Dept Geosci, Bremen, Germany; [Meinshausen, Malte] Univ Melbourne, Climate &amp; Energy Coll, Sch Earth Sci, Parkville, Vic, Australia; [Nowicki, Sophie M. J.] NASA, Goddard Space Flight Ctr, Greenbelt, MD USA; [Perego, Mauro] Sandia Natl Labs, Ctr Comp Res, POB 5800, Albuquerque, NM 87185 USA; [Saito, Fuyuki] Japan Agcy Marine Earth Sci &amp; Technol, Yokohama, Kanagawa, Japan; [van de Wal, Roderik S. W.] Univ Utrecht, Geosci, Phys Geog, Utrecht, Netherlands</t>
  </si>
  <si>
    <t>Potsdam Institut fur Klimafolgenforschung; Columbia University; University of Potsdam; Utrecht University; Universite Libre de Bruxelles; Victoria University Wellington; GNS Science - New Zealand; Hokkaido University; Vrije Universiteit Brussel; Northumbria University; National Center Atmospheric Research (NCAR) - USA; United States Department of Energy (DOE); Lawrence Berkeley National Laboratory; University of California System; University of California Irvine; Pennsylvania Commonwealth System of Higher Education (PCSHE); Pennsylvania State University; Pennsylvania State University - University Park; Centre National de la Recherche Scientifique (CNRS); CNRS - National Institute for Earth Sciences &amp; Astronomy (INSU); Universite Paris Saclay; Universite Paris Cite; CEA; Danish Meteorological Institute DMI; Helmholtz Association; Alfred Wegener Institute, Helmholtz Centre for Polar &amp; Marine Research; California Institute of Technology; National Aeronautics &amp; Space Administration (NASA); NASA Jet Propulsion Laboratory (JPL); University of Bern; United States Department of Energy (DOE); Los Alamos National Laboratory; University of Massachusetts System; University of Massachusetts Amherst; University of Bremen; University of Melbourne; National Aeronautics &amp; Space Administration (NASA); NASA Goddard Space Flight Center; United States Department of Energy (DOE); Sandia National Laboratories; Japan Agency for Marine-Earth Science &amp; Technology (JAMSTEC); Utrecht University</t>
  </si>
  <si>
    <t>Levermann, A (corresponding author), Potsdam Inst Climate Impact Res, Potsdam, Germany.;Levermann, A (corresponding author), Columbia Univ, LDEO, New York, NY 10027 USA.;Levermann, A (corresponding author), Univ Potsdam, Inst Phys &amp; Astron, D-14476 Potsdam, Germany.</t>
  </si>
  <si>
    <t>anders.levermann@pik-potsdam.de</t>
  </si>
  <si>
    <t>Levermann, Anders/G-4666-2011; Gudmundsson, Gudmundur Hilmar/AAU-5987-2020; Seroussi, Helene/AAX-5342-2021; SAITO, Fuyuki/B-8776-2013; Quiquet, Aurélien/P-6180-2014; Garbe, Julius/AAY-2415-2020; Morlighem, Mathieu/O-9942-2014; Kleiner, Thomas/F-6821-2015; Goelzer, Heiko/M-2367-2016; Pattyn, Frank/AAA-9640-2019; albrecht, torsten/J-8259-2019; Meinshausen, Malte/AAG-6505-2019; Lipscomb, William/AAR-8668-2021; van de wal, roderik/D-1705-2011; Price, Stephen/E-1568-2013; Huybrechts, Philippe/J-5278-2013; Greve, Ralf/G-2336-2010</t>
  </si>
  <si>
    <t>Levermann, Anders/0000-0003-4432-4704; Gudmundsson, Gudmundur Hilmar/0000-0003-4236-5369; Seroussi, Helene/0000-0001-9201-1644; Quiquet, Aurélien/0000-0001-6207-3043; Garbe, Julius/0000-0003-3140-3307; Morlighem, Mathieu/0000-0001-5219-1310; Kleiner, Thomas/0000-0001-7825-5765; Goelzer, Heiko/0000-0002-5878-9599; Pattyn, Frank/0000-0003-4805-5636; albrecht, torsten/0000-0001-7459-2860; Meinshausen, Malte/0000-0003-4048-3521; van de wal, roderik/0000-0003-2543-3892; Jordan, Jim/0000-0001-8117-1976; Price, Stephen/0000-0001-6878-2553; Martin, Daniel/0000-0003-4488-2538; Schlegel, Nicole-Jeanne/0000-0001-8035-448X; Sutter, Johannes/0000-0002-3357-2633; Huybrechts, Philippe/0000-0003-1406-0525; Humbert, Angelika/0000-0002-0244-8760; Golledge, Nicholas/0000-0001-7676-8970; Lipscomb, William/0000-0002-7100-3730; Leguy, Gunter/0000-0002-9963-8076; Greve, Ralf/0000-0002-1341-4777; Van Breedam, Jonas/0000-0003-1504-9520</t>
  </si>
  <si>
    <t>U.S. Department of Energy [DE-AC02-05CH11231]; European Research Council (ICE2ICE) [610055]; Dutch Ministry of Education, Culture and Science [024.002.001]; Japan Society for the Promotion of Science [JP16H02224, JP17H06104, JP17H06323]; German Federal Ministry of Education and Research (BMBF) FONA [01LP1511B]; German Research Foundation [LE1448/6-1, LE1448/7-1]; National Science Foundation [1852977]; NERC [NE/R000824/1] Funding Source: UKRI; European Research Council (ERC) [610055] Funding Source: European Research Council (ERC)</t>
  </si>
  <si>
    <t>U.S. Department of Energy(United States Department of Energy (DOE)); European Research Council (ICE2ICE); Dutch Ministry of Education, Culture and Science; Japan Society for the Promotion of Science(Ministry of Education, Culture, Sports, Science and Technology, Japan (MEXT)Japan Society for the Promotion of Science); German Federal Ministry of Education and Research (BMBF) FONA(Federal Ministry of Education &amp; Research (BMBF)); German Research Foundation(German Research Foundation (DFG)); National Science Foundation(National Science Foundation (NSF)); NERC(UK Research &amp; Innovation (UKRI)Natural Environment Research Council (NERC)); European Research Council (ERC)(European Research Council (ERC)Spanish Government)</t>
  </si>
  <si>
    <t>This research has been supported by the U.S. Department of Energy (grant no. DE-AC02-05CH11231), the European Research Council (ICE2ICE (grant no. 610055)), the Dutch Ministry of Education, Culture and Science (grant no. 024.002.001), the Japan Society for the Promotion of Science (grant nos. JP16H02224, JP17H06104, and JP17H06323), the German Federal Ministry of Education and Research (BMBF) FONA (grant no. 01LP1511B), the German Research Foundation (grant nos. LE1448/6-1 and LE1448/7-1), and the National Science Foundation (grant no. 1852977).r The article processing charges for this open-access publication were covered by the Potsdam Institute for Climate Impact Research (PIK).</t>
  </si>
  <si>
    <t>2190-4979</t>
  </si>
  <si>
    <t>2190-4987</t>
  </si>
  <si>
    <t>EARTH SYST DYNAM</t>
  </si>
  <si>
    <t>Earth Syst. Dynam.</t>
  </si>
  <si>
    <t>10.5194/esd-11-35-2020</t>
  </si>
  <si>
    <t>KM4HT</t>
  </si>
  <si>
    <t>Green Accepted, Green Published, Green Submitted, gold</t>
  </si>
  <si>
    <t>WOS:000514088000001</t>
  </si>
  <si>
    <t>Smith, JN; Kelly, N; Childerhouse, S; Redfern, JV; Moore, TJ; Peel, D</t>
  </si>
  <si>
    <t>Smith, Joshua N.; Kelly, Natalie; Childerhouse, Simon; Redfern, Jessica V.; Moore, Thomas J.; Peel, David</t>
  </si>
  <si>
    <t>Quantifying Ship Strike Risk to Breeding Whales in a Multiple-Use Marine Park: The Great Barrier Reef</t>
  </si>
  <si>
    <t>spatial risk assessment; ship strike; great barrier reef; humpback whale; shipping; AIS; breeding ground</t>
  </si>
  <si>
    <t>FEMALE HUMPBACK WHALES; CONSERVATION STATUS; SPATIAL MODELS; COLLISIONS; HABITAT</t>
  </si>
  <si>
    <t>Spatial risk assessments are an effective management tool used in multiple-use marine parks to balance the needs for conservation of natural properties and to provide for varying socio-economic demands for development. The multiple-use Great Barrier Reef Marine Park (GBRMP) has recently experienced substantial increases in current and proposed port expansions and subsequent shipping. Globally, large whale populations are recovering from commercial whaling and ship strike is a significant threat to some populations and a potential welfare issue for others. Within the GBRMP, there is spatial conflict between the main breeding ground of the east Australian humpback whale population and the main inner shipping route that services several large natural resource export ports. The east coast humpback whale population is one of the largest humpback whale populations globally, exponentially increasing (11% per annum) close to the maximum potential rate and estimated to reach pre-exploitation population numbers in the next 4-5 years. We quantify the relative risk of ship strike to calving and mating humpback whales, with areas of highest relative risk coinciding with areas offshore of two major natural resource export ports. We found females with a dependent calf had a higher risk of ship strike compared to groups without a calf when standardized for group size and their inshore movement and coastal dependence later in the breeding season increases their overlap with shipping, although their lower relative abundance decreases risk. The formalization of a two-way shipping route has provided little change to risk and projected risk estimates indicate a three- to five-fold increase in risk to humpback whales from ship strike over the next 10 years. Currently, the whale Protection Area in the GBRMP does not cover the main mating and calving areas, whereas provisions within the legislation for establishment of a Special Management Area during the peak breeding season in high-risk areas could occur. A common mitigation strategy of re-routing shipping lanes to reduce risk is not a viable option for the GBRMP due to physical spatial limitations imposed by the reef, whereas speed restrictions could be the most feasible based on current ship speeds.</t>
  </si>
  <si>
    <t>[Smith, Joshua N.] Murdoch Univ, Coll Sci Hlth Engn &amp; Educ, Perth, WA, Australia; [Kelly, Natalie; Peel, David] CSIRO, Data 61, Hobart, Tas, Australia; [Childerhouse, Simon] Cawthron Inst, Nelson, New Zealand; [Redfern, Jessica V.] New England Aquarium, Anderson Cabot Ctr Ocean Life, Boston, MA USA; [Moore, Thomas J.] NOAA, Southwest Fisheries Sci Ctr, Natl Marine Fisheries Serv, La Jolla, CA USA; [Kelly, Natalie] Australian Antarctic Div, Hobart, Tas, Australia; [Moore, Thomas J.] NOAA, CSS Inc, Off Coastal Management, Natl Ocean Serv, Seattle, WA USA</t>
  </si>
  <si>
    <t>Murdoch University; Commonwealth Scientific &amp; Industrial Research Organisation (CSIRO); Cawthron Institute; National Oceanic Atmospheric Admin (NOAA) - USA; Australian Antarctic Division; National Oceanic Atmospheric Admin (NOAA) - USA; National Ocean Service, NOAA</t>
  </si>
  <si>
    <t>Smith, JN (corresponding author), Murdoch Univ, Coll Sci Hlth Engn &amp; Educ, Perth, WA, Australia.</t>
  </si>
  <si>
    <t>joshua.smith@uqconnect.edu.au</t>
  </si>
  <si>
    <t>Moore, T.J./AAP-9346-2020; Kelly, Natalie/B-3481-2010; Smith, Joshua N/AAU-9181-2020</t>
  </si>
  <si>
    <t>Moore, T.J./0000-0002-0243-6049; Smith, Joshua N/0000-0001-9912-422X; Kelly, Nat/0000-0002-9664-354X</t>
  </si>
  <si>
    <t>Australian Marine Mammal Centre Grant Program; International Fund for Animal Welfare Oceania Office</t>
  </si>
  <si>
    <t>We acknowledge the Australian Marine Mammal Centre Grant Program as our primary funder and the International Fund for Animal Welfare Oceania Office for supporting funds. The funding bodies had no involvement in the study design, in the collection, analysis and interpretation of data, in the writing of the report and in the decision to submit the article for publication.</t>
  </si>
  <si>
    <t>10.3389/fmars.2020.00067</t>
  </si>
  <si>
    <t>KL5YM</t>
  </si>
  <si>
    <t>WOS:000513498400001</t>
  </si>
  <si>
    <t>Layton, C; Coleman, MA; Marzinelli, EM; Steinberg, PD; Swearer, SE; Vergés, A; Wernberg, T; Johnson, CR</t>
  </si>
  <si>
    <t>Layton, Cayne; Coleman, Melinda A.; Marzinelli, Ezequiel M.; Steinberg, Peter D.; Swearer, Stephen E.; Verges, Adriana; Wernberg, Thomas; Johnson, Craig R.</t>
  </si>
  <si>
    <t>Kelp Forest Restoration in Australia</t>
  </si>
  <si>
    <t>canopy; Great Southern Reef; ecosystem; habitat-forming; macroalga; rehabilitation</t>
  </si>
  <si>
    <t>UNDARIA-PINNATIFIDA; HABITAT STRUCTURE; SEA-URCHINS; ROCKY REEFS; MARINE; BEDS; BIODIVERSITY; PATTERNS; SEAWEEDS; COMMUNITIES</t>
  </si>
  <si>
    <t>Kelp forests dominate the rocky coasts of temperate Australia and are the foundation of the Great Southern Reef. Much like terrestrial forests, these marine forests create complex habitat for diverse communities of flora and fauna. Kelp forests also support coastal food-webs and valuable fisheries and provide a suite of additional ecosystem services. In many regions of Australia and around the world, kelp forests are in decline due to ocean warming, overgrazing, and pollution. One potential tool in the conservation and management of these important ecosystems is habitat restoration, the science and practice of which is currently undergoing substantial expansion. We summarize the present state of Australian kelp forests and emphasize that consideration of the initial drivers of kelp decline is a critical first step in restoration. With a focus on Australian examples, we review methods, implementation and outcomes of kelp forest restoration, and discuss suitable measures of success and the estimated costs of restoration activities. We propose a workflow and decision system for kelp forest restoration that identifies alternative pathways for implementation and acknowledges that under some circumstances restoration at scale is not possible or feasible. As a case study, we then apply the Society for Ecological Restoration's 5-star evaluation to Operation Crayweed, Australia's primary example of kelp forest restoration. Overall, no single method of kelp forest restoration is suitable for all situations, but outcomes can be optimized by ameliorating the driver(s) of kelp decline and achieving ongoing natural recruitment of kelp. Whilst scalability of kelp forest restoration to the seascape-scale remains a considerable challenge, the present review should provide a platform for future restoration efforts. However, it is also crucial to emphasize that the challenges of restoration place a high value on preventative conservation and protection of existing kelp forest ecosystems - prevention is invariably better than cure.</t>
  </si>
  <si>
    <t>[Layton, Cayne; Johnson, Craig R.] Univ Tasmania, Inst Marine &amp; Antarctic Studies, Hobart, Tas, Australia; [Coleman, Melinda A.] NSW Fisheries, Dept Primary Ind, Coffs Harbour, NSW, Australia; [Coleman, Melinda A.] Southern Cross Univ, Natl Marine Sci Ctr, Coffs Harbour, NSW, Australia; [Marzinelli, Ezequiel M.] Univ Sydney, Sch Life &amp; Environm Sci, Coastal &amp; Marine Ecosyst, Sydney, NSW, Australia; [Marzinelli, Ezequiel M.; Steinberg, Peter D.; Verges, Adriana] Sydney Inst Marine Sci, Mosman, NSW, Australia; [Marzinelli, Ezequiel M.; Steinberg, Peter D.] Nanyang Technol Univ, Singapore Ctr Environm Life Sci Engn, Singapore, Singapore; [Steinberg, Peter D.; Verges, Adriana] Univ New South Wales, Sch Biol Earth &amp; Environm Sci, Ctr Marine Sci &amp; Innovat, Sydney, NSW, Australia; [Swearer, Stephen E.] Univ Melbourne, Sch Biosci, Natl Ctr Coasts &amp; Climate, Melbourne, Vic, Australia; [Wernberg, Thomas] Univ Western Australia, UWA Oceans Inst, Crawley, WA, Australia; [Wernberg, Thomas] Univ Western Australia, Sch Biol Sci, Crawley, WA, Australia</t>
  </si>
  <si>
    <t>University of Tasmania; NSW Department of Primary Industries; Southern Cross University; University of Sydney; Sydney Institute of Marine Science; Nanyang Technological University; University of New South Wales Sydney; Melbourne Genomics Health Alliance; University of Melbourne; University of Western Australia; University of Western Australia</t>
  </si>
  <si>
    <t>Layton, C (corresponding author), Univ Tasmania, Inst Marine &amp; Antarctic Studies, Hobart, Tas, Australia.</t>
  </si>
  <si>
    <t>cayne.layton@utas.edu.au</t>
  </si>
  <si>
    <t>Wernberg, Thomas/B-4172-2010; Swearer, Stephen/X-4882-2018; Marzinelli, Ezequiel/AAH-2906-2019; Layton, Cayne/J-8443-2013; Verges, Adriana/B-8288-2013</t>
  </si>
  <si>
    <t>Wernberg, Thomas/0000-0003-1185-9745; Swearer, Stephen/0000-0001-6381-9943; Marzinelli, Ezequiel/0000-0002-3762-3389; Layton, Cayne/0000-0002-3390-6437; Steinberg, Peter/0000-0002-1781-0726; Verges, Adriana/0000-0002-3507-1234</t>
  </si>
  <si>
    <t>Australian Government's National Environmental Science Program Marine Biodiversity Hub; Australian Research Council</t>
  </si>
  <si>
    <t>Australian Government's National Environmental Science Program Marine Biodiversity Hub(Australian Government); Australian Research Council(Australian Research Council)</t>
  </si>
  <si>
    <t>We thank the Australian Government's National Environmental Science Program Marine Biodiversity Hub for funding and coordinating Project E5 - The role of restoration in conserving matters of national environmental significance where this review was conceived, and project-leader Ian McLeod for encouraging publication of this work. We also thank our colleagues and the workers who contributed the research that forms the basis of this review, and the Australian Research Council, state governments, universities, and private foundations and donors who supported the research described here.</t>
  </si>
  <si>
    <t>10.3389/fmars.2020.00074</t>
  </si>
  <si>
    <t>KL5YP</t>
  </si>
  <si>
    <t>WOS:000513498700001</t>
  </si>
  <si>
    <t>Tixier, P; Burch, P; Massiot-Granier, F; Ziegler, P; Welsford, D; Lea, MA; Hindell, MA; Guinet, C; Wotherspoon, S; Gasco, N; Péron, C; Duhamel, G; Arangio, R; Tascheri, R; Somhlaba, S; Arnould, JPY</t>
  </si>
  <si>
    <t>Tixier, Paul; Burch, Paul; Massiot-Granier, Felix; Ziegler, Philippe; Welsford, Dirk; Lea, Mary-Anne; Hindell, Mark A.; Guinet, Christophe; Wotherspoon, Simon; Gasco, Nicolas; Peron, Clara; Duhamel, Guy; Arangio, Rhys; Tascheri, Renzo; Somhlaba, Sobahle; Arnould, John P. Y.</t>
  </si>
  <si>
    <t>Assessing the impact of toothed whale depredation on socio-ecosystems and fishery management in wide-ranging subantarctic fisheries</t>
  </si>
  <si>
    <t>Fisheries interactions; Depredation; Subantarctic; Patagonian toothfish; Killer whales; Sperm whales</t>
  </si>
  <si>
    <t>HUMAN-WILDLIFE CONFLICT; KILLER WHALE; LONGLINE FISHERIES; MARINE MAMMALS; ORCINUS-ORCA; SHARK DEPREDATION; SOUTHERN-OCEAN; BLUEFIN TUNA; SPERM-WHALES; TOOTHFISH</t>
  </si>
  <si>
    <t>Marine predators feeding on fisheries catches directly on the fishing gear, a behaviour termed depredation, has emerged as a major human-wildlife conflict globally, often resulting in substantial socio-economic and ecological impacts. This study investigated the extent of this conflict in commercial Patagonian toothfish (Dissostichus eleginoides) fisheries across subantarctic waters where both killer whales (Orcinus orca) and sperm whales (Physeter macrocephalus) feed on toothfish caught on longline hooks. Using long-term datasets from six major fishing areas, from southern Chile to the Indian Ocean sector of the Southern Ocean, statistical models were developed to quantify the catch removals due to whale depredation interactions. The results indicated that these removals were large, totalling more than 6600 t of toothfish between 2009 and 2016 with an annual mean of 837 t [95% CI 480-1195 t], comprised of 317 t [232-403 t] and 518 t [247-790 t] removed by killer whales and sperm whales, respectively. Catch removals greatly varied between areas, with the largest estimates found at Crozet, where on average 279 t [179-379 t] of toothfish per year, equivalent to 30% [21-37%] of the total catches. Together, these findings provide metrics to assess the impacts of depredation interactions on the fishing industry, whale populations, fish stocks and associated ecosystems. With an estimated $15 M USD worth of fish depredated every year, this study highlights the large geographic scale and economic significance of the depredation issue and its potential to compromise the viability of some toothfish fisheries which are the primary socio-economic activity in subantarctic regions.</t>
  </si>
  <si>
    <t>[Tixier, Paul; Arnould, John P. Y.] Deakin Univ, Sch Life &amp; Environm Sci, Burwood Campus, Geelong, Vic, Australia; [Burch, Paul] Commonwealth Sci &amp; Ind Res Org CSIRO, Oceans &amp; Atmosphere, Hobart, Tas, Australia; [Massiot-Granier, Felix; Gasco, Nicolas; Peron, Clara; Duhamel, Guy] UA, UCN, CNRS,IRD, SU,Lab Biol Organismes &amp; Ecosyst Aquat BOREA,MNHN, Paris, France; [Ziegler, Philippe; Welsford, Dirk] Australian Antarctic Div, Dept Environm, Kingston, Tas, Australia; [Lea, Mary-Anne; Hindell, Mark A.; Wotherspoon, Simon] Univ Tasmania, Inst Marine &amp; Antarctic Studies, Ecol &amp; Biodivers Ctr, Hobart, Tas, Australia; [Guinet, Christophe] Univ Rochelle, CNRS, UMR 7372, CEBC, Villiers En Bois, France</t>
  </si>
  <si>
    <t>Deakin University; Commonwealth Scientific &amp; Industrial Research Organisation (CSIRO); Centre National de la Recherche Scientifique (CNRS); Institut de Recherche pour le Developpement (IRD); Museum National d'Histoire Naturelle (MNHN); Sorbonne Universite; Australian Antarctic Division; University of Tasmania; Centre National de la Recherche Scientifique (CNRS); CNRS - Institute of Ecology &amp; Environment (INEE)</t>
  </si>
  <si>
    <t>Tixier, P (corresponding author), Deakin Univ, Sch Life &amp; Environm Sci, Burwood Campus, Geelong, Vic, Australia.</t>
  </si>
  <si>
    <t>p.tixier@deakin.edu.au</t>
  </si>
  <si>
    <t>Tixier, Paul/AFU-7272-2022; Wotherspoon, Simon J/B-2390-2013; Hindell, Mark A/K-1131-2013; Guinet, Christophe/AAR-8457-2020; Burch, Paul/GLU-8548-2022; Burch, Paul/J-7641-2014; Lea, Mary-Anne/E-9054-2013</t>
  </si>
  <si>
    <t>Wotherspoon, Simon J/0000-0002-6947-4445; Tixier, Paul/0000-0002-7325-3573; Burch, Paul/0000-0002-9853-462X; Lea, Mary-Anne/0000-0001-8318-9299; Ziegler, Philippe/0000-0001-5940-9394</t>
  </si>
  <si>
    <t>Australian Research Council [160100329]; Coalition of Legal Toothfish Operators (COLTO)</t>
  </si>
  <si>
    <t>Australian Research Council(Australian Research Council); Coalition of Legal Toothfish Operators (COLTO)</t>
  </si>
  <si>
    <t>The contribution of captains, crews and fishery observers who collected the data is gratefully acknowledged. We thank the Museum National d'Histoire Naturelle (MNHN) de Paris (Charlotte Chazeau, Patrice Pruvost, Alexis Martin-PECHEKER database), the Falkland Islands Fisheries Department/Department of Natural Resources (Alex Blake), the Department of Agriculture, Forestry and Fisheries of South Africa, the Australian Antarctic Division (Tim Lamb), the Australian Fisheries Management Authority (AFMA), the Magellan Industrial Toothfish Fishing operators Association (AOBAC in spanish) and the Instituto de Fomento Pesquero (IFOP) for managing, consolidating and sharing the data. We also thank the reviewers for their insightful comments. This research was supported by the Australian Research Council (Linkage Project 160100329) and the Coalition of Legal Toothfish Operators (COLTO).</t>
  </si>
  <si>
    <t>10.1007/s11160-020-09597-w</t>
  </si>
  <si>
    <t>WOS:000516274500001</t>
  </si>
  <si>
    <t>Rigual-Hernández, AS; Trull, TW; Flores, JA; Nodder, SD; Eriksen, R; Davies, DM; Hallegraeff, GM; Sierro, FJ; Patil, SM; Cortina, A; Ballegeer, AM; Northcote, LC; Abrantes, F; Rufino, MM</t>
  </si>
  <si>
    <t>Rigual-Hernandez, A. S.; Trull, T. W.; Flores, J. A.; Nodder, S. D.; Eriksen, R.; Davies, D. M.; Hallegraeff, G. M.; Sierro, F. J.; Patil, S. M.; Cortina, A.; Ballegeer, A. M.; Northcote, L. C.; Abrantes, F.; Rufino, M. M.</t>
  </si>
  <si>
    <t>Full annual monitoring of Subantarctic Emiliania huxleyi populations reveals highly calcified morphotypes in high-CO2 winter conditions</t>
  </si>
  <si>
    <t>POLAR FRONTAL ZONES; SOUTHERN-HEMISPHERE STRAIN; OCEAN ACIDIFICATION; ENVIRONMENTAL CONTROLS; SEDIMENT TRAP; CARBONATE CHEMISTRY; AUSTRALIAN SECTOR; ORGANIC-CARBON; COCCOLITHOPHORES; EXPORT</t>
  </si>
  <si>
    <t>Ocean acidification is expected to have detrimental consequences for the most abundant calcifying phytoplankton species Emiliania huxleyi. However, this assumption is mainly based on laboratory manipulations that are unable to reproduce the complexity of natural ecosystems. Here, E. huxleyi coccolith assemblages collected over a year by an autonomous water sampler and sediment traps in the Subantarctic Zone were analysed. The combination of taxonomic and morphometric analyses together with in situ measurements of surface-water properties allowed us to monitor, with unprecedented detail, the seasonal cycle of E. huxleyi at two Subantarctic stations. E. huxleyi subantarctic assemblages were composed of a mixture of, at least, four different morphotypes. Heavier morphotypes exhibited their maximum relative abundances during winter, coinciding with peak annual TCO2 and nutrient concentrations, while lighter morphotypes dominated during summer, coinciding with lowest TCO2 and nutrients levels. The similar seasonality observed in both time-series suggests that it may be a circumpolar feature of the Subantarctic zone. Our results challenge the view that ocean acidification will necessarily lead to a replacement of heavily-calcified coccolithophores by lightly-calcified ones in subpolar ecosystems, and emphasize the need to consider the cumulative effect of multiple stressors on the probable succession of morphotypes.</t>
  </si>
  <si>
    <t>[Rigual-Hernandez, A. S.; Flores, J. A.; Sierro, F. J.] Univ Salamanca, Dept Geol, Area Paleontol, Salamanca 37008, Spain; [Trull, T. W.; Davies, D. M.] Univ Tasmania, Antarctic Climate &amp; Ecosyst Cooperat Res Ctr, Hobart, Tas 7001, Australia; [Trull, T. W.; Eriksen, R.; Davies, D. M.] CSIRO Oceans &amp; Atmosphere Flagship, Hobart, Tas 7001, Australia; [Nodder, S. D.; Northcote, L. C.] Natl Inst Water &amp; Atmospher Res, Wellington 6021, New Zealand; [Eriksen, R.; Hallegraeff, G. M.] Univ Tasmania, Inst Marine &amp; Antarctic Studies, Private Bag 129, Hobart, Tas 7001, Australia; [Patil, S. M.] Natl Ctr Polar &amp; Ocean Res, Vasco Da Gama 403804, Goa, India; [Cortina, A.] IDAEA CSIC, Dept Environm Chem, Barcelona 08034, Spain; [Abrantes, F.] Portuguese Inst Sea &amp; Atmosphere IPMA, Div Geol Marinha DivGM, Rua Alferedo Magalhaes Ramalho 6, Lisbon, Portugal; [Abrantes, F.; Rufino, M. M.] Univ Algarve, Ctr Marine Sci, CCMAR, Campus Gambelas, P-8005139 Faro, Portugal; [Rufino, M. M.] Univ Lisbon, Fac Sci, MARE Marine &amp; Environm Sci Ctr, P-1749016 Lisbon, Portugal; [Ballegeer, A. M.] Univ Salamanca, Dept Didact Matemat Ciencias Expt, Salamanca 37008, Spain</t>
  </si>
  <si>
    <t>University of Salamanca; University of Tasmania; Antarctic Climate &amp; Ecosystems Cooperative Research Centre (ACE CRC); Commonwealth Scientific &amp; Industrial Research Organisation (CSIRO); National Institute of Water &amp; Atmospheric Research (NIWA) - New Zealand; University of Tasmania; Ministry of Earth Sciences (MoES) - India; National Centre for Polar and Ocean Research (NCPOR); Consejo Superior de Investigaciones Cientificas (CSIC); CSIC - Centro de Investigacion y Desarrollo Pascual Vila (CID-CSIC); CSIC - Instituto de Diagnostico Ambiental y Estudios del Agua (IDAEA); Instituto Portugues do Mar e da Atmosfera; Universidade do Algarve; Universidade de Lisboa; University of Salamanca</t>
  </si>
  <si>
    <t>Rigual-Hernández, AS (corresponding author), Univ Salamanca, Dept Geol, Area Paleontol, Salamanca 37008, Spain.</t>
  </si>
  <si>
    <t>arigual@usal.es</t>
  </si>
  <si>
    <t>Sierro, Francisco/A-4714-2008; Ballegeer, Anne Marie/AAB-1707-2021; Rigual-Hernández, Andrés/E-2041-2018; Rufino, Marta M/A-9616-2013; Abrantes, Fatima/B-5985-2013; Hallegraeff, Gustaaf/C-8351-2013; Eriksen, Ruth/J-7760-2014; Cortina, Aleix/B-1251-2016; Flores, Jose-Abel/D-4218-2009</t>
  </si>
  <si>
    <t>Sierro, Francisco/0000-0002-8647-456X; Ballegeer, Anne Marie/0000-0001-6296-1868; Rigual-Hernández, Andrés/0000-0003-1521-3896; Rufino, Marta M/0000-0002-0734-7491; Abrantes, Fatima/0000-0002-9110-0212; Hallegraeff, Gustaaf/0000-0001-8464-7343; Eriksen, Ruth/0000-0002-5184-2465; Patil, Shramik/0000-0001-8937-1403; Cortina, Aleix/0000-0002-4772-3404; Flores, Jose-Abel/0000-0003-1909-293X</t>
  </si>
  <si>
    <t>European Union's Horizon 2020 research and innovation programme under the Marie Sklodowska-Curie grant [748690 -SONAR-CO2]; University of Tasmania (UTAS) via a UTAS Visiting Scholar Program; IMOS; ACE CRC; Australian Marine National Facility; New Zealand Ministry of Business, Innovation and Employment [C01X0027, C01X0223, C01X0203, C01X0702, C01X0501]; NIWA's Strategic Science Investment Fund; FCT [UID/Multi/04326/2019]</t>
  </si>
  <si>
    <t>European Union's Horizon 2020 research and innovation programme under the Marie Sklodowska-Curie grant(Marie Curie Actions); University of Tasmania (UTAS) via a UTAS Visiting Scholar Program; IMOS; ACE CRC(Australian GovernmentDepartment of Industry, Innovation and ScienceCooperative Research Centres (CRC) Programme); Australian Marine National Facility; New Zealand Ministry of Business, Innovation and Employment(New Zealand Ministry of Business, Innovation and Employment (MBIE)); NIWA's Strategic Science Investment Fund; FCT(Fundacao para a Ciencia e a Tecnologia (FCT))</t>
  </si>
  <si>
    <t>This project has received funding from the European Union's Horizon 2020 research and innovation programme under the Marie Sklodowska-Curie grant agreement number 748690 -SONAR-CO2 (ARH, JAF and FA). ARH is grateful for support from the University of Tasmania (UTAS) via a UTAS Visiting Scholar Program grant to work on the RAS samples. The SOTS mooring work was supported by IMOS, the ACE CRC, and the Australian Marine National Facility. The work at SAM was supported by funding provided by New Zealand Ministry of Business, Innovation and Employment and previous agencies (C01X0027, C01X0223, C01X0203, C01X0702, C01X0501), as well as NIWA's Strategic Science Investment Fund. NIWA is acknowledged for providing capital grants for mooring equipment purchases, and thanks to all the NIWA scientists, technicians and vessels staff, who participated in the New Zealand biophysical moorings programme (2000-12). FA acknowledges FCT funding support through project UID/Multi/04326/2019. Cathryn Wynn-Edwards provided support in sample processing and laboratory analysis. Authors wish to thank Elizabeth Shadwick for providing carbonate system data. The authors acknowledge the assistance of Vito Clerico, Enrique Diez (USAL-NANOLAB), Rick Van den Enden (AAD) and Sahing Gazi and Vailancy Vaz (NCPOR) in SEM analyses. The authors also wish to thank Jose Ignacio Martin and Miguel Angel Fuertes for their assistance in nannoplankton sample preparation and calibration of C-Calcita software, respectively. The chlorophyll-a and PIC data sets were produced with the Giovanni online data system, developed and maintained by the NASA GES DISC. We would like to express our sincere thanks to two anonymous reviewers for valuable comments and remarks that greatly helped to improve the paper.</t>
  </si>
  <si>
    <t>FEB 13</t>
  </si>
  <si>
    <t>10.1038/s41598-020-59375-8</t>
  </si>
  <si>
    <t>NE8XQ</t>
  </si>
  <si>
    <t>WOS:000562888900004</t>
  </si>
  <si>
    <t>Tielidze, LG; Bolch, T; Wheate, RD; Kutuzov, SS; Lavrentiev, II; Zemp, M</t>
  </si>
  <si>
    <t>Tielidze, Levan G.; Bolch, Tobias; Wheate, Roger D.; Kutuzov, Stanislav S.; Lavrentiev, Ivan I.; Zemp, Michael</t>
  </si>
  <si>
    <t>Supra-glacial debris cover changes in the Greater Caucasus from 1986 to 2014</t>
  </si>
  <si>
    <t>EVEREST REGION; CLIMATE-CHANGE; INVENTORY; THICKNESS; VARIABILITY; MOUNTAINS; ABLATION; GEORGIA; LANDSAT; RUSSIA</t>
  </si>
  <si>
    <t>Knowledge of supra-glacial debris cover and its changes remain incomplete in the Greater Caucasus, in spite of recent glacier studies. Here we present data of supra-glacial debris cover for 659 glaciers across the Greater Caucasus based on Landsat and SPOT images from the years 1986, 2000 and 2014. We combined semi-automated methods for mapping the clean ice with manual digitization of debris-covered glacier parts and calculated supra-glacial debris-covered area as the residual between these two maps. The accuracy of the results was assessed by using high-resolution Google Earth imagery and GPS data for selected glaciers. From 1986 to 2014, the total glacier area decreased from 691.5 +/- 29.0 to 590.0 +/- 25.8 km(2) (15.8 +/- 4.1 %, or similar to 0.52 % yr(-1)), while the clean-ice area reduced from 643.2 +/- 25.9 to 511.0 +/- 20.9 km(2) (20.1 +/- 4.0 %, or similar to 0.73 % yr(-1)). In contrast supra-glacial debris cover increased from 7.0 +/- 6.4 %, or 48.3 +/- 3.1 km(2), in 1986 to 13.4 +/- 6.2 % (similar to 0.22 % yr(-1)), or 79.0 +/- 4.9 km(2), in 2014. Debris-free glaciers exhibited higher area and length reductions than debris-covered glaciers. The distribution of the supra-glacial debris cover differs between the northern and southern and between the western, central and eastern Greater Caucasus. The observed increase in supra-glacial debris cover is significantly stronger on the northern slopes. Overall, we have observed up-glacier average migration of supra-glacial debris cover from about 3015 to 3130 m a.s.l. (metres above sea level) during the investigated period.</t>
  </si>
  <si>
    <t>[Tielidze, Levan G.] Ivane Javakhishvili Tbilisi State Univ, Vakhushti Bagrat Inst Geog, Dept Geomorphol, 6 Tamarashvili St, GE-0177 Tbilisi, Georgia; [Tielidze, Levan G.] Victoria Univ Wellington, Antarctic Res Ctr, POB 600, Wellington 6140, New Zealand; [Tielidze, Levan G.] Victoria Univ Wellington, Sch Geog Environm &amp; Earth Sci, POB 600, Wellington 6140, New Zealand; [Bolch, Tobias] Univ St Andrews, Sch Geog &amp; Sustainable Dev, North St,Irvine Bldg, St Andrews KY16 9AL, Fife, Scotland; [Wheate, Roger D.] Univ Northern British Columbia, Nat Resources &amp; Environm Studies, 3333 Univ Way, Prince George, BC V2N 4Z9, Canada; [Kutuzov, Stanislav S.; Lavrentiev, Ivan I.] Russian Acad Sci, Inst Geog, Dept Glaciol, 29 Staromonetniy Pereulok, Moscow 119017, Russia; [Kutuzov, Stanislav S.] Natl Res Univ Higher Sch Econ, Fac Geog &amp; Geoinformat Technol, Myasnitskaya Ulitsa 20, Moscow 101000, Russia; [Zemp, Michael] Univ Zurich, Dept Geog, 190 Winterthurerstr, CH-8057 Zurich, Switzerland</t>
  </si>
  <si>
    <t>Ivane Javakhishvili Tbilisi State University; Victoria University Wellington; Victoria University Wellington; University of St Andrews; University of Northern British Columbia; Institute of Geography, Russian Academy of Sciences; Russian Academy of Sciences; HSE University (National Research University Higher School of Economics); University of Zurich</t>
  </si>
  <si>
    <t>Tielidze, LG (corresponding author), Ivane Javakhishvili Tbilisi State Univ, Vakhushti Bagrat Inst Geog, Dept Geomorphol, 6 Tamarashvili St, GE-0177 Tbilisi, Georgia.;Tielidze, LG (corresponding author), Victoria Univ Wellington, Antarctic Res Ctr, POB 600, Wellington 6140, New Zealand.;Tielidze, LG (corresponding author), Victoria Univ Wellington, Sch Geog Environm &amp; Earth Sci, POB 600, Wellington 6140, New Zealand.</t>
  </si>
  <si>
    <t>levan.tielidze@tsu.ge</t>
  </si>
  <si>
    <t>Lavrentiev, Ivan/AAG-8519-2021; Tielidze, Levan G/E-2690-2018; Bolch, Tobias/ABE-6635-2020; Kutuzov, Stanislav/A-2775-2013</t>
  </si>
  <si>
    <t>Lavrentiev, Ivan/0000-0002-6902-7186; Tielidze, Levan G/0000-0002-4646-5458; Bolch, Tobias/0000-0002-8201-5059; Kutuzov, Stanislav/0000-0003-2007-0922; Zemp, Michael/0000-0003-2391-7877</t>
  </si>
  <si>
    <t>Shota Rustaveli National Science Foundation of Georgia [YS17_12]</t>
  </si>
  <si>
    <t>Shota Rustaveli National Science Foundation of Georgia</t>
  </si>
  <si>
    <t>This work was supported by Shota Rustaveli National Science Foundation of Georgia (SRNSFG; grant no. YS17_12).</t>
  </si>
  <si>
    <t>10.5194/tc-14-585-2020</t>
  </si>
  <si>
    <t>KM5EE</t>
  </si>
  <si>
    <t>WOS:000514157700001</t>
  </si>
  <si>
    <t>Catalan, PA; Gubler, A; Cañas, J; Zuñiga, C; Zelaya, C; Pizarro, L; Valdes, C; Mena, R; Toledo, E; Cienfuegos, R</t>
  </si>
  <si>
    <t>Catalan, Patricio A.; Gubler, Alejandra; Canas, Javier; Zuniga, Carlos; Zelaya, Cecilia; Pizarro, Leonardo; Valdes, Carlos; Mena, Rene; Toledo, Eduardo; Cienfuegos, Rodrigo</t>
  </si>
  <si>
    <t>Design and operational implementation of the integrated tsunami forecast and warning system in Chile (SIPAT)</t>
  </si>
  <si>
    <t>COASTAL ENGINEERING JOURNAL</t>
  </si>
  <si>
    <t>Tsunami Early Warning System; decision Support System; pre-computed scenarios database</t>
  </si>
  <si>
    <t>NEAR-FIELD; LOCAL TSUNAMIS; EARTHQUAKE; UNCERTAINTY; PREDICTION; MODEL</t>
  </si>
  <si>
    <t>This work describes the design philosophy, operational implementation, and future development of the Integrated Tsunami Forecast and Warning System (henceforth SIPAT, by its acronym in Spanish), a complete Decision Support System of the National Tsunami Warning System of Chile. SIPAT provides a detailed tsunami hazard assessment rapidly once a seismic event occurs, discriminating between four hazard levels and providing a spatial discretization of the hazard along Continental, Insular, and Antarctic Chile. SIPAT delivers its assessment in less than 20 s, well below the five min threshold considered by the existing protocols, thereby allowing consecutive evaluations if they are considered necessary by the operators. SIPAT was initially developed under the framework of the Japan-Chile Research Project on Enhancement of Technology to Develop Tsunami Resilient Community, sponsored by SATREPS program by Japan Science and Technology Agency, and it continued development under the sponsorship of the National Council of Science and Technology of Chile. It became operational in SNAM in May 2016, and it was officially used for the first time on December 25, 2016 for the Quellon Event (Mw7.6), with successful results.</t>
  </si>
  <si>
    <t>[Catalan, Patricio A.; Gubler, Alejandra] Univ Tecn Federico Santa Maria, Dept Obras Civiles, Valparaiso, Chile; [Canas, Javier; Pizarro, Leonardo; Valdes, Carlos; Mena, Rene; Toledo, Eduardo] Univ Tecn Federico Santa Maria, Dept Informat, Valparaiso, Chile; [Catalan, Patricio A.] CIGIDEN, Ctr Nacl Invest Gest Integrada Desastres Nat, Santiago, Chile; [Catalan, Patricio A.] CCTVal, Ctr Cient Tecnol Valparaiso, Valparaiso, Chile; [Gubler, Alejandra; Cienfuegos, Rodrigo] Pontificia Univ Catolica Chile, Dept Ingn Hidraul &amp; Ambiental, Santiago, Chile; [Zuniga, Carlos; Zelaya, Cecilia] Dept Oceanog, Serv Hidrog &amp; Oceanog Armada, Valparaiso, Chile</t>
  </si>
  <si>
    <t>Universidad Tecnica Federico Santa Maria; Universidad Tecnica Federico Santa Maria; Pontificia Universidad Catolica de Chile</t>
  </si>
  <si>
    <t>Catalan, PA (corresponding author), Univ Tecn Federico Santa Maria, Dept Obras Civiles, Valparaiso, Chile.;Catalan, PA (corresponding author), CIGIDEN, Ctr Nacl Invest Gest Integrada Desastres Nat, Santiago, Chile.;Catalan, PA (corresponding author), CCTVal, Ctr Cient Tecnol Valparaiso, Valparaiso, Chile.</t>
  </si>
  <si>
    <t>patricio.catalan@usm.cl</t>
  </si>
  <si>
    <t>Cienfuegos, Rodrigo/B-9162-2012; Gubler, Alejandra/HPH-2067-2023; Catalan, Patricio A/B-9790-2009</t>
  </si>
  <si>
    <t>Catalan, Patricio A/0000-0002-6567-5776</t>
  </si>
  <si>
    <t>Comision Nacional de Investigacion Cientifica y Tecnologica [D11I1119, IT15I10001]; Comision Nacional de Investigacion Cientifica y Tecnologica (CL) [FONDAP 15110017, FB 0821]</t>
  </si>
  <si>
    <t>Comision Nacional de Investigacion Cientifica y Tecnologica; Comision Nacional de Investigacion Cientifica y Tecnologica (CL)</t>
  </si>
  <si>
    <t>This work was supported by the Comision Nacional de Investigacion Cientifica y Tecnologica [D11I1119]; Comision Nacional de Investigacion Cientifica y Tecnologica [IT15I10001]; Comision Nacional de Investigacion Cientifica y Tecnologica (CL) [FONDAP 15110017]; Comision Nacional de Investigacion Cientifica y Tecnologica (CL) [FB 0821].</t>
  </si>
  <si>
    <t>2166-4250</t>
  </si>
  <si>
    <t>1793-6292</t>
  </si>
  <si>
    <t>COAST ENG J</t>
  </si>
  <si>
    <t>Coast Eng. J.</t>
  </si>
  <si>
    <t>JUL 2</t>
  </si>
  <si>
    <t>10.1080/21664250.2020.1727402</t>
  </si>
  <si>
    <t>Engineering, Civil; Engineering, Ocean</t>
  </si>
  <si>
    <t>NB4XE</t>
  </si>
  <si>
    <t>WOS:000513602800001</t>
  </si>
  <si>
    <t>Riekkola, L; Andrews-Goff, V; Friedlaender, A; Zerbini, AN; Constantine, R</t>
  </si>
  <si>
    <t>Riekkola, Leena; Andrews-Goff, Virginia; Friedlaender, Ari; Zerbini, Alexandre N.; Constantine, Rochelle</t>
  </si>
  <si>
    <t>Longer migration not necessarily the costliest strategy for migrating humpback whales</t>
  </si>
  <si>
    <t>cetacean; energetic cost; humpback whale; migration; modelling; population recovery</t>
  </si>
  <si>
    <t>SOUTHERN-OCEAN; MOVEMENT ECOLOGY; CLIMATE-CHANGE; ATLANTIC FIN; BODY-FAT; DISTANCE; ENERGY; COST; CONSEQUENCES; ENERGETICS</t>
  </si>
  <si>
    <t>Long-distance migration is a demanding physical activity, and how well animals manage the associated costs will have important implications for their fitness. The Oceania humpback whale (Megaptera novaeangliae) population is recovering from past exploitation markedly slower than the neighbouring east Australian whales. The reasons for this are unknown, although higher energetic costs of longer migratory distances could be a possible explanation. Due to their fully aquatic lives, studying the energy expenditure of these large animals requires methods that do not rely on capturing the animal, such as bioenergetic models. A state-space model was fitted to satellite data to infer behavioural states for southern migrating whales. Travel speeds and behavioural states were used in a bioenergetic model to estimate the energetic cost of the migration phase. Relative differences in average duration, distance, and energetic costs were compared between migratory routes and distances. Total energy used during migration was a trade-off between cost of transport (determined by travel speed) and daily maintenance (determined by daily basal metabolic costs). Oceania whales migrating to the Amundsen and Bellingshausen Seas travelled fastest and furthest, 15 and 21% further than whales migrating to the d'Urville Sea (east Australian whales) and Ross Sea, respectively. Therefore, they had the highest cost of transport, 25 and 85% higher than for d'Urville Sea and Ross Sea whales, respectively. However, energy saved in terms of daily maintenance by using fewer days to complete a longer migration resulted in only a 6-7% increase in total energetic cost. The results highlight that travelling further does not necessarily translate into an increase in total energy expenditure for migratory whales, since they can compensate for longer distance by travelling faster. Further research on the energetics of different whale populations could provide insight into the productivity of Southern Ocean feeding regions and help understand the environmental and anthropogenic effects on the whales' energy budgets.</t>
  </si>
  <si>
    <t>[Riekkola, Leena; Constantine, Rochelle] Univ Auckland, Sch Biol Sci, Private Bag 92019, Auckland, New Zealand; [Andrews-Goff, Virginia] Australian Marine Mammal Ctr, Australian Antarctic Div, Kingston, Tas, Australia; [Friedlaender, Ari] Univ Calif Santa Cruz, Inst Marine Sci, Santa Cruz, CA 95064 USA; [Zerbini, Alexandre N.] Alaska Fisheries Sci Ctr, Marine Mammal Lab, Seattle, WA USA; [Zerbini, Alexandre N.] Cascadia Res Collect, Olympia, WA USA; [Zerbini, Alexandre N.] Marine Ecol &amp; Telemetry Res, Seabeck, WA USA; [Constantine, Rochelle] Univ Auckland, Inst Marine Sci, Auckland, New Zealand</t>
  </si>
  <si>
    <t>University of Auckland; Australian Antarctic Division; University of California System; University of California Santa Cruz; National Oceanic Atmospheric Admin (NOAA) - USA; University of Auckland</t>
  </si>
  <si>
    <t>Riekkola, L (corresponding author), Univ Auckland, Sch Biol Sci, Private Bag 92019, Auckland, New Zealand.</t>
  </si>
  <si>
    <t>lrie003@aucklanduni.ac.nz</t>
  </si>
  <si>
    <t>Zerbini, Alexandre/ABH-3916-2020</t>
  </si>
  <si>
    <t>Zerbini, Alexandre/0000-0002-9776-6605; Andrews-Goff, Virginia/0000-0002-4609-7317; Riekkola, Leena/0000-0002-9653-7106</t>
  </si>
  <si>
    <t>Ministry for Primary Industries - BRAG; Pew Charitable Trusts; Southern Ocean Research Partnership - International Whaling Commission; Australian Antarctic Division; University of Auckland; Institut de Recherche pour le Developpement; Conservation International; Blue Planet Marine; Operation Cetaces; National Marine Mammal Laboratory - NOAA; Scientific Committee on Antarctic Research Fellowship; Australian Government International Whale; Australian Government Marine Mammal Conservation Initiative</t>
  </si>
  <si>
    <t>Ministry for Primary Industries - BRAG; Pew Charitable Trusts; Southern Ocean Research Partnership - International Whaling Commission; Australian Antarctic Division; University of Auckland; Institut de Recherche pour le Developpement; Conservation International; Blue Planet Marine; Operation Cetaces; National Marine Mammal Laboratory - NOAA; Scientific Committee on Antarctic Research Fellowship; Australian Government International Whale; Australian Government Marine Mammal Conservation Initiative(Australian Government)</t>
  </si>
  <si>
    <t>This work was supported by the Ministry for Primary Industries - BRAG, Pew Charitable Trusts, Southern Ocean Research Partnership - International Whaling Commission, Australian Antarctic Division, University of Auckland, Institut de Recherche pour le Developpement, Conservation International, Blue Planet Marine, Operation Cetaces, National Marine Mammal Laboratory - NOAA, and Scientific Committee on Antarctic Research Fellowship to L.R. We thank the research team, the crew of RV Braveheart, the Raoulies - Department of Conservation, and Prof. Rob Harcourt and Dr Bill de la Mare for valuable discussions. Nga mihi mahana Ngati Kuri and Te Aupuri for allowing us to work with their taonga. Research was conducted under University of Auckland Animal Ethics AEC001587 and Department of Conservation Permit #44388-MAR. Satellite tagging of east Australian humpback whales was carried out in strict accordance with the approvals and conditions of the Antarctic Animal Ethics Committee for Australian Antarctic Science project 2941. Fieldwork was undertaken with the permission of the Australian Government under EPBC permits 2007-006 and 2007-007 and funded by the Australian Government International Whale and Marine Mammal Conservation Initiative.</t>
  </si>
  <si>
    <t>10.1002/aqc.3295</t>
  </si>
  <si>
    <t>LK5QH</t>
  </si>
  <si>
    <t>WOS:000512967000001</t>
  </si>
  <si>
    <t>Singerling, SA; Brearley, AJ</t>
  </si>
  <si>
    <t>Singerling, S. A.; Brearley, A. J.</t>
  </si>
  <si>
    <t>Altered primary iron sulfides in CM2 and CR2 carbonaceous chondrites: Insights into parent body processes</t>
  </si>
  <si>
    <t>PROGRESSIVE AQUEOUS ALTERATION; MINERAL REPLACEMENT REACTIONS; MONOCLINIC PYRRHOTITE; MODAL MINERALOGY; METAMORPHOSED CM; OXYGEN-ISOTOPE; PENTLANDITE; MATRIX; ALLAN-HILLS-81002; DISSOLUTION</t>
  </si>
  <si>
    <t>The presence of primary iron sulfides that appear to be aqueously altered in CM and CR carbonaceous chondrites provides the potential to study the effects and, by extension, the conditions of aqueous alteration. In this work, we have used SEM, TEM, and EPMA techniques to characterize primary sulfides that show evidence of secondary alteration. The alteration styles consist of primary pyrrhotite altering to secondary pentlandite (CMs only), magnetite (CMs and CRs), and phyllosilicates (CMs only) in grains that initially formed by crystallization from immiscible sulfide melts in chondrules (pyrrhotite-pentlandite intergrowth [PPI] grains). Textural, microstructural, and compositional data from altered sulfides in a suite of CM and CR chondrites have been used to constrain the conditions of alteration of these grains and determine their alteration mechanisms. This work shows that the PPI grains exhibit two styles of alteration-one to form porous pyrrhotite-pentlandite (3P) grains by dissolution of precursor PPI grain pyrrhotite and subsequent secondary pentlandite precipitation (CMs only), and the other to form the altered PPI grains by pseudomorphic replacement of primary pyrrhotite by magnetite (CMs and CRs) or phyllosilicates (CMs only). The range of alteration textures and products is the result of differences in conditions of alteration due to the role of microchemical environments and/or brecciation. Our observations show that primary sulfides are sensitive indicators of aqueous alteration processes in CM and CR chondrites.</t>
  </si>
  <si>
    <t>[Singerling, S. A.; Brearley, A. J.] Univ New Mexico, Dept Earth &amp; Planetary Sci, MSC 03 2040, Albuquerque, NM 87131 USA</t>
  </si>
  <si>
    <t>University of New Mexico</t>
  </si>
  <si>
    <t>Singerling, SA (corresponding author), Univ New Mexico, Dept Earth &amp; Planetary Sci, MSC 03 2040, Albuquerque, NM 87131 USA.</t>
  </si>
  <si>
    <t>sheryl.singerling.ctr@nrl.navy.mil</t>
  </si>
  <si>
    <t>Singerling, Sheryl/0000-0001-8639-5039; Brearley, Adrian/0000-0002-7364-8815</t>
  </si>
  <si>
    <t>State of New Mexico; NSF; NASA; NASA Cosmochemistry grants [NNX11AK51G, NNX12AH61G, NNX15AD28G]</t>
  </si>
  <si>
    <t>State of New Mexico; NSF(National Science Foundation (NSF)); NASA(National Aeronautics &amp; Space Administration (NASA)); NASA Cosmochemistry grants</t>
  </si>
  <si>
    <t>We thank reviewers Kieren Howard and Mike Zolensky as well as Associate Editor Scott Sandford for their thorough and helpful comments on the manuscript. We also thank the Institute of Meteoritics at the University of New Mexico, the Antarctic Meteorite Working Group, the Field Museum of Natural History, and the National Museum of Natural History for providing the samples used in this study. Lindsay Keller, Rhian Jones, Elena Dobrica, Jon Lewis, Devin Schrader, Dennis Harries, Mike Spilde, and Nicole Lunning provided invaluable advice and sources of numerous useful discussions. Electron microscopy and FIB sample preparation was carried out in the Electron Microbeam Analysis Facility in the Department of Earth and Planetary Sciences, University of New Mexico, a facility supported by the State of New Mexico, NSF, and NASA. This work was supported by NASA Cosmochemistry grants NNX11AK51G, NNX12AH61G, and NNX15AD28G to AJ Brearley (PI).</t>
  </si>
  <si>
    <t>10.1111/maps.13450</t>
  </si>
  <si>
    <t>WOS:000512964800001</t>
  </si>
  <si>
    <t>Hellstrom, J; Sniderman, K; Drysdale, R; Couchoud, I; Hartland, A; Pearson, A; Bajo, P</t>
  </si>
  <si>
    <t>Hellstrom, John; Sniderman, Kale; Drysdale, Russell; Couchoud, Isabelle; Hartland, Adam; Pearson, Andrew; Bajo, Petra</t>
  </si>
  <si>
    <t>Speleothem growth intervals reflect New Zealand montane vegetation response to temperature change over the last glacial cycle</t>
  </si>
  <si>
    <t>STALAGMITE GROWTH; SOUTHERN ALPS; NORTH-ISLAND; UPLIFT RATES; ICE CORE; CLIMATE; CAVE; CHRONOLOGY; AGE; PALEOCLIMATE</t>
  </si>
  <si>
    <t>Flowstone speleothem growth beneath Mount Arthur, New Zealand shows a clear relationship to vegetation density and soil development on the surface above. Flowstone does not currently form beneath sub-alpine Nothofagus forest above ca. 1000-1100 m altitude but U-Th dating shows it has formed there during past intervals of warmer-than-present conditions including an early-mid Holocene optimum and the last interglacial from ca. 131-119 ka. Some flowstones growing beneath ca. 600 m surface altitude, currently mantled with dense broadleaf-podocarp forest, grew during full glacial conditions, indicating that local tree line was never below this altitude. This implies that Last Glacial Maximum annual temperature was no more than ca. 4 degrees C cooler than today. Flowstone growth appears to be a robust indicator of dense surface vegetation and well-developed soil cover in this setting, and indicates that past interglacial climates of MIS 7e, 5e, the early-mid Holocene and possibly MIS 5a were more conducive to growth of trees than was the late Holocene, reflecting regional temperature changes similar in timing to Antarctic temperature changes. Here, flowstone speleothem growth is a sensitive indicator of vegetation density at high altitude, but may respond to other factors at lower altitudes.</t>
  </si>
  <si>
    <t>[Hellstrom, John; Sniderman, Kale] Univ Melbourne, Sch Earth Sci, Melbourne, Vic 3010, Australia; [Drysdale, Russell; Couchoud, Isabelle] Univ Melbourne, Sch Geog, Melbourne, Vic 3010, Australia; [Drysdale, Russell; Couchoud, Isabelle] Univ Grenoble Alpes, Lab EDYTEM, CNRS, Univ Savoie Mt Blanc, Chambery, France; [Hartland, Adam; Pearson, Andrew] Univ Waikato, Environm Res Inst, Sch Sci, Private Bag 3105, Hamilton 3240, New Zealand; [Bajo, Petra] Croatian Geol Survey, Sachsova 2, Zagreb 10000, Croatia</t>
  </si>
  <si>
    <t>University of Melbourne; Melbourne Bioinformatics; University of Melbourne; Melbourne Genomics Health Alliance; Centre National de la Recherche Scientifique (CNRS); Universite Savoie Mont Blanc; Communaute Universite Grenoble Alpes; Universite Grenoble Alpes (UGA); University of Waikato; Croatian Geological Survey</t>
  </si>
  <si>
    <t>Hellstrom, J (corresponding author), Univ Melbourne, Sch Earth Sci, Melbourne, Vic 3010, Australia.</t>
  </si>
  <si>
    <t>j.hellstrom@unimelb.edu.au</t>
  </si>
  <si>
    <t>Hellstrom, John C/B-1770-2008; Hartland, Adam/J-2643-2014; Couchoud, Isabelle/C-3309-2012; Couchoud, Isabelle/KFA-9264-2024</t>
  </si>
  <si>
    <t>Couchoud, Isabelle/0000-0002-7166-9575; Pearson, Andrew/0000-0002-2170-6606; Hellstrom, John/0000-0001-9427-3525; Sniderman, Kale/0000-0002-3963-4049</t>
  </si>
  <si>
    <t>Australian Research Council [FT130100801]; Australian Research Council [FT130100801] Funding Source: Australian Research Council</t>
  </si>
  <si>
    <t>Australian Research Council(Australian Research Council); Australian Research Council(Australian Research Council)</t>
  </si>
  <si>
    <t>Bella Ansell and Romina Belli planned and assisted with the dating of core samples NB11 and MD3. JH was funded by the Australian Research Council as a Future Fellow (FT130100801). We thank Matt Ryan for providing the TAN0513-14 pollen data, Tim Barrows for the MD97-2120 - MD88-770 SST stack and Jonathan Ravens for the cave outline maps. Joel Zwartz, Maree Hunt, Jonathan Ravens, Anna Pulford, Jane Pulford, Lyle Williams, Jenny O'Connell, Travis Cross and members of the Victoria Cavers and the National University Caving Club assisted with sample collection. Kieran MacKay provided information on flowstone locations. Speleothem sampling was under scientific permits from Te Papa Atawhai - New Zealand Department of Conservation to JH, RD and AH.</t>
  </si>
  <si>
    <t>FEB 12</t>
  </si>
  <si>
    <t>10.1038/s41598-020-58317-8</t>
  </si>
  <si>
    <t>NE8RP</t>
  </si>
  <si>
    <t>WOS:000562873200006</t>
  </si>
  <si>
    <t>Kwon, S; Lee, CW; Koh, HY; Park, H; Lee, JH; Park, HH</t>
  </si>
  <si>
    <t>Kwon, Sunghark; Lee, Chang Woo; Koh, Hye Yeon; Park, Hyun; Lee, Jun Hyuck; Park, Hyun Ho</t>
  </si>
  <si>
    <t>Crystal structure of the reactive intermediate/imine deaminase A homolog from the Antarctic bacterium Psychrobacter sp. PAMC 21119</t>
  </si>
  <si>
    <t>BIOCHEMICAL AND BIOPHYSICAL RESEARCH COMMUNICATIONS</t>
  </si>
  <si>
    <t>RidA; Deamination; Psychrophile; Antarctic bacterium; Cold-adaptability</t>
  </si>
  <si>
    <t>YJGF/YER057C/UK114 FAMILY; PROTEIN; REFINEMENT; ENZYME; MEMBER</t>
  </si>
  <si>
    <t>The RidA subfamily proteins catalyze the deamination reaction of enamine/imine intermediates, which are metabolites of amino acids such as threonine and serine. Numerous structural and functional studies have been conducted on RidA isolated from mesophiles and thermophiles. However, little is known about the structure of the RidA proteins isolated from psychrophiles. In the present study, we elucidated the crystal structure of RidA from the Antarctic bacterium Psychrobacter sp. PAMC 21119 (Pp-RidA) at 1.6 angstrom resolution to identify the structural properties contributing to cold-adaptability. Although the overall structure of Pp-RidA is similar to those of its homologues, it exhibits specific structural arrangements of a loop positioned near the active site, which is assumed to play a role in covering the active site of catalysis. In addition, the surface electrostatic potential of Pp-RidA suggested that it exhibits stronger electrostatic distribution relative to its homologues. Our results provide novel insights into the key determinants of cold-adaptability. (C) 2019 Elsevier Inc. All rights reserved.</t>
  </si>
  <si>
    <t>[Kwon, Sunghark; Park, Hyun Ho] Chung Ang Univ, Coll Pharm, Seoul 06974, South Korea; [Lee, Chang Woo; Koh, Hye Yeon; Lee, Jun Hyuck] Korea Polar Res Inst, Unit Res Pract Applicat, Incheon 21990, South Korea; [Park, Hyun] Korea Univ, Coll Life Sci &amp; Biotechnol, Div Biotechnol, Seoul 02841, South Korea; [Lee, Jun Hyuck] Univ Sci &amp; Technol, Dept Polar Sci, Incheon 21990, South Korea</t>
  </si>
  <si>
    <t>Chung Ang University; Korea Polar Research Institute (KOPRI); Korea University</t>
  </si>
  <si>
    <t>Park, HH (corresponding author), Chung Ang Univ, Coll Pharm, Seoul 06974, South Korea.;Lee, JH (corresponding author), Korea Polar Res Inst, Unit Res Pract Applicat, Incheon 21990, South Korea.;Park, H (corresponding author), Korea Univ, Coll Life Sci &amp; Biotechnol, Div Biotechnol, Seoul 02841, South Korea.</t>
  </si>
  <si>
    <t>hpark@korea.ac.kr; junhyucklee@kopri.re.kr; xrayleox@cau.ac.kr</t>
  </si>
  <si>
    <t>park, hyun ho/D-2627-2011</t>
  </si>
  <si>
    <t>Park, Hyun/0000-0002-8055-2010; park, hyun ho/0000-0001-9928-0847</t>
  </si>
  <si>
    <t>Korea Polar Research Institute [PE19210]; Korea Healthcare Technology R&amp;D Project, Ministry of Health &amp; Welfare, Republic of Korea [HI17C0155]</t>
  </si>
  <si>
    <t>Korea Polar Research Institute(Korea Polar Research Institute of Marine Research Placement (KOPRI)); Korea Healthcare Technology R&amp;D Project, Ministry of Health &amp; Welfare, Republic of Korea</t>
  </si>
  <si>
    <t>This work was supported by a grant from Korea Polar Research Institute (grant number PE19210) and a grant from the Korea Healthcare Technology R&amp;D Project, Ministry of Health &amp; Welfare, Republic of Korea (HI17C0155).</t>
  </si>
  <si>
    <t>0006-291X</t>
  </si>
  <si>
    <t>1090-2104</t>
  </si>
  <si>
    <t>BIOCHEM BIOPH RES CO</t>
  </si>
  <si>
    <t>Biochem. Biophys. Res. Commun.</t>
  </si>
  <si>
    <t>10.1016/j.bbrc.2019.11.139</t>
  </si>
  <si>
    <t>Biochemistry &amp; Molecular Biology; Biophysics</t>
  </si>
  <si>
    <t>LB5WP</t>
  </si>
  <si>
    <t>WOS:000524706600006</t>
  </si>
  <si>
    <t>Moser, DE; Hörhold, M; Kipfstuhl, S; Freitag, J</t>
  </si>
  <si>
    <t>Moser, Dorothea Elisabeth; Hoerhold, Maria; Kipfstuhl, Sepp; Freitag, Johannes</t>
  </si>
  <si>
    <t>Microstructure of Snow and Its Link to Trace Elements and Isotopic Composition at Kohnen Station, Dronning Maud Land, Antarctica</t>
  </si>
  <si>
    <t>FRONTIERS IN EARTH SCIENCE</t>
  </si>
  <si>
    <t>snow microstructure; anisotropy; snow metamorphism; deposition seasonality; microfocus X-ray computer tomography; Kohnen Station; Antarctica</t>
  </si>
  <si>
    <t>TEMPERATURE-GRADIENT METAMORPHISM; SURFACE MASS-BALANCE; DEEP-DRILLING SITE; STABLE-ISOTOPES; TEMPORAL VARIABILITY; CLIMATE VARIABILITY; ACCUMULATION RATE; EAST ANTARCTICA; DOME FUJI; ICE CORES</t>
  </si>
  <si>
    <t>Understanding the deposition history and signal formation in ice cores from polar ice sheets is fundamental for the interpretation of paleoclimate reconstruction based on climate proxies. Polar surface snow responds to environmental changes on a seasonal time scale by snow metamorphism, displayed in the snow microstructure and archived in the snowpack. However, the seasonality of snow metamorphism and accumulation rate is poorly constrained for low-accumulation regions, such as the East Antarctic Plateau. Here, we apply core-scale microfocus X-ray computer tomography to continuously measure snow microstructure of a 3-m deep snow core from Kohnen Station, Antarctica. We compare the derived microstructural properties to discretely measured trace components and stable water isotopes, commonly used as climate proxies. Temperature and snow height data from an automatic weather station are used for further constraints. Dating of the snow profile by combining non-sea-salt sulfate and density crusts reveals a seasonal pattern in the geometrical anisotropy. Considering seasonally varying temperature-gradient metamorphism in the surface snow and the timing of the anisotropy pattern observed in the snow profile, we propose the anisotropy to display the deposition history of the site. An annually varying fraction of deposition during summer months, ranging from no or negative deposition to large deposition events, leads to the observed microstructure and affects trace components as well as stable water isotopes.</t>
  </si>
  <si>
    <t>[Moser, Dorothea Elisabeth; Hoerhold, Maria; Kipfstuhl, Sepp; Freitag, Johannes] Helmholtz Zentrum Polar &amp; Meeresforsch AWI, Alfred Wegener Inst, Bremerhaven, Germany; [Moser, Dorothea Elisabeth] Univ Munster, Inst Geol &amp; Palaontol, Munster, Germany</t>
  </si>
  <si>
    <t>Helmholtz Association; Alfred Wegener Institute, Helmholtz Centre for Polar &amp; Marine Research; University of Munster</t>
  </si>
  <si>
    <t>Moser, DE; Freitag, J (corresponding author), Helmholtz Zentrum Polar &amp; Meeresforsch AWI, Alfred Wegener Inst, Bremerhaven, Germany.;Moser, DE (corresponding author), Univ Munster, Inst Geol &amp; Palaontol, Munster, Germany.</t>
  </si>
  <si>
    <t>dorothea.moser@wwu.de; Johannes.Freitag@awi.de</t>
  </si>
  <si>
    <t>Hörhold, Maria/IST-9483-2023</t>
  </si>
  <si>
    <t>Moser, Dorothea Elisabeth/0000-0001-9085-9713</t>
  </si>
  <si>
    <t>2296-6463</t>
  </si>
  <si>
    <t>FRONT EARTH SC-SWITZ</t>
  </si>
  <si>
    <t>Front. Earth Sci.</t>
  </si>
  <si>
    <t>10.3389/feart.2020.00023</t>
  </si>
  <si>
    <t>KR2EJ</t>
  </si>
  <si>
    <t>WOS:000517431700001</t>
  </si>
  <si>
    <t>Baird, HP; Moon, KL; Janion-Scheepers, C; Chown, SL</t>
  </si>
  <si>
    <t>Baird, Helena P.; Moon, Katherine L.; Janion-Scheepers, Charlene; Chown, Steven L.</t>
  </si>
  <si>
    <t>Springtail phylogeography highlights biosecurity risks of repeated invasions and intraregional transfers among remote islands</t>
  </si>
  <si>
    <t>EVOLUTIONARY APPLICATIONS</t>
  </si>
  <si>
    <t>genomics; invasive species; islands; phylogeography; population connectivity; soil biodiversity; springtail</t>
  </si>
  <si>
    <t>POPULATION GENETIC-STRUCTURE; SUB-ANTARCTIC ISLANDS; BIOLOGICAL INVASIONS; CONSERVATION; DIVERSITY; FLOW; BIODIVERSITY; IMPACTS; MITOCHONDRIAL; BIOGEOGRAPHY</t>
  </si>
  <si>
    <t>Human-mediated transport of species outside their natural range is a rapidly growing threat to biodiversity, particularly for island ecosystems that have evolved in isolation. The genetic structure underpinning island populations will largely determine their response to increased transport and thus help to inform biosecurity management. However, this information is severely lacking for some groups, such as the soil fauna. We therefore analysed the phylogeographic structure of an indigenous and an invasive springtail species (Collembola: Poduromorpha), each distributed across multiple remote sub-Antarctic islands, where human activity is currently intensifying. For both species, we generated a genome-wide SNP data set and additionally analysed all available COI barcodes. Genetic differentiation in the indigenous springtail Tullbergia bisetosa is substantial among (and, to a lesser degree, within) islands, reflecting low dispersal and historic population fragmentation, while COI patterns reveal ancestral signatures of postglacial recolonization. This pronounced geographic structure demonstrates the key role of allopatric divergence in shaping the region's diversity and highlights the vulnerability of indigenous populations to genetic homogenization via human transport. For the invasive species Hypogastrura viatica, nuclear genetic structure is much less apparent, particularly for islands linked by regular shipping, while diverged COI haplotypes indicate multiple independent introductions to each island. Thus, human transport has likely facilitated this species' persistence since its initial colonization, through the ongoing introduction and inter-island spread of genetic variation. These findings highlight the different evolutionary consequences of human transport for indigenous and invasive soil species. Crucially, both outcomes demonstrate the need for improved intraregional biosecurity among remote island systems, where the policy focus to date has been on external introductions.</t>
  </si>
  <si>
    <t>[Baird, Helena P.; Moon, Katherine L.; Chown, Steven L.] Monash Univ, Sch Biol Sci, Clayton, Vic 3800, Australia; [Janion-Scheepers, Charlene] Iziko Museums South Africa, Cape Town, South Africa; [Janion-Scheepers, Charlene] Univ Free State, Dept Zool &amp; Entomol, Bloemfontein, South Africa</t>
  </si>
  <si>
    <t>Monash University; University of the Free State</t>
  </si>
  <si>
    <t>Baird, HP (corresponding author), Monash Univ, Sch Biol Sci, Clayton, Vic 3800, Australia.</t>
  </si>
  <si>
    <t>Helena.Baird@monash.edu</t>
  </si>
  <si>
    <t>Chown, Steven/ABD-7646-2021</t>
  </si>
  <si>
    <t>Baird, Helena/0000-0002-7560-8331; Janion-Scheepers, Charlene/0000-0001-5942-7912</t>
  </si>
  <si>
    <t>Government of South Georgia and the South Sandwich Islands; Australian Antarctic Division [4305, 4307]; EPFL; Swiss Polar Institute; Ferring Pharmaceuticals</t>
  </si>
  <si>
    <t>Government of South Georgia and the South Sandwich Islands; Australian Antarctic Division; EPFL; Swiss Polar Institute; Ferring Pharmaceuticals(Ferring Pharmaceuticals)</t>
  </si>
  <si>
    <t>Government of South Georgia and the South Sandwich Islands; Australian Antarctic Division, Grant/Award Number: 4305 and 4307; EPFL, Swiss Polar Institute &amp; Ferring Pharmaceuticals</t>
  </si>
  <si>
    <t>1752-4571</t>
  </si>
  <si>
    <t>EVOL APPL</t>
  </si>
  <si>
    <t>Evol. Appl.</t>
  </si>
  <si>
    <t>10.1111/eva.12913</t>
  </si>
  <si>
    <t>Evolutionary Biology</t>
  </si>
  <si>
    <t>LO1OP</t>
  </si>
  <si>
    <t>WOS:000512802500001</t>
  </si>
  <si>
    <t>Crossin, E; Verghese, K; Lockrey, S; Ha, H; Young, G</t>
  </si>
  <si>
    <t>Crossin, Enda; Verghese, Karli; Lockrey, Simon; Ha, Hieu; Young, Gordon</t>
  </si>
  <si>
    <t>The environmental impacts of operating an Antarctic research station</t>
  </si>
  <si>
    <t>JOURNAL OF INDUSTRIAL ECOLOGY</t>
  </si>
  <si>
    <t>Antarctica; Casey Station; industrial ecology; life cycle assessment (LCA); material and energy flow analysis; strategy</t>
  </si>
  <si>
    <t>WASTE; MANAGEMENT</t>
  </si>
  <si>
    <t>We present a life cycle assessment (LCA) of the operation of Casey Station in Antarctica. The LCA included quantifying material and energy flows, modeling of elementary flows, and subsequent environmental impacts. Environmental impacts were dominated by emissions associated with freight operations and electricity cogeneration. A participatory design approach was used to identify options to reduce environmental impacts, which included improving freight efficiency, reducing the temperature setpoint of the living quarters, and installing alternative energy systems. These options were then assessed using LCA, and have the potential to reduce environmental impacts by between 2% and 19.1%, depending on the environmental indicator.</t>
  </si>
  <si>
    <t>[Crossin, Enda] Swinburne Univ Technol, Engn Practice Acad, Fac Sci Engn &amp; Technol, Hawthorn, Vic, Australia; [Verghese, Karli; Lockrey, Simon; Ha, Hieu; Young, Gordon] RMIT Univ, Sch Design, Ind Design, Melbourne, Vic, Australia</t>
  </si>
  <si>
    <t>Swinburne University of Technology; Melbourne Genomics Health Alliance; Royal Melbourne Institute of Technology (RMIT)</t>
  </si>
  <si>
    <t>Verghese, K (corresponding author), RMIT Univ, Sch Design, 125 LaTrobe St, Melbourne, Vic, Australia.</t>
  </si>
  <si>
    <t>karli.verghese@rmit.edu.au</t>
  </si>
  <si>
    <t>Lockrey, Simon/AAJ-1903-2021</t>
  </si>
  <si>
    <t>Lockrey, Simon/0000-0001-9814-4114; Crossin, Enda/0000-0002-5287-7424</t>
  </si>
  <si>
    <t>[AAS 4134]</t>
  </si>
  <si>
    <t>LCAin the Last Frontierwasmadepossiblewith logistical and grant funding support provided by theAustralianAntarctic Division through theAustralianAntarctic Science Program(AAS 4134).</t>
  </si>
  <si>
    <t>1088-1980</t>
  </si>
  <si>
    <t>1530-9290</t>
  </si>
  <si>
    <t>J IND ECOL</t>
  </si>
  <si>
    <t>J. Ind. Ecol.</t>
  </si>
  <si>
    <t>10.1111/jiec.12972</t>
  </si>
  <si>
    <t>Green &amp; Sustainable Science &amp; Technology; Engineering, Environmental; Environmental Sciences</t>
  </si>
  <si>
    <t>Science &amp; Technology - Other Topics; Engineering; Environmental Sciences &amp; Ecology</t>
  </si>
  <si>
    <t>MH4SS</t>
  </si>
  <si>
    <t>WOS:000512819800001</t>
  </si>
  <si>
    <t>Lockrey, S; Verghese, K; Crossin, E; Young, G</t>
  </si>
  <si>
    <t>Lockrey, Simon; Verghese, Karli; Crossin, Enda; Young, Gordon</t>
  </si>
  <si>
    <t>Development of an environmental impact reduction strategy for Australia's Antarctic infrastructure</t>
  </si>
  <si>
    <t>Antarctica; codesign; environmental management; human impacts; industrial ecology; life cycle assessment</t>
  </si>
  <si>
    <t>CLIMATE-CHANGE; LCA</t>
  </si>
  <si>
    <t>In this article, we first describe aspects of the environmental impact reduction strategy that was developed in conjunction with a life cycle assessment undertaken for the operations necessary to support Australia's largest Antarctic research station, Casey Station. The article then identifies future research and operational improvement opportunities for the Australian Antarctic Division, who is responsible for Australia's presence in Antarctica. These insights are mapped against knowledge, treaties, plans, and policies framing how the Australian Antarctic Division operates on the southern continent, making operational planning from the strategy relevant and actionable. The article concludes by posing recommendations, for future environmental management practice, that cover making improvements to data quality collection, undertaking a strategic approach, utilizing a new ice breaker, and facilitating behavior change via engagement and active support of staff.</t>
  </si>
  <si>
    <t>[Lockrey, Simon; Verghese, Karli; Young, Gordon] RMIT Univ, Sch Design, Ind Design, Melbourne, Vic 3001, Australia; [Crossin, Enda] Swinburne Univ Technol, Engn Practice Acad, Fac Sci Engn &amp; Technol, Melbourne, Vic, Australia</t>
  </si>
  <si>
    <t>Melbourne Genomics Health Alliance; Royal Melbourne Institute of Technology (RMIT); Melbourne Genomics Health Alliance; Swinburne University of Technology</t>
  </si>
  <si>
    <t>Verghese, K (corresponding author), RMIT Univ, Sch Design, Ind Design, Melbourne, Vic 3001, Australia.</t>
  </si>
  <si>
    <t>Karli.Verghese@rmit.edu.au</t>
  </si>
  <si>
    <t>10.1111/jiec.12970</t>
  </si>
  <si>
    <t>WOS:000512820600001</t>
  </si>
  <si>
    <t>Ellwood, MJ; Strzepek, RF; Strutton, PG; Trull, TW; Fourquez, M; Boyd, PW</t>
  </si>
  <si>
    <t>Ellwood, Michael J.; Strzepek, Robert F.; Strutton, Peter G.; Trull, Thomas W.; Fourquez, Marion; Boyd, Philip W.</t>
  </si>
  <si>
    <t>Distinct iron cycling in a Southern Ocean eddy</t>
  </si>
  <si>
    <t>ANTARCTIC CIRCUMPOLAR CURRENT; SURFACE MIXED-LAYER; MC-ICP-MS; ISOTOPIC COMPOSITION; DISSOLVED IRON; SEAWATER; ZINC; SEA; FERTILIZATION; CHLOROPHYLL</t>
  </si>
  <si>
    <t>Mesoscale eddies are ubiquitous in the iron-limited Southern Ocean, controlling ocean-atmosphere exchange processes, however their influence on phytoplankton productivity remains unknown. Here we probed the biogeochemical cycling of iron (Fe) in a cold-core eddy. In-eddy surface dissolved Fe (dFe) concentrations and phytoplankton productivity were exceedingly low relative to external waters. In-eddy phytoplankton Fe-to-carbon uptake ratios were elevated 2-6 fold, indicating upregulated intracellular Fe acquisition resulting in a dFe residence time of similar to 1 day. Heavy dFe isotope values were measured for in-eddy surface waters highlighting extensive trafficking of dFe by cells. Below the euphotic zone, dFe isotope values were lighter and coincident with peaks in recycled nutrients and cell abundance, indicating enhanced microbially-mediated Fe recycling. Our measurements show that the isolated nature of Southern Ocean eddies can produce distinctly different Fe biogeochemistry compared to surrounding waters with cells upregulating iron uptake and using recycling processes to sustain themselves.</t>
  </si>
  <si>
    <t>[Ellwood, Michael J.] Australian Natl Univ, Res Sch Earth Sci, Canberra, ACT, Australia; [Strzepek, Robert F.; Strutton, Peter G.; Fourquez, Marion; Boyd, Philip W.] Univ Tasmania, Inst Marine &amp; Antarctic Studies, Hobart, Tas, Australia; [Strutton, Peter G.] Univ Tasmania, Australian Res Council, Ctr Excellence Climate Extremes, Hobart, Tas, Australia; [Trull, Thomas W.] CSIRO Oceans &amp; Atmosphere, Hobart, Tas, Australia</t>
  </si>
  <si>
    <t>Australian National University; University of Tasmania; University of Tasmania; Commonwealth Scientific &amp; Industrial Research Organisation (CSIRO)</t>
  </si>
  <si>
    <t>Ellwood, MJ (corresponding author), Australian Natl Univ, Res Sch Earth Sci, Canberra, ACT, Australia.</t>
  </si>
  <si>
    <t>Michael.ellwood@anu.edu.au</t>
  </si>
  <si>
    <t>Ellwood, Michael J/G-7390-2011; Strzepek, Robert Francis/GQH-8703-2022; Boyd, Philip/J-7624-2014; Strutton, Peter/C-4466-2011</t>
  </si>
  <si>
    <t>Strzepek, Robert Francis/0000-0002-6442-7121; Fourquez, Marion/0000-0001-5395-4877; Boyd, Philip/0000-0001-7850-1911; Strutton, Peter/0000-0002-2395-9471; Ellwood, Michael/0000-0003-4288-8530</t>
  </si>
  <si>
    <t>Australian Research Council [DP170102108, DP130100679]; Australia's Marine National Facility</t>
  </si>
  <si>
    <t>Australian Research Council(Australian Research Council); Australia's Marine National Facility</t>
  </si>
  <si>
    <t>This research was financially supported under Australian Research Council's Discovery programme (DP170102108; DP130100679) and ship time from Australia's Marine National Facility. We are grateful to the officers, crew, and research staff of the Marine National Facility and the R.V. Investigator for their help with sample collection and generation of hydrochemistry data. We are grateful to Stacy Deppeler for running the flow cytometry samples.</t>
  </si>
  <si>
    <t>FEB 11</t>
  </si>
  <si>
    <t>10.1038/s41467-020-14464-0</t>
  </si>
  <si>
    <t>KM9AP</t>
  </si>
  <si>
    <t>WOS:000514433900002</t>
  </si>
  <si>
    <t>Shi, HL; Ping, HL; He, JY; Zhang, T; Yu, FP; Lu, B; Liang, J; Zhu, WB</t>
  </si>
  <si>
    <t>Shi, Huilai; Ping, Hongling; He, Jianyu; Zhang, Tao; Yu, Fangping; Lu, Bin; Liang, Jun; Zhu, Wenbin</t>
  </si>
  <si>
    <t>Raw frozen Antarctic krill (Euphausia superba) as an alternative feed source for cuttlefish Sepiella japonica in artificial breeding systems</t>
  </si>
  <si>
    <t>Antarctic krill; feed replacement; fluoride; gut microbiome; Sepiella japonica; shrimp</t>
  </si>
  <si>
    <t>TROUT ONCORHYNCHUS-MYKISS; GUT MICROBIAL COMMUNITY; SALMON SALMO-SALAR; ATLANTIC SALMON; FISH-MEAL; GROWTH-PERFORMANCE; OXIDATIVE STRESS; FLUORIDE CONTENT; FATTY-ACIDS; DIETS</t>
  </si>
  <si>
    <t>The study aims to evaluate the feasibility of completely replacing raw frozen shrimp Palaemon gravieri diets with raw frozen Antarctic krill (Euphausia superba) in the diets of cuttlefish Sepiella japonica. To address the knowledge gap, we conducted a 60-day feeding trial. At the end of the experiment (day 60), the cuttlefish Sepiella japonica eating Palaemon gravieri (SJP) grew significantly faster than those eating Euphausia superba (SJE), with the specific growth rate (SGR)(SJP) (7.92%) &gt; (SGR)(SJE) (7.09%). Approximately 33.3% and 20.0% mortality was observed in the SJE and SJP, during the course of the experiment respectively. Some important fatty acids (i.e. n-3 and n-6 PUFAs) were elevated in SJE with respect to SJP. Replacement of Antarctic krill increased the diversity of the gut microbiome composition in the SJE group. Fluoride accumulated in the ink sac and cuttlebone of cuttlefish in SJE. Overall, these findings imply that PUFA-rich Antarctic krill could replace P. gravieri shrimp for feeding cuttlefish S. japonica.</t>
  </si>
  <si>
    <t>[Shi, Huilai; Ping, Hongling; Zhang, Tao; Yu, Fangping; Lu, Bin; Liang, Jun; Zhu, Wenbin] Marine Fisheries Res Inst Zhejiang, Zhejlang Prov Key Lab Maricuiture &amp; Enhancement, Zhoushan, Peoples R China; [He, Jianyu] Univ Pisa, Dept Biol, Pisa, Italy; [Liang, Jun; Zhu, Wenbin] Marine Fisheries Res Inst Zhejiang, Key Lab Sustainable Utilizat Technol Res Fisherie, Zhoushan, Peoples R China</t>
  </si>
  <si>
    <t>University of Pisa</t>
  </si>
  <si>
    <t>Zhu, WB (corresponding author), 28 Sports Rd,Lincheng St, Zhoushan, Zhejiang, Peoples R China.</t>
  </si>
  <si>
    <t>foolse@126.com</t>
  </si>
  <si>
    <t>Public-welfare Science and Technology Project of Zhoushan [2017C32071]; Zhejiang Provincial Natural Scicence Foundation of China [LY17C190006]; National Key R&amp;D Program of China [2018YFD0900903]; National Natural Science Foundation of China [31702346]; Key R&amp;D Project from Science and Technology Department of Zhejiang Provincial [2018C02026]; Zhejiang Science and Technology Programme [2015F50055, 2016F50041]</t>
  </si>
  <si>
    <t>Public-welfare Science and Technology Project of Zhoushan; Zhejiang Provincial Natural Scicence Foundation of China; National Key R&amp;D Program of China; National Natural Science Foundation of China(National Natural Science Foundation of China (NSFC)); Key R&amp;D Project from Science and Technology Department of Zhejiang Provincial; Zhejiang Science and Technology Programme</t>
  </si>
  <si>
    <t>Public-welfare Science and Technology Project of Zhoushan, Grant/Award Number: 2017C32071; Zhejiang Provincial Natural Scicence Foundation of China, Grant/Award Number: LY17C190006; National Key R&amp;D Program of China, Grant/Award Number: 2018YFD0900903; The National Natural Science Foundation of China, Grant/Award Number: 31702346; Key R&amp;D Project from Science and Technology Department of Zhejiang Provincial, Grant/Award Number: 2018C02026; Zhejiang Science and Technology Programme, Grant/Award Number: 2015F50055 and 2016F50041</t>
  </si>
  <si>
    <t>10.1111/are.14537</t>
  </si>
  <si>
    <t>LB6PA</t>
  </si>
  <si>
    <t>WOS:000512422900001</t>
  </si>
  <si>
    <t>Watters, GM; Hinke, JT; Reiss, CS</t>
  </si>
  <si>
    <t>Watters, George M.; Hinke, Jefferson T.; Reiss, Christian S.</t>
  </si>
  <si>
    <t>Long-term observations from Antarctica demonstrate that mismatched scales of fisheries management and predator-prey interaction lead to erroneous conclusions about precaution</t>
  </si>
  <si>
    <t>KRILL EUPHAUSIA-SUPERBA; SOUTH-SHETLAND ISLANDS; PYGOSCELID PENGUINS; MARINE ECOSYSTEM; CLIMATE-CHANGE; VARIABILITY; RECRUITMENT; RESPONSES; OPTIONS; BIOMASS</t>
  </si>
  <si>
    <t>Low catch limits for forage species are often considered to be precautionary measures that can help conserve marine predators. Difficulties measuring the impacts of fisheries removals on dependent predators maintain this perspective, but consideration of the spatio-temporal scales over which forage species, their predators, and fisheries interact can aid assessment of whether low catch limits are as precautionary as presumed. Antarctic krill are targeted by the largest fishery in the Southern Ocean and are key forage for numerous predators. Current krill removals are considered precautionary and have not been previously observed to affect krill-dependent predators, like penguins. Using a hierarchical model and 30+ years of monitoring data, we show that expected penguin performance was reduced when local harvest rates of krill were &gt;= 0.1, and this effect was similar in magnitude to that of poor environmental conditions. With continued climate warming and high local harvest rates, future observations of penguin performance are predicted to be below the long-term mean with a probability of 0.77. Catch limits that are considered precautionary for forage species simply because the limit is a small proportion of the species' standing biomass may not be precautionary for their predators.</t>
  </si>
  <si>
    <t>George.Watters@noaa.gov</t>
  </si>
  <si>
    <t>, Jefferson/AAG-1702-2021; Watters, George/HPE-2184-2023</t>
  </si>
  <si>
    <t>, Jefferson/0000-0002-3600-1414; Watters, George/0000-0002-6989-1273</t>
  </si>
  <si>
    <t>U.S. Antarctic Marine Living Resources Program of the National Oceanic and Atmospheric Administration (NOAA); Borrego Springs, California</t>
  </si>
  <si>
    <t>This research was conducted as part of the U.S. Antarctic Marine Living Resources Program of the National Oceanic and Atmospheric Administration (NOAA). We thank the numerous field teams that collected data on krill and penguins over the last 3 + decades. We thank A.M. Cossio for synthesis of acoustic survey data, W.Z. and S.G. Trivelpiece for a life-long commitment to the study of penguins in Antarctica, D.J. Krause and M. Mangel for comments on an early version of this manuscript, and G. Cutter for being a naturalist. Borrego Springs, California provided the desert heat required to cook this manuscript. Finally, the Editor and two referees provided extensive suggestions to improve our paper.</t>
  </si>
  <si>
    <t>10.1038/s41598-020-59223-9</t>
  </si>
  <si>
    <t>NE8LU</t>
  </si>
  <si>
    <t>WOS:000562857400006</t>
  </si>
  <si>
    <t>Wang, YJ; Liu, N; Lin, LN; He, Y; Kong, B; Zhang, ZH</t>
  </si>
  <si>
    <t>Wang, Yingjie; Liu, Na; Lin, Lina; He, Yan; Kong, Bin; Zhang, Zhanhai</t>
  </si>
  <si>
    <t>Variation in Water Masses on Shelf of Northern Bering Sea in September 2016-2018</t>
  </si>
  <si>
    <t>MARINE GEODESY</t>
  </si>
  <si>
    <t>Heat fluxes; interannual variations; Northern Bering Sea shelf; volume transports; water properties</t>
  </si>
  <si>
    <t>CHUKCHI SEAS; FLOW-THROUGH; STRAIT; CIRCULATION; ATLANTIC; VARIABILITY; TRANSPORTS; PACIFIC; ICE</t>
  </si>
  <si>
    <t>Based on hydrological data obtained during the 7th to 9th Chinese National Arctic Research Expeditions in the summers of 2016-2018, the main water structure on the shelf of the northern Bering Sea and the volume and heat fluxes of the Bering Strait throughflow were analyzed. Distinct variability was identified in the three Pacific water masses feeding the strait - Anadyr Water (AW), Bering Shelf Water (BSW) and Alaskan coastal water (ACW). Overall, the temperature and salinity of the entire section increased each year, with 2018 showing significant anomalies, i.e., a temperature anomaly of up to 1 degrees C and a maximum salinity anomaly of 2. From 2016 to 2018, the extent of the ACW gradually narrowed in the eastern part of this section, while the AW expanded eastward each year. The net volume transport through each of the three sections increased poleward from 1.65 Sv to 2.76 Sv, with the AW increasing from 0 Sv to 1.03 Sv, the BSW varying between 0.52-1.65 Sv, and the ACW gradually decreasing from 1.04 Sv to disappearing completely. The net heat fluxes were also poleward, varying between 25.77 TW and 61.50 TW, and showing a significant increase. Significant variations in magnitude and extent were observed in each water mass of the Bering Strait throughflow, which could produce widespread effects in the Arctic Ocean and the global ocean beyond.</t>
  </si>
  <si>
    <t>[Wang, Yingjie] Ocean Univ China, Coll Ocean &amp; Atmospher, Qingdao, Peoples R China; [Wang, Yingjie; Liu, Na; Lin, Lina; He, Yan; Kong, Bin] Minsitry Nat Resources, Inst Oceanog 1, Key Lab Marine Sci &amp; Numer Modeling, Qingdao, Peoples R China; [Wang, Yingjie; Liu, Na; Lin, Lina; He, Yan; Kong, Bin] Qingdao Natl Lab Marine Sci &amp; Technol, Lab Reg Oceanog &amp; Numer Modeling, Qingdao, Peoples R China; [Zhang, Zhanhai] Minist Nat Resources Peoples Republ China, Beijing, Peoples R China</t>
  </si>
  <si>
    <t>Ocean University of China; Laoshan Laboratory; Ministry of Natural Resources of the People's Republic of China</t>
  </si>
  <si>
    <t>Wang, YJ (corresponding author), Ocean Univ China, Coll Ocean &amp; Atmospher Sci, Qingdao 266100, Peoples R China.</t>
  </si>
  <si>
    <t>wangyj@fio.org.cn</t>
  </si>
  <si>
    <t>xiao, ming/KHT-1774-2024</t>
  </si>
  <si>
    <t>Ministry of Science and Technology of China [2016YFC1402702, 2016YFC1400303, 2019YFC1408201]; National Natural Science Foundation of China [41606221]; National Key R&amp;D Program Projects [2017YFA0603104]; Operation of National Arctic Observing and Monitoring Network - Physical Oceanography Investigation in the Arctic in 2019 under Arctic and Antarctic Practical Investigation and Scientific Research Programme, Ministry of Natural Resources; Arctic Drifting Ice Camp Project (MOSAiC Project) in 2019 under Arctic and Antarctic Practical Investigation and Scientific Research Programme, Ministry of Natural Resources; Monitoring on Basic Environment and Marine Biodiversity in Key Regions of Arctic Ocean-Hydrological Elements in 2020 under Arctic and Antarctic Practical Investigation and Scientific Research Programme, Ministry of Natural Resources; Arctic Sea-Ice-Air Interaction and Its Effect on Weather and Climate - Arctic Marine Environment Change and Its Climate Effect in 2020, under Arctic and Antarctic Practical Investigation and Scientific Research Programme, Ministry of Natural Resources</t>
  </si>
  <si>
    <t>Ministry of Science and Technology of China(Ministry of Science and Technology, China); National Natural Science Foundation of China(National Natural Science Foundation of China (NSFC)); National Key R&amp;D Program Projects; Operation of National Arctic Observing and Monitoring Network - Physical Oceanography Investigation in the Arctic in 2019 under Arctic and Antarctic Practical Investigation and Scientific Research Programme, Ministry of Natural Resources; Arctic Drifting Ice Camp Project (MOSAiC Project) in 2019 under Arctic and Antarctic Practical Investigation and Scientific Research Programme, Ministry of Natural Resources; Monitoring on Basic Environment and Marine Biodiversity in Key Regions of Arctic Ocean-Hydrological Elements in 2020 under Arctic and Antarctic Practical Investigation and Scientific Research Programme, Ministry of Natural Resources; Arctic Sea-Ice-Air Interaction and Its Effect on Weather and Climate - Arctic Marine Environment Change and Its Climate Effect in 2020, under Arctic and Antarctic Practical Investigation and Scientific Research Programme, Ministry of Natural Resources</t>
  </si>
  <si>
    <t>This article was funded by Ministry of Science and Technology of China under contact No. 2016YFC1402702, 2016YFC1400303 and 2019YFC1408201; National Natural Science Foundation of China under contact No. 41606221; National Key R&amp;D Program Projects under contact No. 2017YFA0603104; Operation of National Arctic Observing and Monitoring Network - Physical Oceanography Investigation in the Arctic in 2019, Arctic Drifting Ice Camp Project (MOSAiC Project) in 2019, Monitoring on Basic Environment and Marine Biodiversity in Key Regions of Arctic Ocean-Hydrological Elements in 2020, Arctic Sea-Ice-Air Interaction and Its Effect on Weather and Climate - Arctic Marine Environment Change and Its Climate Effect in 2020, under Arctic and Antarctic Practical Investigation and Scientific Research Programme, Ministry of Natural Resources.</t>
  </si>
  <si>
    <t>TAYLOR &amp; FRANCIS INC</t>
  </si>
  <si>
    <t>PHILADELPHIA</t>
  </si>
  <si>
    <t>530 WALNUT STREET, STE 850, PHILADELPHIA, PA 19106 USA</t>
  </si>
  <si>
    <t>0149-0419</t>
  </si>
  <si>
    <t>1521-060X</t>
  </si>
  <si>
    <t>MAR GEOD</t>
  </si>
  <si>
    <t>Mar. Geod.</t>
  </si>
  <si>
    <t>MAY 3</t>
  </si>
  <si>
    <t>10.1080/01490419.2020.1718256</t>
  </si>
  <si>
    <t>Geochemistry &amp; Geophysics; Oceanography; Remote Sensing</t>
  </si>
  <si>
    <t>LG0WH</t>
  </si>
  <si>
    <t>WOS:000514563200001</t>
  </si>
  <si>
    <t>Zhang, D; Ji, W; Peng, YH; Ji, HW; Gao, J</t>
  </si>
  <si>
    <t>Zhang, Di; Ji, Wei; Peng, Yuanhuai; Ji, Hongwu; Gao, Jing</t>
  </si>
  <si>
    <t>Evaluation of Flavor Improvement in Antarctic Krill Defluoridated Hydrolysate by Maillard Reaction Using Sensory Analysis, E-nose, and GC-MS</t>
  </si>
  <si>
    <t>JOURNAL OF AQUATIC FOOD PRODUCT TECHNOLOGY</t>
  </si>
  <si>
    <t>Antarctic krill; Maillard reaction; defluoridated hydrolysate; flavor improvement</t>
  </si>
  <si>
    <t>REACTION-PRODUCTS; VOLATILE COMPOUNDS; EUPHAUSIA-SUPERBA; AMINO-ACID; IDENTIFICATION; MEAT; GENERATION; COMPONENTS; ODORANTS; FLUORIDE</t>
  </si>
  <si>
    <t>Antarctic krill is a high-quality animal protein resource, but the presence of fluorine limits its development. Antarctic krill defluoridated hydrolysate products (DHPs) generally have a bitter taste that is unacceptable to consumers. Therefore, it is necessary to improve the flavor of defluoridated hydrolysate. In this work, flavor improvement of DHPs by the Maillard reaction was evaluated by sensory analysis, electronic nose (E-nose), and gas chromatography-mass spectrometry (GC-MS). The potential correlations among the signals of sensory attributes, E-nose, and volatile components were analyzed using the analysis of partial least squares regression (PLSR). A total of 63 volatile compounds were identified and quantified via GC-MS. The flavors in Maillard reaction products were mainly attributed to pyrazines, aldehydes, ketones, and furans. After the Maillard reaction, the two main aromatic compounds generated were 3-ethyl-2,5-dimethylpyrazin (roast odor, OAV = 32.7) and 3-(methylthio) propionaldehyde (shrimp meat odor, OAV = 16.43), which contributed to flavor improvement in DHPs. PLSR results showed a good correlation between most variables of sensory attributes, E-nose, and volatile compounds, which indicates that the overall flavor of DHPs was improved by the Maillard reaction.</t>
  </si>
  <si>
    <t>[Zhang, Di; Peng, Yuanhuai; Ji, Hongwu; Gao, Jing] Guangdong Ocean Univ, Coll Food Sci &amp; Technol, Zhanjiang 524088, Peoples R China; [Ji, Wei] Guangdong Univ Educ, Coll Biol &amp; Food Engn, Guangzhou, Peoples R China; [Ji, Hongwu] Guangdong Prov Key Lab Aquat Prod Proc &amp; Safety, Zhanjiang, Peoples R China; [Ji, Hongwu] Guangdong Higher Educ Inst, Key Lab Adv Proc Aquat Prod, Zhanjiang, Peoples R China</t>
  </si>
  <si>
    <t>Guangdong Ocean University</t>
  </si>
  <si>
    <t>Ji, HW (corresponding author), Guangdong Ocean Univ, Coll Food Sci &amp; Technol, Zhanjiang 524088, Peoples R China.</t>
  </si>
  <si>
    <t>jihw62318@163.com</t>
  </si>
  <si>
    <t>Gao, Jing/ITV-1267-2023</t>
  </si>
  <si>
    <t>National Natural Science Foundation of China [31801614]; Modern Agroindustry Technology Research System of China [CARs-48]</t>
  </si>
  <si>
    <t>National Natural Science Foundation of China(National Natural Science Foundation of China (NSFC)); Modern Agroindustry Technology Research System of China</t>
  </si>
  <si>
    <t>This work was supported by National Natural Science Foundation of China [Grant No. 31801614] and Modern Agroindustry Technology Research System of China [CARs-48].</t>
  </si>
  <si>
    <t>1049-8850</t>
  </si>
  <si>
    <t>1547-0636</t>
  </si>
  <si>
    <t>J AQUAT FOOD PROD T</t>
  </si>
  <si>
    <t>J. Aquat. Food Prod. Technol.</t>
  </si>
  <si>
    <t>10.1080/10498850.2020.1723764</t>
  </si>
  <si>
    <t>Food Science &amp; Technology</t>
  </si>
  <si>
    <t>KU9IC</t>
  </si>
  <si>
    <t>WOS:000513415500001</t>
  </si>
  <si>
    <t>Fabri-Ruiz, S; Danis, B; Navarro, N; Koubbi, P; Laffont, R; Saucède, T</t>
  </si>
  <si>
    <t>Fabri-Ruiz, Salome; Danis, Bruno; Navarro, Nicolas; Koubbi, Philippe; Laffont, Remi; Saucede, Thomas</t>
  </si>
  <si>
    <t>Benthic ecoregionalization based on echinoid fauna of the Southern Ocean supports current proposals of Antarctic Marine Protected Areas under IPCC scenarios of climate change</t>
  </si>
  <si>
    <t>climate change; echinoids; ecological niche modeling; ecoregionalization; Marine Protected Areas</t>
  </si>
  <si>
    <t>SPECIES DISTRIBUTION MODELS; WEDDELL SEA SHELF; STERECHINUS-NEUMAYERI; ABIOTIC SURROGATES; HIGH-LATITUDES; BIODIVERSITY; CONSERVATION; BIOGEOGRAPHY; ICE; ECHINODERMATA</t>
  </si>
  <si>
    <t>The Southern Ocean (SO) is among the regions on Earth that are undergoing regionally the fastest environmental changes. The unique ecological features of its marine life make it particularly vulnerable to the multiple effects of climate change. A network of Marine Protected Areas (MPAs) has started to be implemented in the SO to protect marine ecosystems. However, considering future predictions of the Intergovernmental Panel on Climate Change (IPCC), the relevance of current, static, MPAs may be questioned under future scenarios. In this context, the ecoregionalization approach can prove promising in identifying well-delimited regions of common species composition and environmental settings. These so-called ecoregions are expected to show similar biotic responses to environmental changes and can be used to define priority areas for the designation of new MPAs and the update of their current delimitation. In the present work, a benthic ecoregionalization of the entire SO is proposed for the first time based on abiotic environmental parameters and the distribution of echinoid fauna, a diversified and common member of Antarctic benthic ecosystems. A novel two-step approach was developed combining species distribution modeling with Random Forest and Gaussian Mixture modeling from species probabilities to define current ecoregions and predict future ecoregions under IPCC scenarios RCP 4.5 and 8.5. The ecological representativity of current and proposed MPAs of the SO is discussed with regard to the modeled benthic ecoregions. In all, 12 benthic ecoregions were determined under present conditions, they are representative of major biogeographic patterns already described. Our results show that the most dramatic changes can be expected along the Antarctic Peninsula, in East Antarctica and the sub-Antarctic islands under both IPCC scenarios. Our results advocate for a dynamic definition of MPAs, they also argue for improving the representativity of Antarctic ecoregions in proposed MPAs and support current proposals of Conservation of Antarctic Marine Living Resources for the creation of Antarctic MPAs.</t>
  </si>
  <si>
    <t>[Fabri-Ruiz, Salome; Navarro, Nicolas; Laffont, Remi; Saucede, Thomas] Univ Bourgogne Franche Comte, EPHE, CNRS, UMR 6282,Biogeosci, 6 Blvd Gabriel, F-21000 Dijon, France; [Fabri-Ruiz, Salome; Danis, Bruno] Univ Libre Bruxelles, Lab Biol Marine, Brussels, Belgium; [Navarro, Nicolas] PSL Univ, EPHE, Paris, France; [Koubbi, Philippe] Sorbonne Univ, UFR Terre Environm &amp; Biodivers 918, Paris 05, France; [Koubbi, Philippe] IFREMER, Ctr Manche Mer Nord, Lab Halieut Manche Mer Nord, Boulogne Sur Mer, France</t>
  </si>
  <si>
    <t>Centre National de la Recherche Scientifique (CNRS); Universite de Bourgogne; Universite PSL; Ecole Pratique des Hautes Etudes (EPHE); Universite Libre de Bruxelles; Universite PSL; Ecole Pratique des Hautes Etudes (EPHE); Sorbonne Universite; Ifremer</t>
  </si>
  <si>
    <t>Fabri-Ruiz, S (corresponding author), Univ Bourgogne Franche Comte, EPHE, CNRS, UMR 6282,Biogeosci, 6 Blvd Gabriel, F-21000 Dijon, France.;Fabri-Ruiz, S (corresponding author), Univ Libre Bruxelles, Lab Biol Marine, Brussels, Belgium.</t>
  </si>
  <si>
    <t>salome.fabriruiz@gmail.com</t>
  </si>
  <si>
    <t>Koubbi, Philippe/D-5873-2015; Danis, Bruno/AAS-8444-2021; Navarro, Nicolas/H-2364-2012</t>
  </si>
  <si>
    <t>Danis, Bruno/0000-0002-9037-7623; Navarro, Nicolas/0000-0001-5694-4201; Laffont, Remi/0009-0009-3567-2214; Fabri-Ruiz, Salome/0000-0003-1861-8215</t>
  </si>
  <si>
    <t>French Polar Institute [36, 9]; Belgian Science Policy Office</t>
  </si>
  <si>
    <t>French Polar Institute; Belgian Science Policy Office(Belgian Federal Science Policy Office)</t>
  </si>
  <si>
    <t>French Polar Institute, Grant/Award Number: 36 and 9; Belgian Science Policy Office</t>
  </si>
  <si>
    <t>10.1111/gcb.14988</t>
  </si>
  <si>
    <t>WOS:000512195000001</t>
  </si>
  <si>
    <t>Chen, YQ; Shen, LL; Huang, T; Chu, ZD; Xie, ZQ</t>
  </si>
  <si>
    <t>Chen, Yuanqing; Shen, Lili; Huang, Tao; Chu, Zhuding; Xie, Zhouqing</t>
  </si>
  <si>
    <t>Transformation of sulfur species in lake sediments at Ardley Island and Fildes Peninsula, King George Island, Antarctic Peninsula</t>
  </si>
  <si>
    <t>Ornithogenic sediments; Sulfate reduction; Sulfur species; AVS; Sulfur transformation</t>
  </si>
  <si>
    <t>SULFATE-REDUCING BACTERIA; ORGANIC-MATTER; PYRITE FORMATION; INORGANIC SULFUR; HEAVY-METALS; IRON; MINERALIZATION; SULFIDE; CARBON; TRANSPORT</t>
  </si>
  <si>
    <t>In Antarctica, penguins transport sulfur and other bio-elements in the form of guano from marine to terrestrial environments where they become deposited in ornithogenic soils and sediments, including lake or pond systems. Transformation of sulfur species in these terrestrial and aquatic deposits, however, has rarely been studied. Here, we used the cold diffusion method to analyze various sulfur species in a lake deposit of ornithogenic sediment core (Cl) and a pristine lake sediment core (C2), collected from Ardley Island and Fildes Peninsula, Antarctic Peninsula, respectively. The total organic carbon, total phosphorus, total nitrogen and various sulfur species in Cl were more fluctuant and much higher than those in C2, indicating a primary source from penguin guano. In core Cl, organic sulfur (Org-S) was the main form of sulfur, and sulfate (SO42-) was the main form of inorganic sulfur. The acid volatile sulfur (AVS) in Cl was much higher than pyrite sulfur (CRS). In the pristine lake sediment core C2, Org-S and SO42- were the main sulfur species. CRS was the primary form of reduced inorganic sulfur in C2 sediments in contrast to the AVS in Cl, indicating that AVS had been effectively transformed into CRS in Cl. Our results demonstrate that the high levels of organic matter in Cl likely limited the transformation of AVS to CRS. (C) 2019 Elsevier B.V. All rights reserved.</t>
  </si>
  <si>
    <t>[Chen, Yuanqing; Shen, Lili; Huang, Tao] Anhui Univ, Sch Resources &amp; Environm Engn, Hefei 230601, Peoples R China; [Huang, Tao] Anhui Univ, Anhui Prov Key Lab Wetland Ecosyst Protect &amp; Rest, Hefei 230601, Peoples R China; [Chu, Zhuding; Xie, Zhouqing] Univ Sci &amp; Technol China, Sch Earth &amp; Space Sci, Anhui Key Lab Polar Environm &amp; Global Change, Hefei 230026, Anhui, Peoples R China</t>
  </si>
  <si>
    <t>Anhui University; Anhui University; Chinese Academy of Sciences; University of Science &amp; Technology of China, CAS</t>
  </si>
  <si>
    <t>Huang, T (corresponding author), Anhui Univ, Sch Resources &amp; Environm Engn, Hefei 230601, Peoples R China.</t>
  </si>
  <si>
    <t>huangt@ahu.edu.cn</t>
  </si>
  <si>
    <t>shen, lili/IUQ-2187-2023; Chen, Yuanqing/JDC-5892-2023; Huang, Tao/AAD-8866-2022</t>
  </si>
  <si>
    <t>Huang, Tao/0000-0001-5035-1632; Chen, Yuanqing/0000-0001-9037-5858</t>
  </si>
  <si>
    <t>National Natural Science Foundation of China [41476165]</t>
  </si>
  <si>
    <t>This work was supported by National Natural Science Foundation of China (41476165). Samples in this study were provided by the BIRDS-Sediment system (Hefei). We thank the Chinese Arctic and Antarctic Administration and Polar Research Institute of China for logistical support in field work. We thank Steve Emslie for editing and comments on an earlier version of this paper.</t>
  </si>
  <si>
    <t>FEB 10</t>
  </si>
  <si>
    <t>10.1016/j.scitotenv.2019.135591</t>
  </si>
  <si>
    <t>KA6RQ</t>
  </si>
  <si>
    <t>WOS:000505924300190</t>
  </si>
  <si>
    <t>Lancelotti, JL; Pessacg, NL; Roesler, IC; Pascual, MA</t>
  </si>
  <si>
    <t>Lancelotti, Julio L.; Pessacg, Natalia L.; Roesler, Ignacio C.; Pascual, Miguel A.</t>
  </si>
  <si>
    <t>Climate variability and trends in the reproductive habitat of the critically endangered hooded grebe</t>
  </si>
  <si>
    <t>climate variability; habitat loss; hooded grebe; lake systems</t>
  </si>
  <si>
    <t>FISHLESS-SHALLOW-LAKES; FRESH-WATER FISHES; PODICEPS-GALLARDOI; AMERICAN MINK; ARGENTINA; PATAGONIA; TEMPERATURE; CONSERVATION; OSCILLATION; SELECTION</t>
  </si>
  <si>
    <t>The population of the critically endangered hooded grebe (Podiceps gallardoi) has decreased drastically during recent decades. The effects of climate change on their reproductive area (Southern Patagonia) have been proposed as one of the potential causes of their critical situation. However, there is much uncertainty about climate variability and climate trends at local scales in Patagonia, and their effects on the hooded grebe habitat. Variability and trends in temperature, precipitation, and wind from 1960 to 2016 in one of the most important reproductive areas of hooded grebe - the Lake Strobel plateau - were analysed. A Landsat satellite image series (1973-2016) was used to evaluate changes in lake area in the region. Generalized linear models were used to analyse the relationship between the variation in lake area and climatic variables, including the Antarctic Oscillation Mode (AAO) index, which is the most important year to year pattern in climate variability at high latitudes of the Southern Hemisphere. High inter-annual variability and increasing coefficients of variation in precipitation and wind were found, as well as a significant positive trend in temperature. Total lake area, as well as the area specifically used by hooded grebe to reproduce, decreased significantly over time, with high inter-annual variability. Variation in lake area was significantly correlated with variation in precipitation, and with the AAO index. The loss of reproductive habitat may force the hooded grebe to use sub-optimal environments, such as lakes with lower food supply, lower macrophyte cover, and less protection from wind - a potential major handicap for this declining species. Information on lake variation in response to climatic variability could be used to guide hooded grebe conservation strategies, directing more resources and special efforts to those reproductive lakes that are more resilient to the effects of climate fluctuations.</t>
  </si>
  <si>
    <t>[Lancelotti, Julio L.; Pessacg, Natalia L.; Pascual, Miguel A.] Consejo Nacl Invest Cient &amp; Tecn, Ctr Nacl Patagon, Inst Patagon Estudio Ecosistemas Continentales, Puerto Madryn, Chubut, Argentina; [Roesler, Ignacio C.] Consejo Nacl Invest Cient &amp; Tecn, IEGEBA, Lab Ecol &amp; Comportamiento Anim, DEGE Fac Ciencias Exactas &amp; Nat,EDGE Zool Soc Lon, Buenos Aires, DF, Argentina; [Lancelotti, Julio L.; Roesler, Ignacio C.] Ayes Argentinas AOP, Proyecto Maca Tobiano, Caba Buenos Aires, DF, Argentina; [Pascual, Miguel A.] Univ Nacl Patagonia SJB, Chubut, Argentina</t>
  </si>
  <si>
    <t>Centro Nacional Patagonico (CENPAT); Consejo Nacional de Investigaciones Cientificas y Tecnicas (CONICET); Consejo Nacional de Investigaciones Cientificas y Tecnicas (CONICET)</t>
  </si>
  <si>
    <t>Lancelotti, JL (corresponding author), Consejo Nacl Invest Cient &amp; Tecn, Ctr Nacl Patagon, Inst Patagon Estudio Ecosistemas Continentales, Puerto Madryn, Chubut, Argentina.</t>
  </si>
  <si>
    <t>julio@cenpat-conicet.gob.ar</t>
  </si>
  <si>
    <t>Lancelotti, Julio/0000-0002-5504-2748</t>
  </si>
  <si>
    <t>CONICET; Proyecto Maca Tobiano - Aves Argentinas/AOP</t>
  </si>
  <si>
    <t>CONICET(Consejo Nacional de Investigaciones Cientificas y Tecnicas (CONICET)); Proyecto Maca Tobiano - Aves Argentinas/AOP</t>
  </si>
  <si>
    <t>We thank Professor Philip J. Boon for his helpful recommendations, and Dr Jon Fjeldsa for his comments that substantially improved our article. Gonzalo Ignazi and Ugo Mellone provided the photographs of hooded grebe shown in this article. The Rodriguez family (Ea. Lago Strobel) and Ea. Laguna Verde gave permission to survey lakes within estancias Lago Strobel and Laguna Verde. Jurassic lake and Laguna Verde lodges provided logistical support. This research was funded by CONICET, and Proyecto Maca Tobiano - Aves Argentinas/AOP.</t>
  </si>
  <si>
    <t>10.1002/aqc.3240</t>
  </si>
  <si>
    <t>WOS:000511652900001</t>
  </si>
  <si>
    <t>Garrido-Benavent, I; Pérez-Ortega, S; Durán, J; Ascaso, C; Pointing, SB; Rodríguez-Cielos, R; Navarro, F; de los Ríos, A</t>
  </si>
  <si>
    <t>Garrido-Benavent, Isaac; Perez-Ortega, Sergio; Duran, Jorge; Ascaso, Carmen; Pointing, Stephen B.; Rodriguez-Cielos, Ricardo; Navarro, Francisco; de los Rios, Asuncion</t>
  </si>
  <si>
    <t>Differential Colonization and Succession of Microbial Communities in Rock and Soil Substrates on a Maritime Antarctic Glacier Forefield</t>
  </si>
  <si>
    <t>Antarctica; Livingston Island; algae; bacteria; fungi; geomicrobiology; chronosequence; primary succession</t>
  </si>
  <si>
    <t>MCMURDO DRY VALLEYS; SOUTH-SHETLAND ISLANDS; LIVINGSTON-ISLAND; BACTERIAL COMMUNITIES; MINERALIZATION RATES; FUNGAL COMMUNITIES; FUNCTIONAL ECOLOGY; AERIAL DISPERSAL; CLIMATE-CHANGE; HIGH-ALTITUDE</t>
  </si>
  <si>
    <t>Glacier forefields provide a unique chronosequence to assess microbial or plant colonization and ecological succession on previously uncolonized substrates. Patterns of microbial succession in soils of alpine and subpolar glacier forefields are well documented but those affecting high polar systems, including moraine rocks, remain largely unexplored. In this study, we examine succession patterns in pioneering bacterial, fungal and algal communities developing on moraine rocks and soil at the Hurd Glacier forefield (Livingston Island, Antarctica). Over time, changes were produced in the microbial community structure of rocks and soils (ice-free for different lengths of time), which differed between both substrates across the entire chronosequence, especially for bacteria and fungi. In addition, fungal and bacterial communities showed more compositional consistency in soils than rocks, suggesting community assembly in each niche could be controlled by processes operating at different temporal and spatial scales. Microscopy revealed a patchy distribution of epilithic and endolithic lithobionts, and increasing endolithic colonization and microbial community complexity along the chronosequence. We conclude that, within relatively short time intervals, primary succession processes at polar latitudes involve significant and distinct changes in edaphic and lithic microbial communities associated with soil development and cryptogamic colonization.</t>
  </si>
  <si>
    <t>[Garrido-Benavent, Isaac; Ascaso, Carmen; de los Rios, Asuncion] CSIC, Dept Biogeoquim &amp; Ecol Microbiana, Museo Nacl Ciencias Nat, Madrid, Spain; [Perez-Ortega, Sergio] CSIC, Dept Micol, Real Jardin Bot, Madrid, Spain; [Duran, Jorge] Univ Coimbra, Ctr Funct Ecol, Dept Life Sci, Coimbra, Portugal; [Pointing, Stephen B.] Natl Univ Singapore, Yale NUS Coll, Singapore, Singapore; [Pointing, Stephen B.] Natl Univ Singapore, Dept Biol Sci, Singapore, Singapore; [Rodriguez-Cielos, Ricardo] Univ Politecn Madrid, Dept Senales Sistemas &amp; Radiocomunicac, ETSI Telecomunicac, Madrid, Spain; [Navarro, Francisco] Univ Politecn Madrid, Dept Matemat Aplicada TIC, ETSI Telecomunicac, Madrid, Spain</t>
  </si>
  <si>
    <t>Consejo Superior de Investigaciones Cientificas (CSIC); CSIC - Museo Nacional de Ciencias Naturales (MNCN); Consejo Superior de Investigaciones Cientificas (CSIC); CSIC - Real Jardin Botanico de Madrid; Universidade de Coimbra; Yale NUS College; National University of Singapore; National University of Singapore; Universidad Politecnica de Madrid; Universidad Politecnica de Madrid</t>
  </si>
  <si>
    <t>de los Ríos, A (corresponding author), CSIC, Dept Biogeoquim &amp; Ecol Microbiana, Museo Nacl Ciencias Nat, Madrid, Spain.</t>
  </si>
  <si>
    <t>Rodríguez-Cielos, Ricardo RRC/K-9877-2017; Garrido-Benavent, Isaac/AAA-1982-2020; Navarro, Francisco/L-2941-2014; de los Rios, Asuncion/L-3694-2014; Pointing, Stephen/JHT-2500-2023; Duran, Jorge/AFN-5619-2022; Perez-Ortega, Sergio/G-1257-2016</t>
  </si>
  <si>
    <t>Garrido-Benavent, Isaac/0000-0002-5230-225X; Navarro, Francisco/0000-0002-5147-0067; de los Rios, Asuncion/0000-0002-0266-3516; Duran, Jorge/0000-0002-7375-5290; Perez-Ortega, Sergio/0000-0002-5411-3698</t>
  </si>
  <si>
    <t>MINECO/FEDER, UE [CTM2015-64728-C2-2-R]; Programa Operativo de Empleo Juvenil y la Iniciativa de Empleo Juvenil (YEI) de la Comunidad de Madrid [CAMD_MAD_RJB_001]; Spanish Ministry of Science, Innovation and Universities [RYC-201416784]; Fundacao para a Ciencia e a Tecnologia [IF/00950/2014]; FEDER, within the PT2020 Partnership Agreement; COMPETE 2020 [UID/BIA/04004/2013]; [CTM2017-84441-R]</t>
  </si>
  <si>
    <t>MINECO/FEDER, UE(Spanish Government); Programa Operativo de Empleo Juvenil y la Iniciativa de Empleo Juvenil (YEI) de la Comunidad de Madrid; Spanish Ministry of Science, Innovation and Universities(Spanish Government); Fundacao para a Ciencia e a Tecnologia(Fundacao para a Ciencia e a Tecnologia (FCT)); FEDER, within the PT2020 Partnership Agreement(Marie Curie Actions); COMPETE 2020;</t>
  </si>
  <si>
    <t>This work was supported by a grant CTM2015-64728-C2-2-R (MINECO/FEDER, UE), and partly by grant CTM2017-84441-R. IG-B was partially supported by the Programa Operativo de Empleo Juvenil y la Iniciativa de Empleo Juvenil (YEI) de la Comunidad de Madrid (CAMD_MAD_RJB_001). SP-O was supported by a 'Ramon y Cajal' contract (RYC-201416784) from the Spanish Ministry of Science, Innovation and Universities. JD was supported by the Fundacao para a Ciencia e a Tecnologia (IF/00950/2014) and the FEDER, within the PT2020 Partnership Agreement and COMPETE 2020 (UID/BIA/04004/2013).</t>
  </si>
  <si>
    <t>FEB 7</t>
  </si>
  <si>
    <t>10.3389/fmicb.2020.00126</t>
  </si>
  <si>
    <t>KR4PJ</t>
  </si>
  <si>
    <t>WOS:000517601900001</t>
  </si>
  <si>
    <t>Shi, GL; Li, HM; Leslie, AB; Zhou, ZY</t>
  </si>
  <si>
    <t>Shi, Gongle; Li, Haomin; Leslie, Andrew B.; Zhou, Zhiyan</t>
  </si>
  <si>
    <t>Araucaria bract-scale complex and associated foliage from the early-middle Eocene of Antarctica and their implications for Gondwanan biogeography</t>
  </si>
  <si>
    <t>HISTORICAL BIOLOGY</t>
  </si>
  <si>
    <t>Araucaria; bract-scale complex; Eocene; Fossil Hill; Antarctica; Gondwanan biogeography</t>
  </si>
  <si>
    <t>KING GEORGE ISLAND; AGATHIS ARAUCARIACEAE; SEYMOUR ISLAND; SOUTH-AMERICA; PLANT; CONIFERS; LEAVES; FLORA; PALEOBIOGEOGRAPHY; GYMNOSPERMS</t>
  </si>
  <si>
    <t>The early-middle Eocene Fossil Hill flora from King George Island in the Antarctic Peninsula regions is one of the most diverse Cenozoic plant assemblages in Antarctica. It represents a rich Nothofagus and conifer dominated vegetation. These plant fossils, especially conifers are of crucial importance for understanding the biogeographic history of the Gondwanan plants. Here we describe the first Araucaria bract-scale complex, A. fildesensis sp. nov., and associated foliage from the Fossil Hill flora and tentatively assigned them to the Section Eutacta, which is today restricted to Australasia, based on comparison with extant material. This study confirms that Araucaria species with small bract-scale complexes, small scale-like mature leaves and awl-shaped juvenile leaves like those of extant Section Eutacta, lived in Antarctica in the Eocene. These fossils provide potential evidence for the trans-Antarctic floristic changes of Araucaria species in the Section Eutacta between southern Australia and southern South America during the Eocene, when Antarctica was ice-free and forested.</t>
  </si>
  <si>
    <t>[Shi, Gongle; Li, Haomin; Zhou, Zhiyan] Chinese Acad Sci, Nanjing Inst Geol &amp; Palaeontol, State Key Lab Palaeobiol &amp; Stratig, Nanjing, Peoples R China; [Shi, Gongle; Li, Haomin; Zhou, Zhiyan] Chinese Acad Sci, Ctr Excellence Life &amp; Paleoenvironm, Nanjing, Peoples R China; [Leslie, Andrew B.] Brown Univ, Dept Ecol &amp; Evolutionary Biol, Providence, RI 02912 USA</t>
  </si>
  <si>
    <t>Chinese Academy of Sciences; Chinese Academy of Sciences; Brown University</t>
  </si>
  <si>
    <t>Shi, GL (corresponding author), Chinese Acad Sci, Nanjing Inst Geol &amp; Palaeontol, State Key Lab Palaeobiol &amp; Stratig, Nanjing, Peoples R China.;Shi, GL (corresponding author), Chinese Acad Sci, Ctr Excellence Life &amp; Paleoenvironm, Nanjing, Peoples R China.</t>
  </si>
  <si>
    <t>glshi@nigpas.ac.cn</t>
  </si>
  <si>
    <t>Shi, Gongle/E-3840-2012</t>
  </si>
  <si>
    <t>Shi, Gongle/0000-0003-3374-6637; Leslie, Andrew/0000-0002-9011-6888</t>
  </si>
  <si>
    <t>National Natural Science Foundation of China [41772014, 41206173]; Youth Innovation Promotion Association of the Chinese Academy of Sciences [2017359]</t>
  </si>
  <si>
    <t>National Natural Science Foundation of China(National Natural Science Foundation of China (NSFC)); Youth Innovation Promotion Association of the Chinese Academy of Sciences</t>
  </si>
  <si>
    <t>This work was supported by the National Natural Science Foundation of China [41772014, 41206173];Youth Innovation Promotion Association of the Chinese Academy of Sciences [2017359].</t>
  </si>
  <si>
    <t>0891-2963</t>
  </si>
  <si>
    <t>1029-2381</t>
  </si>
  <si>
    <t>HIST BIOL</t>
  </si>
  <si>
    <t>Hist. Biol.</t>
  </si>
  <si>
    <t>10.1080/08912963.2018.1472255</t>
  </si>
  <si>
    <t>Biology; Paleontology</t>
  </si>
  <si>
    <t>Life Sciences &amp; Biomedicine - Other Topics; Paleontology</t>
  </si>
  <si>
    <t>KO4VO</t>
  </si>
  <si>
    <t>WOS:000515549400003</t>
  </si>
  <si>
    <t>Obu, J; Westermann, S; Vieira, G; Abramov, A; Balks, MR; Bartsch, A; Hrbácek, F; Kääb, A; Ramos, M</t>
  </si>
  <si>
    <t>Obu, Jaroslav; Westermann, Sebastian; Vieira, Goncalo; Abramov, Andrey; Balks, Megan R.; Bartsch, Annett; Hrbacek, Filip; Kaab, Andreas; Ramos, Miguel</t>
  </si>
  <si>
    <t>Pan-Antarctic map of near-surface permafrost temperatures at 1 km2 scale</t>
  </si>
  <si>
    <t>JAMES-ROSS-ISLAND; PENINSULA LIVINGSTON ISLAND; CALM-S SITE; MCMURDO DRY VALLEYS; ACTIVE-LAYER; THERMAL REGIME; BYERS PENINSULA; SNOW COVER; TEMPORAL VARIABILITY; MARITIME ANTARCTICA</t>
  </si>
  <si>
    <t>Permafrost is present within almost all of the Antarctic's ice-free areas, but little is known about spatial variations in permafrost temperatures except for a few areas with established ground temperature measurements. We modelled a temperature at the top of the permafrost (TTOP) for all the ice-free areas of the Antarctic mainland and Antarctic islands at 1 km(2) resolution during 2000-2017. The model was driven by remotely sensed land surface temperatures and downscaled ERA-Interim climate reanalysis data, and subgrid permafrost variability was simulated by variable snow cover. The results were validated against in situ-measured ground temperatures from 40 permafrost boreholes, and the resulting root-mean-square error was 1.9 degrees C. The lowest near-surface permafrost temperature of -36 degrees C was modelled at Mount Markham in the Queen Elizabeth Range in the Transantarctic Mountains. This is the lowest permafrost temperature on Earth, according to global-scale modelling results. The temperatures were most commonly modelled between -23 and -18 degrees C for mountainous areas rising above the Antarctic Ice Sheet and between -14 and -8 degrees C for coastal areas. The model performance was good where snow conditions were modelled realistically, but errors of up to 4 degrees C occurred at sites with strong wind-driven redistribution of snow.</t>
  </si>
  <si>
    <t>[Obu, Jaroslav; Westermann, Sebastian; Kaab, Andreas] Univ Oslo, Dept Geosci, Sem Saelands Vei 1, N-0371 Oslo, Norway; [Vieira, Goncalo] Univ Lisbon, Ctr Geog Studies, Inst Geog &amp; Spatial Planning, R Branca Edmee Marques, P-1600276 Lisbon, Portugal; [Abramov, Andrey] Russian Acad Sci, Inst Physicochem &amp; Biol Problems Soil Sci, Pushchino, Russia; [Balks, Megan R.] Univ Waikato, Dept Earth &amp; Ocean Sci, Private Bag 3105, Hamilton, New Zealand; [Bartsch, Annett] Zent Anstalt Meteorol &amp; Geodynam, Hohe Warte 39, Vienna, Austria; [Hrbacek, Filip] Masaryk Univ, Dept Geog, Kotlarska 2, CS-61137 Brno, Czech Republic; [Ramos, Miguel] Univ Alcala, Dept Phys &amp; Math, Campus Univ, Madrid 28805, Spain; [Bartsch, Annett] B Geos GmbH, Ind Str 1, A-2100 Vienna, Korneuburg, Austria</t>
  </si>
  <si>
    <t>University of Oslo; Universidade de Lisboa; Russian Academy of Sciences; Pushchino Scientific Center for Biological Research (PSCBI) of the Russian Academy of Sciences; Institute of Physicohemical &amp; Biological Problems of Soil Science; University of Waikato; Masaryk University Brno; Universidad de Alcala</t>
  </si>
  <si>
    <t>Obu, J (corresponding author), Univ Oslo, Dept Geosci, Sem Saelands Vei 1, N-0371 Oslo, Norway.</t>
  </si>
  <si>
    <t>jaroslav.obu@geo.uio.no</t>
  </si>
  <si>
    <t>Bartsch, Annett/N-1347-2019; Kääb, Andreas/AAG-8769-2020; Vieira, Goncalo/G-5958-2010; Andrey, Abramov/AAL-5410-2020; Hrbacek, Filip/ABG-4319-2020; Ramos, Miguel/K-2230-2014; Obu, Jaroslav/AAE-7356-2020; Westermann, Sebastian/I-2976-2012; Bartsch, Annett/G-6332-2012; Abramov, Andrey/A-2705-2012</t>
  </si>
  <si>
    <t>Kääb, Andreas/0000-0002-6017-6564; Vieira, Goncalo/0000-0001-7611-3464; Hrbacek, Filip/0000-0001-5032-9216; Ramos, Miguel/0000-0003-3648-6818; Obu, Jaroslav/0000-0002-8172-2536; Westermann, Sebastian/0000-0003-0514-4321; Bartsch, Annett/0000-0002-3737-7931; Abramov, Andrey/0000-0002-3602-1159</t>
  </si>
  <si>
    <t>European Space Agency [4000116196/15/I-NB]; Research Council of Norway [239918]; Norwegian National Infrastructure for Research Data [NS9079K]; Ministry of Education Youth and Sports of Czech Republic [LM2015078]; Russian Antarctic Expedition [AAAA-A18-118013190181-6]; Russian Government programme [AAAA-A18-118013190181-6]</t>
  </si>
  <si>
    <t>European Space Agency(European Space Agency); Research Council of Norway(Research Council of Norway); Norwegian National Infrastructure for Research Data; Ministry of Education Youth and Sports of Czech Republic(Ministry of Education, Youth &amp; Sports - Czech Republic); Russian Antarctic Expedition; Russian Government programme</t>
  </si>
  <si>
    <t>This research has been supported by the European Space Agency (grant no. 4000116196/15/I-NB), the Research Council of Norway (grant no. 239918), the Norwegian National Infrastructure for Research Data (grant no. NS9079K), the Ministry of Education Youth and Sports of Czech Republic (grant no. LM2015078), and the Russian Antarctic Expedition and Government programme (grant no. AAAA-A18-118013190181-6).</t>
  </si>
  <si>
    <t>10.5194/tc-14-497-2020</t>
  </si>
  <si>
    <t>KK9RD</t>
  </si>
  <si>
    <t>WOS:000513070900001</t>
  </si>
  <si>
    <t>Frankish, CK; Manica, A; Phillips, RA</t>
  </si>
  <si>
    <t>Frankish, Caitlin K.; Manica, Andrea; Phillips, Richard A.</t>
  </si>
  <si>
    <t>Effects of age on foraging behavior in two closely related albatross species</t>
  </si>
  <si>
    <t>MOVEMENT ECOLOGY</t>
  </si>
  <si>
    <t>Aging; Seabird; Senescence; Foraging behavior</t>
  </si>
  <si>
    <t>DIOMEDEA-MELANOPHRIS; BIRD-ISLAND; WANDERING ALBATROSSES; PROVISIONING BEHAVIOR; MIGRATION STRATEGIES; NATURAL-POPULATIONS; HEADED ALBATROSSES; SEXUAL SELECTION; MODEL SELECTION; LIFE-HISTORY</t>
  </si>
  <si>
    <t>Background Foraging performance is widely hypothesized to play a key role in shaping age-specific demographic rates in wild populations, yet the underlying behavioral changes are poorly understood. Seabirds are among the longest-lived vertebrates, and demonstrate extensive age-related variation in survival, breeding frequency and success. The breeding season is a particularly critical phase during the annual cycle, but it remains unclear whether differences in experience or physiological condition related to age interact with the changing degree of the central-place constraint in shaping foraging patterns in time and space. Methods Here we analyze tracking data collected over two decades from congeneric black-browed (BBA) and grey-headed (GHA) albatrosses, Thalassarche melanophris and T. chrysostoma, breeding at South Georgia. We compare the foraging trip parameters, at-sea activity (flights and landings) and habitat preferences of individuals aged 10-45 years and contrast these patterns between the incubation and early chick-rearing stages. Results Young breeders of both species showed improvements in foraging competency with age, reducing foraging trip duration until age 26. Thereafter, there were signs of foraging senescence; older adults took gradually longer trips, narrowed their habitat preference (foraging within a smaller range of sea surface temperatures) (GHA), made fewer landings and rested on the water for longer (BBA). Some age-specific effects were apparent for each species only in certain breeding stages, highlighting the complex interaction between intrinsic drivers in determining individual foraging strategies. Conclusions Using cross-sectional data, this study highlighted clear age-related patterns in foraging behavior at the population-level for two species of albatrosses. These trends are likely to have important consequences for the population dynamics of these threatened seabirds, as young or old individuals may be more vulnerable to worsening environmental conditions.</t>
  </si>
  <si>
    <t>[Frankish, Caitlin K.; Phillips, Richard A.] British Antarctic Survey, Nat Environm Res Council, Madingley Rd, Cambridge CB3 0ET, England; [Frankish, Caitlin K.; Manica, Andrea] Univ Cambridge, Dept Zool, Downing St, Cambridge CB2 3EJ, England</t>
  </si>
  <si>
    <t>UK Research &amp; Innovation (UKRI); Natural Environment Research Council (NERC); NERC British Antarctic Survey; University of Cambridge</t>
  </si>
  <si>
    <t>Frankish, CK (corresponding author), British Antarctic Survey, Nat Environm Res Council, Madingley Rd, Cambridge CB3 0ET, England.;Frankish, CK (corresponding author), Univ Cambridge, Dept Zool, Downing St, Cambridge CB2 3EJ, England.</t>
  </si>
  <si>
    <t>cakish36@bas.ac.uk</t>
  </si>
  <si>
    <t>Frankish, Caitlin/AAQ-1321-2020; Manica, Andrea/N-9013-2019</t>
  </si>
  <si>
    <t>Frankish, Caitlin/0000-0002-4930-6153; Manica, Andrea/0000-0003-1895-450X</t>
  </si>
  <si>
    <t>Natural Environmental Research Council (NERC); NERC [NE/L002507/1]; Government of South Georgia; South Sandwich Islands; Royal Society for the Protection of Birds (RSPB); NERC [bas0100035] Funding Source: UKRI</t>
  </si>
  <si>
    <t>Natural Environmental Research Council (NERC)(UK Research &amp; Innovation (UKRI)Natural Environment Research Council (NERC)); NERC(UK Research &amp; Innovation (UKRI)Natural Environment Research Council (NERC)); Government of South Georgia; South Sandwich Islands; Royal Society for the Protection of Birds (RSPB); NERC(UK Research &amp; Innovation (UKRI)Natural Environment Research Council (NERC))</t>
  </si>
  <si>
    <t>The tracking was funded by Natural Environmental Research Council (NERC) core funding to British Antarctic Survey. CFK was supported by a studentship co-funded by NERC (Grant number: NE/L002507/1) and the Government of South Georgia and the South Sandwich Islands, with CASE funding from the Royal Society for the Protection of Birds (RSPB).</t>
  </si>
  <si>
    <t>2051-3933</t>
  </si>
  <si>
    <t>MOV ECOL</t>
  </si>
  <si>
    <t>Mov. Ecol.</t>
  </si>
  <si>
    <t>10.1186/s40462-020-0194-0</t>
  </si>
  <si>
    <t>KK4AT</t>
  </si>
  <si>
    <t>WOS:000512687600001</t>
  </si>
  <si>
    <t>Mills, WF; Xavier, JC; Bearhop, S; Cherel, Y; Votier, SC; Waluda, CM; Phillips, RA</t>
  </si>
  <si>
    <t>Mills, William F.; Xavier, Jose C.; Bearhop, Stuart; Cherel, Yves; Votier, Stephen C.; Waluda, Claire M.; Phillips, Richard A.</t>
  </si>
  <si>
    <t>Long-term trends in albatross diets in relation to prey availability and breeding success</t>
  </si>
  <si>
    <t>ICEFISH CHAMPSOCEPHALUS-GUNNARI; GREY-HEADED ALBATROSSES; DIEGO-RAMIREZ ISLANDS; SOUTH-GEORGIA; PROCELLARIA-AEQUINOCTIALIS; INTERANNUAL VARIATION; FEEDING ECOLOGY; CEPHALOPOD PREY; SEA ECOSYSTEM; FORAGE FISH</t>
  </si>
  <si>
    <t>Diet analyses can reveal important changes in seabird foraging ecology and, by inference, resource availability and predator-prey dynamics within the wider marine ecosystem. Here, we analysed stomach contents of 1544 grey-headed albatross Thalassarche chrysostoma (GHA) and black-browed albatross T. melanophris (BBA) chicks from Bird Island, South Georgia. We describe dietary shifts (1996-2017), and link those to annual prey availability indices and breeding success. Annual variability in diet was high, and long-term trends in the main components were broadly similar in both albatrosses. Fish consumption (by mass) generally increased over time. Mackerel icefish Champsocephalus gunnari occurrence increased in GHA diets, but was unrelated to local densities derived from fisheries/research cruises. Cephalopod consumption declined until the early 2000s, then plateaued, and the occurrence of the ommastrephid squid Martialia hyadesi declined over time in both albatrosses. In BBAs, Antarctic krill Euphausia superba consumption decreased over time. Conversely, Antarctic krill consumption by GHAs increased until the early 2000s, decreased until the mid-2010s, and increased again in 2017. Antarctic krill consumption was unrelated to local densities based on acoustic surveys, and did not correlate with breeding success. Remotely sensed chlorophyll-a within core foraging areas showed a positive relationship with Antarctic krill in GHA diets, but a negative relationship with M. hyadesi occurrence in both albatross diets. Dietary shifts had consequences for GHA breeding success, which was negatively related to the importance of the cranchiid Galiteuthis glacialis and positively related to M. hyadesi importance. These results highlight the complex mechanisms linking prey availability, diet and breeding success in albatrosses.</t>
  </si>
  <si>
    <t>[Mills, William F.; Xavier, Jose C.; Waluda, Claire M.; Phillips, Richard A.] British Antarctic Survey, Nat Environm Res Council, Cambridge CB3 0ET, England; [Mills, William F.; Bearhop, Stuart; Votier, Stephen C.] Univ Exeter, Ctr Ecol &amp; Conservat, Penryn Campus, Penryn TR10 9EZ, Cornwall, England; [Xavier, Jose C.] Univ Coimbra, Dept Life Sci, Marine &amp; Environm Sci Ctr MARE UC, P-3000456 Coimbra, Portugal; [Cherel, Yves] La Rochelle Univ, CNRS, UMR 7372, CEBC, F-79360 Villiers En Bois, France</t>
  </si>
  <si>
    <t>UK Research &amp; Innovation (UKRI); Natural Environment Research Council (NERC); NERC British Antarctic Survey; University of Exeter; Universidade de Coimbra; Centre National de la Recherche Scientifique (CNRS); CNRS - Institute of Ecology &amp; Environment (INEE)</t>
  </si>
  <si>
    <t>Mills, WF (corresponding author), British Antarctic Survey, Nat Environm Res Council, Cambridge CB3 0ET, England.;Mills, WF (corresponding author), Univ Exeter, Ctr Ecol &amp; Conservat, Penryn Campus, Penryn TR10 9EZ, Cornwall, England.</t>
  </si>
  <si>
    <t>wilmil23@bas.ac.uk</t>
  </si>
  <si>
    <t>Bearhop, Stuart/G-3105-2012; Mills, William F/AAV-5737-2020; Xavier, José/KFB-6739-2024; Votier, Stephen/IUO-0154-2023</t>
  </si>
  <si>
    <t>Mills, William F/0000-0001-7170-5794; Votier, Stephen/0000-0002-0976-0167; Cherel, Yves/0000-0001-9469-9489; /0000-0002-9621-6660</t>
  </si>
  <si>
    <t>Natural Environment Research Council; NERC GW4+Doctoral Training Partnership studentship from the Natural Environment Research Council [NE/L002434/1]; Fundacao para a Ciencia e Tecnologia (FCT, Portugal) [UID/MAR/04292/2019]; NERC [bas0100035] Funding Source: UKRI</t>
  </si>
  <si>
    <t>Natural Environment Research Council(UK Research &amp; Innovation (UKRI)Natural Environment Research Council (NERC)); NERC GW4+Doctoral Training Partnership studentship from the Natural Environment Research Council(UK Research &amp; Innovation (UKRI)Natural Environment Research Council (NERC)); Fundacao para a Ciencia e Tecnologia (FCT, Portugal)(Fundacao para a Ciencia e a Tecnologia (FCT)); NERC(UK Research &amp; Innovation (UKRI)Natural Environment Research Council (NERC))</t>
  </si>
  <si>
    <t>The authors thank all members of the Bird Island science team who have studied albatross diets. The authors also thank the reviewers for their helpful comments, which helped improve the manuscript. This work represents a contribution to the Ecosystems component of the British Antarctic Survey Polar Science for Planet Earth Programme, funded by the Natural Environment Research Council. W.F.M is supported by a NERC GW4+Doctoral Training Partnership studentship from the Natural Environment Research Council [NE/L002434/1]. J.C.X acknowledges the BAS-CEPH long-term monitoring project, SCAR Ant-ERA, SCAR EGBAMM and ICED programs and financial support received from Fundacao para a Ciencia e Tecnologia (FCT, Portugal) through the strategic project UID/MAR/04292/2019, granted to MARE.</t>
  </si>
  <si>
    <t>FEB 6</t>
  </si>
  <si>
    <t>10.1007/s00227-019-3630-1</t>
  </si>
  <si>
    <t>KW2BJ</t>
  </si>
  <si>
    <t>WOS:000520974400010</t>
  </si>
  <si>
    <t>Hosokawa, K; Kullen, A; Milan, S; Reidy, J; Zou, Y; Frey, HU; Maggiolo, R; Fear, R</t>
  </si>
  <si>
    <t>Hosokawa, Keisuke; Kullen, Anita; Milan, Steve; Reidy, Jade; Zou, Ying; Frey, Harald U.; Maggiolo, Romain; Fear, Robert</t>
  </si>
  <si>
    <t>Aurora in the Polar Cap: A Review</t>
  </si>
  <si>
    <t>SPACE SCIENCE REVIEWS</t>
  </si>
  <si>
    <t>Polar cap aurora; Transpolar arc; Sun-aligned arc; Polar rain aurora; Ionospheric convection; Magnetosphere; Reconnection</t>
  </si>
  <si>
    <t>INTERPLANETARY MAGNETIC-FIELD; SUN-ALIGNED ARCS; PERIODIC POLEWARD MOTIONS; LOW-ENERGY ELECTRONS; THETA-AURORA; TRANSPOLAR ARC; PARTICLE-PRECIPITATION; CONVECTION PATTERNS; RADAR OBSERVATIONS; IONOSPHERIC FLOW</t>
  </si>
  <si>
    <t>This paper reviews our current understanding of auroral features that appear poleward of the main auroral oval within the polar cap, especially those that are known as Sun-aligned arcs, transpolar arcs, or theta auroras. They tend to appear predominantly during periods of quiet geomagnetic activity or northwards directed interplanetary magnetic field (IMF). We also introduce polar rain aurora which has been considered as a phenomenon on open field lines. We describe the morphology of such auroras, their development and dynamics in response to solar wind-magnetosphere coupling processes, and the models that have been developed to explain them.</t>
  </si>
  <si>
    <t>[Hosokawa, Keisuke] Univ Electrocommun, Dept Commun Engn &amp; Informat, Tokyo, Japan; [Kullen, Anita] KTH Royal Inst Technol, Sch Elect Engn &amp; Comp Sci, Space &amp; Plasma Phys, Stockholm, Sweden; [Milan, Steve] Univ Leicester, Dept Phys &amp; Astron, Leicester, Leics, England; [Reidy, Jade; Fear, Robert] Univ Southampton, Dept Phys &amp; Astron, Southampton, Hants, England; [Reidy, Jade] British Antarctic Survey, Nat Environm Res Council, Cambridge, England; [Zou, Ying] Univ Alabama, Dept Space Sci, Huntsville, AL 35899 USA; [Frey, Harald U.] Univ Calif Berkeley, Space Sci Lab, Berkeley, CA 94720 USA; [Maggiolo, Romain] Belgian Inst Space Aeron, Brussels, Belgium</t>
  </si>
  <si>
    <t>University of Electro-Communications - Japan; Royal Institute of Technology; University of Leicester; University of Southampton; UK Research &amp; Innovation (UKRI); Natural Environment Research Council (NERC); NERC British Antarctic Survey; University of Alabama System; University of Alabama Huntsville; University of California System; University of California Berkeley</t>
  </si>
  <si>
    <t>Hosokawa, K (corresponding author), Univ Electrocommun, Dept Commun Engn &amp; Informat, Tokyo, Japan.</t>
  </si>
  <si>
    <t>keisuke.hosokawa@uec.ac.jp; kullen@kth.se; steve.milan@leicester.ac.uk; jr10g11@soton.ac.uk; yz0025@uah.edu; hfrey@ssl.berkeley.edu; romain.maggiolo@aeronomie.be; R.C.Fear@soton.ac.uk</t>
  </si>
  <si>
    <t>Maggiolo, Romain/A-6621-2017</t>
  </si>
  <si>
    <t>Maggiolo, Romain/0000-0002-5658-1313; Zou, Ying/0000-0002-9704-1735; Reidy, Jade/0000-0002-7939-991X; Fear, Robert/0000-0003-0589-7147</t>
  </si>
  <si>
    <t>JSPS Kakenhi [26302006]; International Space Science Institutes (ISSI) International Team program; Science and Technology Facilities Council [ST/R000719/1]; STFC [ST/N000749/1]; UCAR's Cooperative Programs for the Advancement of Earth System Science (Jack Eddy Postdoctoral Fellowship); National Science Foundation [AGS-1664885]; NSF [AGS-1004736]; NASA's Explorers Program [NNG12FA45C, NNG12FA42I]; Natural Environment Research Council studentship [NE/L002531/1]; NERC [bas0100031] Funding Source: UKRI; STFC [ST/R000719/1, ST/S000429/1, ST/K004298/2] Funding Source: UKRI</t>
  </si>
  <si>
    <t>JSPS Kakenhi(Ministry of Education, Culture, Sports, Science and Technology, Japan (MEXT)Japan Society for the Promotion of ScienceGrants-in-Aid for Scientific Research (KAKENHI)); International Space Science Institutes (ISSI) International Team program; Science and Technology Facilities Council(UK Research &amp; Innovation (UKRI)Science &amp; Technology Facilities Council (STFC)); STFC(UK Research &amp; Innovation (UKRI)Science &amp; Technology Facilities Council (STFC)); UCAR's Cooperative Programs for the Advancement of Earth System Science (Jack Eddy Postdoctoral Fellowship); National Science Foundation(National Science Foundation (NSF)); NSF(National Science Foundation (NSF)); NASA's Explorers Program; Natural Environment Research Council studentship(UK Research &amp; Innovation (UKRI)Natural Environment Research Council (NERC)); NERC(UK Research &amp; Innovation (UKRI)Natural Environment Research Council (NERC)); STFC(UK Research &amp; Innovation (UKRI)Science &amp; Technology Facilities Council (STFC))</t>
  </si>
  <si>
    <t>K.H. is supported by JSPS Kakenhi (26302006). K.H., A.K., S.M., R.M., R.F. are supported by the International Space Science Institutes (ISSI) International Team program. J.R. was supported by Natural Environment Research Council studentship NE/L002531/1, R.F. by Science and Technology Facilities Council Consolidated Grant ST/R000719/1, and S.M. by STFC Consolidated Grant ST/N000749/1. Y.Z. is supported by UCAR's Cooperative Programs for the Advancement of Earth System Science (Jack Eddy Postdoctoral Fellowship), and by National Science Foundation (AGS-1664885). H.F. was supported by NSF award AGS-1004736 and NASA's Explorers Program through contracts NNG12FA45C and NNG12FA42I.</t>
  </si>
  <si>
    <t>0038-6308</t>
  </si>
  <si>
    <t>1572-9672</t>
  </si>
  <si>
    <t>SPACE SCI REV</t>
  </si>
  <si>
    <t>Space Sci. Rev.</t>
  </si>
  <si>
    <t>FEB 5</t>
  </si>
  <si>
    <t>10.1007/s11214-020-0637-3</t>
  </si>
  <si>
    <t>KT6MQ</t>
  </si>
  <si>
    <t>WOS:000519128900001</t>
  </si>
  <si>
    <t>Cari, I; Andrade, C; Quiroga, E; Mutschke, E</t>
  </si>
  <si>
    <t>Cari, Ilia; Andrade, Claudia; Quiroga, Eduardo; Mutschke, Erika</t>
  </si>
  <si>
    <t>Benthic trophic structure of a Patagonian fjord (47°S): The role of hydrographic conditions in the food supply in a glaciofluvial system</t>
  </si>
  <si>
    <t>ESTUARINE COASTAL AND SHELF SCIENCE</t>
  </si>
  <si>
    <t>Macrofauna; Feeding guild; Allochthonous organic matter; Stable isotopes; Trophic redundancy; Sub-Antarctic</t>
  </si>
  <si>
    <t>STABLE-ISOTOPE; NORTHERN PATAGONIA; ORGANIC-MATTER; MACROBENTHIC COMMUNITIES; PLANKTON DYNAMICS; SURFACE SEDIMENTS; WEB STRUCTURE; ARCTIC FJORD; COMAU FJORD; CARBON</t>
  </si>
  <si>
    <t>Food web studies have provided insight into the dynamics of benthic ecosystems and their stability, stimulating research into the importance of different organic matters (OM) inputs in the ecological and metabolic processes that affect community structure. Using stable isotope analysis (SIA) and Bayesian ellipses, this study examines the influence of terrestrial OM and hydrographic conditions on food web structure and niche width in a glacial system (Baker/Martinez fjord complex). Two ecological groups were identified; one located in the inner and middle fjord and the other one in the outer fjord. Both had isotopically less diverse feeding groups in comparison to non-glacier benthic communities, comprising four trophic levels. In addition, the study area exhibited high trophic redundancy (e.g., species with overlapping trophic niches) associated with chronic natural physical disturbances from glacial sedimentations, which have shaped this non-selective feeding benthic community. The trophic structure metrics suggest that the benthic food web is supported principally by primary production and terrestrial OM pathways, but macroalgal subsidies could be important to detritivores via floating kelp in the inner area of the fjord. The results of this study suggest that glaciofluvial benthic communities have higher trophic redundancy associated with environmental disturbance conducted by sediment load, shaping a benthic community with a lower alpha diversity and fewer trophic levels in comparison to no-glacier environments.</t>
  </si>
  <si>
    <t>[Cari, Ilia] Univ Valparaiso, Fac Ciencias Mar &amp; Recursos Nat, Oceanog, POB 5080 Renaca,Ave Borgono 16344, Vinadel Mar, Chile; [Andrade, Claudia; Mutschke, Erika] Univ Magallanes, Inst Patagonia, Casilla 113-D, Punta Arenas, Chile; [Quiroga, Eduardo] Pontificia Univ Catolica Valparaiso, Escuela Ciencias Mar, Valparaiso, Chile; [Quiroga, Eduardo] Univ Concepcion, COPAS Sur Austral, Concepcion, Chile</t>
  </si>
  <si>
    <t>Universidad de Valparaiso; Universidad de Magallanes; Pontificia Universidad Catolica de Valparaiso; Universidad de Concepcion</t>
  </si>
  <si>
    <t>Quiroga, E (corresponding author), Pontificia Univ Catolica Valparaiso, Escuela Ciencias Mar, Valparaiso, Chile.</t>
  </si>
  <si>
    <t>eduardo.quiroga@pucv.cl</t>
  </si>
  <si>
    <t>Andrade, Claudia/AAN-4228-2020</t>
  </si>
  <si>
    <t>Andrade, Claudia/0000-0003-0804-6348; Quiroga, Eduardo/0000-0002-7651-0213; Cari, Ilia/0000-0002-8597-7990</t>
  </si>
  <si>
    <t>Regular FONDECYT [1130691]; PUCV [DII-PUCV 223.730/2016]; UMAG-DI [PR-F1-02-IP-15]; Center for Oceanographic Research COPAS Sur-Austral [CONICYT PIA PFB31, CONICYT PIA APOYO CCTE AFB170006]; [CONA C23F 17-09]; [CONA C2OF 14-04]</t>
  </si>
  <si>
    <t>Regular FONDECYT(Comision Nacional de Investigacion Cientifica y Tecnologica (CONICYT)CONICYT FONDECYT); PUCV; UMAG-DI; Center for Oceanographic Research COPAS Sur-Austral; ;</t>
  </si>
  <si>
    <t>This research was funded by a Regular FONDECYT Grant 1130691 (CONICYT) and project CONA C23F 17-09 (Granted to E. Quiroga and N. Olguin). Additional funds are thanked to Research Department of the PUCV (No. DII-PUCV 223.730/2016) and the project CONA C2OF 14-04 (Granted to E. Mutschke and C. Aldea, Universidad de Magallanes). We thank also to Dr. Americo Montiel (Universidad de Magallanes) as part of isotopic analysis were covered by his research project UMAG-DI (No. PR-F1-02-IP-15). Special thanks go to Jim McAdam for the English improve. We are also grateful for the financial and logistical support of Center for Oceanographic Research COPAS Sur-Austral (CONICYT PIA PFB31 and CONICYT PIA APOYO CCTE AFB170006). Thanks also to Rodrigo Mansilla (COPAS Sur-Austral), Paula Ortiz (CIEP Center), Carlos Pineda, Nicole Salinas and the crew of RV Sur Austral (UdeC) for their important assistance on each of the fieldworks. This is the second contribution of the LOBOS Team (Laboratorio de Oceanograffa y Bentos) from PUCV.</t>
  </si>
  <si>
    <t>0272-7714</t>
  </si>
  <si>
    <t>1096-0015</t>
  </si>
  <si>
    <t>ESTUAR COAST SHELF S</t>
  </si>
  <si>
    <t>Estuar. Coast. Shelf Sci.</t>
  </si>
  <si>
    <t>10.1016/j.ecss.2019.106536</t>
  </si>
  <si>
    <t>KO3JT</t>
  </si>
  <si>
    <t>WOS:000515445400015</t>
  </si>
  <si>
    <t>Nicely, JM; Duncan, BN; Hanisco, TF; Wolfe, GM; Salawitch, RJ; Deushi, M; Haslerud, AS; Jöckel, P; Josse, B; Kinnison, DE; Klekociuk, A; Manyin, ME; Marécal, V; Morgenstern, O; Murray, LT; Myhre, G; Oman, LD; Pitari, G; Pozzer, A; Quaglia, I; Revell, LE; Rozanov, E; Stenke, A; Stone, K; Strahan, S; Tames, S; Tost, H; Westervelt, DM; Zeng, G</t>
  </si>
  <si>
    <t>Nicely, Julie M.; Duncan, Bryan N.; Hanisco, Thomas F.; Wolfe, Glenn M.; Salawitch, Ross J.; Deushi, Makoto; Haslerud, Amund S.; Joeckel, Patrick; Josse, Beatrice; Kinnison, Douglas E.; Klekociuk, Andrew; Manyin, Michael E.; Marecal, Virginie; Morgenstern, Olaf; Murray, Lee T.; Myhre, Gunnar; Oman, Luke D.; Pitari, Giovanni; Pozzer, Andrea; Quaglia, Ilaria; Revell, Laura E.; Rozanov, Eugene; Stenke, Andrea; Stone, Kane; Strahan, Susan; Tames, Simone; Tost, Holger; Westervelt, Daniel M.; Zeng, Guang</t>
  </si>
  <si>
    <t>A machine learning examination of hydroxyl radical differences among model simulations for CCMI-1</t>
  </si>
  <si>
    <t>CLIMATE MODEL; ATMOSPHERIC METHANE; TROPOSPHERIC OZONE; METHYL CHLOROFORM; STRATOSPHERIC OZONE; CARBON-MONOXIDE; OH VARIABILITY; GLOBAL AVERAGE; CHEMISTRY; TRANSPORT</t>
  </si>
  <si>
    <t>The hydroxyl radical (OH) plays critical roles within the troposphere, such as determining the lifetime of methane (CH4), yet is challenging to model due to its fast cycling and dependence on a multitude of sources and sinks. As a result, the reasons for variations in OH and the resulting methane lifetime (tau CH4), both between models and in time, are difficult to diagnose. We apply a neural network (NN) approach to address this issue within a group of models that participated in the Chemistry-Climate Model Initiative (CCMI). Analysis of the historical specified dynamics simulations performed for CCMI indicates that the primary drivers of tau CH4 differences among 10 models are the flux of UV light to the troposphere (indicated by the photolysis frequency JO1D), the mixing ratio of tropospheric ozone (O-3), the abundance of nitrogen oxides (NOx equivalent to NO+NO2), and details of the various chemical mechanisms that drive OH. Water vapour, carbon monoxide (CO), the ratio of NO:NOx, and formaldehyde (HCHO) explain moderate differences in tau CH4, while isoprene, methane, the photolysis frequency of NO2 by visible light (JNO(2)), overhead ozone column, and temperature account for little to no model variation in tau CH4. We also apply the NNs to analysis of temporal trends in OH from 1980 to 2015. All models that participated in the specified dynamics historical simulation for CCMI demonstrate a decline in tau CH4 during the analysed timeframe. The significant contributors to this trend, in order of importance, are tropospheric O-3, JO(1)D, NOx, and H2O, with CO also causing substantial interannual variability in OH burden. Finally, the identified trends in tau CH4 are compared to calculated trends in the tropospheric mean OH concentration from previous work, based on analysis of observations. The comparison reveals a robust result for the effect of rising water vapour on OH and tau CH4, imparting an increasing and decreasing trend of about 0.5 % decade(-1), respectively. The responses due to NOx, ozone column, and temperature are also in reasonably good agreement between the two studies.</t>
  </si>
  <si>
    <t>[Nicely, Julie M.; Salawitch, Ross J.] Univ Maryland, Earth Syst Sci Interdisciplinary Ctr, College Pk, MD 20742 USA; [Nicely, Julie M.; Duncan, Bryan N.; Hanisco, Thomas F.; Wolfe, Glenn M.; Manyin, Michael E.; Oman, Luke D.; Strahan, Susan] NASA, Goddard Space Flight Ctr, Code 916, Greenbelt, MD 20771 USA; [Wolfe, Glenn M.] Univ Maryland Baltimore Cty, Joint Ctr Earth Syst Technol, Baltimore, MD 21228 USA; [Salawitch, Ross J.] Univ Maryland, Dept Atmospher &amp; Ocean Sci, College Pk, MD 20742 USA; [Salawitch, Ross J.] Univ Maryland, Dept Chem &amp; Biochem, College Pk, MD 20742 USA; [Deushi, Makoto] Meteorol Res Inst, Tsukuba, Ibaraki, Japan; [Haslerud, Amund S.; Myhre, Gunnar] CICERO, Oslo, Norway; [Joeckel, Patrick] Deutsch Zentrum Luft &amp; Raumfahrt DLR, Inst Phys Atmosphare, Oberpfaffenhofen, Germany; [Josse, Beatrice; Marecal, Virginie] CNRS, Meteo France, CNRM UMR 3589, Toulouse, France; [Kinnison, Douglas E.; Tames, Simone] Natl Ctr Atmospher Res, POB 3000, Boulder, CO 80307 USA; [Klekociuk, Andrew] Australian Antarctic Div, Antarctica &amp; Global Syst Program, Kingston, NF, Australia; [Klekociuk, Andrew] Antarctic Climate &amp; Ecosyst Cooperat Res Ctr, Hobart, Tas, Australia; [Manyin, Michael E.] Sci Syst &amp; Applicat Inc, Lanham, MD USA; [Morgenstern, Olaf; Zeng, Guang] Natl Inst Water &amp; Atmospher Res NIWA, Wellington, New Zealand; [Murray, Lee T.] Univ Rochester, Dept Earth &amp; Environm Sci, Rochester, NY USA; [Pitari, Giovanni; Quaglia, Ilaria] Univ Aquila, Dept Phys &amp; Chem Sci, Laquila, Italy; [Pozzer, Andrea] Max Planck Inst Chem, Air Chem Dept, Mainz, Germany; [Revell, Laura E.] Univ Canterbury, Sch Phys &amp; Chem Sci, Christchurch, New Zealand; [Rozanov, Eugene; Stenke, Andrea] ETH Zurich ETHZ, Inst Atmospher &amp; Climate Sci, Zurich, Switzerland; [Rozanov, Eugene] Phys Meteorol Observ Davos, World Radiat Ctr PMOD WRC, Davos, Switzerland; [Stone, Kane] Univ Melbourne, Sch Earth Sci, Melbourne, Vic, Australia; [Stone, Kane] MIT, Dept Earth Atmospher &amp; Planetary Sci, Cambridge, MA USA; [Strahan, Susan] Univ Space Res Assoc, Columbia, MD USA; [Tost, Holger] Johannes Gutenberg Univ Mainz, Inst Atmospher Phys, Mainz, Germany; [Westervelt, Daniel M.] Columbia Univ, Lamont Doherty Earth Observ, Palisades, NY USA; [Westervelt, Daniel M.] NASA, Goddard Inst Space Studies, New York, NY 10025 USA</t>
  </si>
  <si>
    <t>University System of Maryland; University of Maryland College Park; National Aeronautics &amp; Space Administration (NASA); NASA Goddard Space Flight Center; University System of Maryland; University of Maryland Baltimore County; University System of Maryland; University of Maryland College Park; University System of Maryland; University of Maryland College Park; Meteorological Research Institute - Japan; Helmholtz Association; German Aerospace Centre (DLR); Meteo France; Centre National de la Recherche Scientifique (CNRS); CNRS - National Institute for Earth Sciences &amp; Astronomy (INSU); National Center Atmospheric Research (NCAR) - USA; Australian Antarctic Division; Antarctic Climate &amp; Ecosystems Cooperative Research Centre (ACE CRC); Science Systems and Applications Inc; National Institute of Water &amp; Atmospheric Research (NIWA) - New Zealand; University of Rochester; University of L'Aquila; Max Planck Society; University of Canterbury; University of Melbourne; Melbourne Bioinformatics; Massachusetts Institute of Technology (MIT); Universities Space Research Association (USRA); Johannes Gutenberg University of Mainz; Columbia University; National Aeronautics &amp; Space Administration (NASA); NASA Goddard Space Flight Center; Goddard Institute for Space Studies</t>
  </si>
  <si>
    <t>Nicely, JM (corresponding author), Univ Maryland, Earth Syst Sci Interdisciplinary Ctr, College Pk, MD 20742 USA.;Nicely, JM (corresponding author), NASA, Goddard Space Flight Ctr, Code 916, Greenbelt, MD 20771 USA.</t>
  </si>
  <si>
    <t>julie.m.nicely@nasa.gov</t>
  </si>
  <si>
    <t>Murray, Lee Thomas/AAE-2840-2020; Klekociuk, Andrew R/A-4498-2015; Salawitch, Ross/B-4605-2009; Pozzer, Andrea/L-4872-2013; Myhre, Gunnar/A-3598-2008; Myhre, Gunnar/J-5483-2014; Strahan, Susan E/H-1965-2012; Rozanov, Eugene/V-1881-2018; Tost, Holger/C-3812-2017; Wolfe, Glenn/D-5289-2011; Oman, Luke D/C-2778-2009; Revell, Laura/ABG-7040-2020; Nicely, Julie M/E-3668-2016; Jöckel, Patrick/AAN-1285-2020; Stenke, Andrea/GYJ-6299-2022; Jöckel, Patrick/C-3687-2009; Hanisco, Thomas/G-5310-2013; Duncan, Bryan N/A-5962-2011; Sovde Haslerud, Amund/H-2850-2016</t>
  </si>
  <si>
    <t>Murray, Lee Thomas/0000-0002-3447-3952; Pozzer, Andrea/0000-0003-2440-6104; Myhre, Gunnar/0000-0002-4309-476X; Rozanov, Eugene/0000-0003-0479-4488; Tost, Holger/0000-0002-3105-4306; Revell, Laura/0000-0002-8974-7703; Jöckel, Patrick/0000-0002-8964-1394; Jöckel, Patrick/0000-0002-8964-1394; Hanisco, Thomas/0000-0001-9434-8507; Deushi, Makoto/0000-0002-0373-3918; Marecal, Virginie/0000-0003-1077-909X; Nicely, Julie/0000-0003-4828-0032; Sovde Haslerud, Amund/0000-0002-3812-3837; Zeng, Guang/0000-0002-9356-5021; Stenke, Andrea/0000-0002-5916-4013</t>
  </si>
  <si>
    <t>NASA Postdoctoral Program at the NASA Goddard Space Flight Center; NASA; JSPS KAKENHI [JP19K12312]; Bundesministerium fur Bildung und Forschung (BMBF); New Zealand Government's Strategic Science Investment Fund (SSIF)</t>
  </si>
  <si>
    <t>NASA Postdoctoral Program at the NASA Goddard Space Flight Center(National Aeronautics &amp; Space Administration (NASA)); NASA(National Aeronautics &amp; Space Administration (NASA)); JSPS KAKENHI(Ministry of Education, Culture, Sports, Science and Technology, Japan (MEXT)Japan Society for the Promotion of ScienceGrants-in-Aid for Scientific Research (KAKENHI)); Bundesministerium fur Bildung und Forschung (BMBF)(Federal Ministry of Education &amp; Research (BMBF)); New Zealand Government's Strategic Science Investment Fund (SSIF)</t>
  </si>
  <si>
    <t>This research has been supported by an appointment to the NASA Postdoctoral Program at the NASA Goddard Space Flight Center, administered by the Universities Space Research Association under contract with NASA; the JSPS KAKENHI (grant no. JP19K12312); China Southern; the Bundesministerium fur Bildung und Forschung (BMBF); and the New Zealand Government's Strategic Science Investment Fund (SSIF).</t>
  </si>
  <si>
    <t>10.5194/acp-20-1341-2020</t>
  </si>
  <si>
    <t>KK8PU</t>
  </si>
  <si>
    <t>WOS:000512999100002</t>
  </si>
  <si>
    <t>Claybourn, TM; Skovsted, CB; Holmer, LE; Pan, B; Myrow, PM; Topper, TP; Brock, GA</t>
  </si>
  <si>
    <t>Claybourn, Thomas M.; Skovsted, Christian B.; Holmer, Lars E.; Pan, Bing; Myrow, Paul M.; Topper, Timothy P.; Brock, Glenn A.</t>
  </si>
  <si>
    <t>BRACHIOPODS FROM THE BYRD GROUP (CAMBRIAN SERIES 2, STAGE 4) CENTRAL TRANSANTARCTIC MOUNTAINS, EAST ANTARCTICA: BIOSTRATIGRAPHY, PHYLOGENY AND SYSTEMATICS</t>
  </si>
  <si>
    <t>PAPERS IN PALAEONTOLOGY</t>
  </si>
  <si>
    <t>brachiopods; East Antarctica; Cambrian Series 2; Biostratigraphy; Palaeobiogeography; cladistics</t>
  </si>
  <si>
    <t>3 GORGES AREA; ROSS OROGEN; ACROTRETOID BRACHIOPODS; ORDINAL CLASSIFICATION; LINGULATE BRACHIOPODS; SHUIJINGTUO FORMATION; DELAMERIAN OROGENY; SOUTH-AUSTRALIA; SHELLY FOSSILS; AMADEUS BASIN</t>
  </si>
  <si>
    <t>Brachiopods from Cambrian Series 2, Stage 4 carbonate strata of the Byrd Group in the Central Transantarctic Mountains, East Antarctica, are described for the first time. These include six Ungulate, one paterinate and one rhynchonelliform taxon, including the new 'Ungulate brachiopod Pliatrmus wildi gen. et sp. nov. The biostratigraphy correlates closely to the brachiopods recently reported from the Xinji Formation (Shuiyu section) in North China, as well as brachiopods recovered from the Dailyatia odyssei Zone across the Arrowie Basin of South Australia. These findings also support the previously identified close palaeobiogeography of these regions. The first unambiguous example of the acrotretid brachiopod Eohadrotreta zhenbaensis Li &amp; Holmer outside South China is also identified in the context of its ontogenetic stages. Well-preserved specimens of the acrotheloid Schizopholis yorkensis (Holmer &amp; Ushatinskaya) facilitate a new reconstruction of its musculature and visceral region. These data are synthesized into a new cladistic analysis that resolves Acrotheloidea as a well-supported monophyletic Glade and supports previous hypotheses of a morphocline in acrotheloid evolution.</t>
  </si>
  <si>
    <t>[Claybourn, Thomas M.; Brock, Glenn A.] Macquarie Univ, Dept Biol Sci, Sydney, NSW 2109, Australia; [Claybourn, Thomas M.; Holmer, Lars E.] Uppsala Univ, Dept Earth Sci Palaeobiol, Villavagen 16, SE-75236 Uppsala, Sweden; [Skovsted, Christian B.; Pan, Bing; Topper, Timothy P.] Swedish Museum Nat Hist, Dept Palaeobiol, Box 50007, SE-10405 Stockholm, Sweden; [Skovsted, Christian B.; Holmer, Lars E.; Topper, Timothy P.; Brock, Glenn A.] Northwest Univ, Shaanxi Key Lab Early Life &amp; Environm, State Key Lab Continental Dynam, Xian 710069, Peoples R China; [Skovsted, Christian B.; Holmer, Lars E.; Topper, Timothy P.; Brock, Glenn A.] Northwest Univ, Dept Geol, Xian 710069, Peoples R China; [Pan, Bing] Chinese Acad Sci, State Key Lab Palaeobiol &amp; Stratig, Nanjing Inst Geol &amp; Palaeontol, Nanjing 210008, Peoples R China; [Pan, Bing] Chinese Acad Sci, Ctr Excellence Life &amp; Paleoenvironm, Nanjing Inst Geol &amp; Palaeontol, Nanjing 210008, Peoples R China; [Pan, Bing] Univ Sci &amp; Technol China, Hefei 230026, Peoples R China; [Myrow, Paul M.] Colorado Coll, Dept Geol, Colorado Springs, CO 80903 USA</t>
  </si>
  <si>
    <t>Macquarie University; Uppsala University; Swedish Museum of Natural History; Northwest University Xi'an; Northwest University Xi'an; Chinese Academy of Sciences; Chinese Academy of Sciences; Chinese Academy of Sciences; University of Science &amp; Technology of China, CAS; Colorado College</t>
  </si>
  <si>
    <t>Claybourn, TM (corresponding author), Macquarie Univ, Dept Biol Sci, Sydney, NSW 2109, Australia.;Claybourn, TM (corresponding author), Uppsala Univ, Dept Earth Sci Palaeobiol, Villavagen 16, SE-75236 Uppsala, Sweden.</t>
  </si>
  <si>
    <t>thomas.claybourn@geo.uu.se</t>
  </si>
  <si>
    <t>Pan, Bing/GLN-5601-2022; Holmer, Lars/N-7736-2019; Claybourn, Thomas/AAK-5757-2020</t>
  </si>
  <si>
    <t>Holmer, Lars/0000-0003-3629-0049; Claybourn, Thomas/0000-0002-1216-1886; Topper, Timothy/0000-0001-6720-7418; Brock, Glenn/0000-0002-2277-7350; Pan, Bing/0000-0002-7457-2517; Skovsted, Christian B./0000-0001-7366-7680</t>
  </si>
  <si>
    <t>Swedish Research Council [VR 2009-4395, 2012-1658]; RFI Polar [VR 2010-6176]; Swedish Polar Secretariat; United States Antarctic Program; US National Science Foundation (NSF); Trans-Antarctic Association Grant</t>
  </si>
  <si>
    <t>Swedish Research Council(Swedish Research Council); RFI Polar; Swedish Polar Secretariat; United States Antarctic Program; US National Science Foundation (NSF)(National Science Foundation (NSF)); Trans-Antarctic Association Grant</t>
  </si>
  <si>
    <t>The work by LEH was supported by grants from the Swedish Research Council (VR 2009-4395, 2012-1658). The field work in Antarctica was supported by operational support for polar research (RFI Polar VR 2010-6176) and the Swedish Polar Secretariat in collaboration with the United States Antarctic Program and US National Science Foundation (NSF). GAB was supported in Antarctica by a Trans-Antarctic Association Grant. D. Taylor, and L. Stemmerik were integral parts of the fieldwork team in Antarctica. Processing of rock samples was performed by D. Mathieson (Macquarie University) and T. Hultgren (Uppsala University). Z. Zhang (Macquarie University) is thanked for his insightful discussion (TMC). We are grateful for the constructive reviews made by the referees Ian Percival, Sally Thomas and Uwe Balthasar.</t>
  </si>
  <si>
    <t>2056-2799</t>
  </si>
  <si>
    <t>2056-2802</t>
  </si>
  <si>
    <t>PAP PALAEONTOL</t>
  </si>
  <si>
    <t>Pap. Palaeontol.</t>
  </si>
  <si>
    <t>10.1002/spp2.1295</t>
  </si>
  <si>
    <t>Paleontology</t>
  </si>
  <si>
    <t>MN8ER</t>
  </si>
  <si>
    <t>WOS:000512342600001</t>
  </si>
  <si>
    <t>Lombal, AJ; O'dwyer, JE; Friesen, V; Woehler, EJ; Burridge, CP</t>
  </si>
  <si>
    <t>Lombal, Anicee J.; O'dwyer, James E.; Friesen, Vicki; Woehler, Eric J.; Burridge, Christopher P.</t>
  </si>
  <si>
    <t>Identifying mechanisms of genetic differentiation among populations in vagile species: historical factors dominate genetic differentiation in seabirds</t>
  </si>
  <si>
    <t>BIOLOGICAL REVIEWS</t>
  </si>
  <si>
    <t>population genetics; historical fragmentation; life history; mutation-drift equilibrium; mobile species; IUCN</t>
  </si>
  <si>
    <t>PETRELS PROCELLARIA-AEQUINOCTIALIS; PENGUINS EUDYPTES-CHRYSOCOME; COLONIALLY NESTING SEABIRD; AUKLETS AETHIA-PYGMAEA; MITOCHONDRIAL-DNA; HIGHLY MOBILE; ROCKHOPPER PENGUINS; WINTERING AREAS; STORM-PETREL; GEOGRAPHIC-VARIATION</t>
  </si>
  <si>
    <t>Elucidating the factors underlying the origin and maintenance of genetic variation among populations is crucial for our understanding of their ecology and evolution, and also to help identify conservation priorities. While intrinsic movement has been hypothesized as the major determinant of population genetic structuring in abundant vagile species, growing evidence indicates that vagility does not always predict genetic differentiation. However, identifying the determinants of genetic structuring can be challenging, and these are largely unknown for most vagile species. Although, in principle, levels of gene flow can be inferred from neutral allele frequency divergence among populations, underlying assumptions may be unrealistic. Moreover, molecular studies have suggested that contemporary gene flow has often not overridden historical influences on population genetic structure, which indicates potential inadequacies of any interpretations that fail to consider the influence of history in shaping that structure. This exhaustive review of the theoretical and empirical literature investigates the determinants of population genetic differentiation using seabirds as a model system for vagile taxa. Seabirds provide a tractable group within which to identify the determinants of genetic differentiation, given their widespread distribution in marine habitats and an abundance of ecological and genetic studies conducted on this group. Herein we evaluate mitochondrial DNA (mtDNA) variation in 73 seabird species. Lack of mutation-drift equilibrium observed in 19% of species coincided with lower estimates of genetic differentiation, suggesting that dynamic demographic histories can often lead to erroneous interpretations of contemporary gene flow, even in vagile species. Presence of land across the species sampling range, or sampling of breeding colonies representing ice-free Pleistocene refuge zones, appear to be associated with genetic differentiation in Tropical and Southern Temperate species, respectively, indicating that long-term barriers and persistence of populations are important for their genetic structuring. Conversely, biotic factors commonly considered to influence population genetic structure, such as spatial segregation during foraging, were inconsistently associated with population genetic differentiation. In light of these results, we recommend that genetic studies should consider potential historical events when identifying determinants of genetic differentiation among populations to avoid overestimating the role of contemporary factors, even for highly vagile taxa.</t>
  </si>
  <si>
    <t>[Lombal, Anicee J.; O'dwyer, James E.; Burridge, Christopher P.] Univ Tasmania, Discipline Biol Sci, Private Bag 55, Hobart, Tas 7001, Australia; [Friesen, Vicki] Queen's Univ, Dept Biol, 99 Univ Ave, Kingston, ON K7L 3N6, Canada; [Woehler, Eric J.] Univ Tasmania, Inst Marine &amp; Antarctic Studies, 20 Castray Esplanade, Hobart, Tas 7004, Australia</t>
  </si>
  <si>
    <t>Lombal, AJ (corresponding author), Univ Tasmania, Discipline Biol Sci, Private Bag 55, Hobart, Tas 7001, Australia.</t>
  </si>
  <si>
    <t>anicee.lombal@utas.edu.au</t>
  </si>
  <si>
    <t>Burridge, Chris/L-4392-2019; Lombal, Anicee/J-5847-2015; Burridge, Christopher/J-2653-2012</t>
  </si>
  <si>
    <t>Lombal, Anicee/0000-0002-7545-4184; Woehler, Eric/0000-0002-1125-0748; Burridge, Christopher/0000-0002-8185-6091</t>
  </si>
  <si>
    <t>1464-7931</t>
  </si>
  <si>
    <t>1469-185X</t>
  </si>
  <si>
    <t>BIOL REV</t>
  </si>
  <si>
    <t>Biol. Rev.</t>
  </si>
  <si>
    <t>10.1111/brv.12580</t>
  </si>
  <si>
    <t>LJ4KX</t>
  </si>
  <si>
    <t>WOS:000511003600001</t>
  </si>
  <si>
    <t>Selyuzhenok, V; Bashmachnikov, I; Ricker, R; Vesman, A; Bobylev, L</t>
  </si>
  <si>
    <t>Selyuzhenok, Valeria; Bashmachnikov, Igor; Ricker, Robert; Vesman, Anna; Bobylev, Leonid</t>
  </si>
  <si>
    <t>Sea ice volume variability and water temperature in the Greenland Sea</t>
  </si>
  <si>
    <t>WEST SPITSBERGEN CURRENT; MERIDIONAL OVERTURNING CIRCULATION; OPEN-OCEAN CONVECTION; INTERANNUAL VARIABILITY; DENMARK STRAIT; FRAM STRAIT; LABRADOR SEA; NORDIC SEAS; MASS TRANSFORMATION; ATLANTIC WATER</t>
  </si>
  <si>
    <t>This study explores a link between the long-term variations in the integral sea ice volume (SIV) in the Greenland Sea and oceanic processes. Using the Pan-Arctic Ice Ocean Modeling and Assimilation System (PIOMAS, 1979-2016), we show that the increasing sea ice volume flux through Fram Strait goes in parallel with a decrease in SIV in the Greenland Sea. The overall SIV loss in the Greenland Sea is 113 km(3) per decade, while the total SIV import through Fram Strait increases by 115 km(3) per decade. An analysis of the ocean temperature and the mixed-layer depth (MLD) over the climatic mean area of the winter marginal sea ice zone (MIZ) revealed a doubling of the amount of the upper-ocean heat content available for the sea ice melt from 1993 to 2016. This increase alone can explain the SIV loss in the Greenland Sea over the 24-year study period, even when accounting for the increasing SIV flux from the Arctic. The increase in the oceanic heat content is found to be linked to an increase in temperature of the Atlantic Water along the main currents of the Nordic Seas, following an increase in the oceanic heat flux from the subtropical North Atlantic. We argue that the predominantly positive winter North Atlantic Oscillation (NAO) index during the 4 most recent decades, together with an intensification of the deep convection in the Greenland Sea, is responsible for the intensification of the cyclonic circulation pattern in the Nordic Seas, which results in the observed long-term variations in the SIV.</t>
  </si>
  <si>
    <t>[Selyuzhenok, Valeria; Bashmachnikov, Igor; Vesman, Anna; Bobylev, Leonid] Nansen Int Environm &amp; Remote Sensing Ctr, 14 Line VO 7, St Petersburg 199034, Russia; [Selyuzhenok, Valeria; Bashmachnikov, Igor; Vesman, Anna] St Petersburg State Univ, Dept Oceanog, 10 Line VO 33, St Petersburg 199034, Russia; [Ricker, Robert] Helmholtz Zentrum Polar &amp; Meeresforsch, Alfred Wegener Inst, Klumannstr 3d, D-27570 Bremerhaven, Germany; [Vesman, Anna] Arctic &amp; Antarctic Res Inst, Atmosphere Sea Ice Ocean Interact Dept, Bering Str 38, St Petersburg 199397, Russia</t>
  </si>
  <si>
    <t>Nansen Environmental &amp; Remote Sensing Center (NERSC); Saint Petersburg State University; Helmholtz Association; Alfred Wegener Institute, Helmholtz Centre for Polar &amp; Marine Research; Arctic &amp; Antarctic Research Institute</t>
  </si>
  <si>
    <t>Selyuzhenok, V (corresponding author), Nansen Int Environm &amp; Remote Sensing Ctr, 14 Line VO 7, St Petersburg 199034, Russia.;Selyuzhenok, V (corresponding author), St Petersburg State Univ, Dept Oceanog, 10 Line VO 33, St Petersburg 199034, Russia.</t>
  </si>
  <si>
    <t>valeria.selyuzhenok@niersc.spb.ru</t>
  </si>
  <si>
    <t>Selyuzhenok, Valeria/K-8715-2016; Bashmachnikov, Igor/B-2879-2012; Ricker, Robert/Z-4214-2019; Vesman, Anna/ABC-8337-2020</t>
  </si>
  <si>
    <t>Bashmachnikov, Igor/0000-0002-1257-4197; Ricker, Robert/0000-0001-6928-7757; Vesman, Anna/0000-0002-8805-0349; Selyuzhenok, Valeria/0000-0001-9388-5706</t>
  </si>
  <si>
    <t>Russian Science Foundation (RSF) [17-17-01151]; St. Petersburg State University [34824520]; Russian Science Foundation [17-17-01151] Funding Source: Russian Science Foundation</t>
  </si>
  <si>
    <t>Russian Science Foundation (RSF)(Russian Science Foundation (RSF)); St. Petersburg State University; Russian Science Foundation(Russian Science Foundation (RSF))</t>
  </si>
  <si>
    <t>This research has been supported by the Russian Science Foundation (RSF) (grant no. 17-17-01151). Igor Bashmachnikov was also supported through a travel grant from the St. Petersburg State University (grant no. 34824520).</t>
  </si>
  <si>
    <t>10.5194/tc-14-477-2020</t>
  </si>
  <si>
    <t>KK8QL</t>
  </si>
  <si>
    <t>WOS:000513000800003</t>
  </si>
  <si>
    <t>Kiss, AE; Hogg, AM; Hannah, N; Dias, FB; Brassington, GB; Chamberlain, MA; Chapman, C; Dobrohotoff, P; Domingues, CM; Duran, ER; England, MH; Fiedler, R; Griffies, SM; Heerdegen, A; Heil, P; Holmes, RM; Klocker, A; Marsland, SJ; Morrison, AK; Munroe, J; Nikurashin, M; Oke, PR; Pilo, GS; Richet, O; Savita, A; Spence, P; Stewart, KD; Ward, ML; Wu, FH; Zhang, XH</t>
  </si>
  <si>
    <t>Kiss, Andrew E.; Hogg, Andrew McC; Hannah, Nicholas; Dias, Fabio Boeira; Brassington, Gary B.; Chamberlain, Matthew A.; Chapman, Christopher; Dobrohotoff, Peter; Domingues, Catia M.; Duran, Earl R.; England, Matthew H.; Fiedler, Russell; Griffies, Stephen M.; Heerdegen, Aidan; Heil, Petra; Holmes, Ryan M.; Klocker, Andreas; Marsland, Simon J.; Morrison, Adele K.; Munroe, James; Nikurashin, Maxim; Oke, Peter R.; Pilo, Gabriela S.; Richet, Oceane; Savita, Abhishek; Spence, Paul; Stewart, Kial D.; Ward, Marshall L.; Wu, Fanghua; Zhang, Xihan</t>
  </si>
  <si>
    <t>ACCESS-OM2 v1.0: a global ocean-sea ice model at three resolutions</t>
  </si>
  <si>
    <t>MERIDIONAL OVERTURNING CIRCULATION; ANTARCTIC CIRCUMPOLAR CURRENT; EAST AUSTRALIAN CURRENT; PART I; LEVEL VARIABILITY; NUMERICAL-MODEL; CLIMATE-CHANGE; FRESH-WATER; EVP MODEL; TRANSPORT</t>
  </si>
  <si>
    <t>We introduce ACCESS-OM2, a new version of the ocean-sea ice model of the Australian Community Climate and Earth System Simulator. ACCESS-OM2 is driven by a prescribed atmosphere (JRA55-do) but has been designed to form the ocean-sea ice component of the fully coupled (atmosphere-land-ocean-sea ice) ACCESS-CM2 model. Importantly, the model is available at three different horizontal resolutions: a coarse resolution (nominally 1 degrees horizontal grid spacing), an eddy-permitting resolution (nominally 0.25 degrees), and an eddy-rich resolution (0.1 degrees with 75 vertical levels); the eddy-rich model is designed to be incorporated into the Bluelink operational ocean prediction and reanalysis system. The different resolutions have been developed simultaneously, both to allow for testing at lower resolutions and to permit comparison across resolutions. In this paper, the model is introduced and the individual components are documented. The model performance is evaluated across the three different resolutions, highlighting the relative advantages and disadvantages of running ocean-sea ice models at higher resolution. We find that higher resolution is an advantage in resolving flow through small straits, the structure of western boundary currents, and the abyssal overturning cell but that there is scope for improvements in sub-grid-scale parameterizations at the highest resolution.</t>
  </si>
  <si>
    <t>[Kiss, Andrew E.; Hogg, Andrew McC; Heerdegen, Aidan; Morrison, Adele K.; Stewart, Kial D.; Zhang, Xihan] Australian Natl Univ, Res Sch Earth Sci, Canberra, ACT, Australia; [Kiss, Andrew E.; Hogg, Andrew McC; Dias, Fabio Boeira; Domingues, Catia M.; England, Matthew H.; Heerdegen, Aidan; Holmes, Ryan M.; Klocker, Andreas; Marsland, Simon J.; Morrison, Adele K.; Nikurashin, Maxim; Pilo, Gabriela S.; Savita, Abhishek; Spence, Paul; Zhang, Xihan] ARC Ctr Excellence Climate Extremes, Canberra, ACT, Australia; [Hannah, Nicholas] Double Precis, Sydney, NSW, Australia; [Dias, Fabio Boeira; Chamberlain, Matthew A.; Chapman, Christopher; Dobrohotoff, Peter; Fiedler, Russell; Marsland, Simon J.; Oke, Peter R.; Richet, Oceane; Savita, Abhishek] CSIRO Oceans &amp; Atmosphere, Hobart, Tas, Australia; [Dias, Fabio Boeira; Dobrohotoff, Peter; Domingues, Catia M.; Marsland, Simon J.; Nikurashin, Maxim; Pilo, Gabriela S.; Savita, Abhishek] Univ Tasmania, Inst Marine &amp; Antarctic Studies, Hobart, Tas, Australia; [Dias, Fabio Boeira; Domingues, Catia M.; Heil, Petra; Klocker, Andreas; Marsland, Simon J.; Savita, Abhishek] Antarctic Climate &amp; Ecosyst Cooperat Res Ctr, Hobart, Tas, Australia; [Brassington, Gary B.] Bur Meteorol, Melbourne, Vic, Australia; [Duran, Earl R.; England, Matthew H.; Holmes, Ryan M.; Spence, Paul; Stewart, Kial D.] Univ New South Wales, Climate Change Res Ctr, Sydney, NSW, Australia; [Griffies, Stephen M.; Ward, Marshall L.] NOAA, Geophys Fluid Dynam Lab, Princeton, NJ USA; [Griffies, Stephen M.] Princeton Univ, Atmospher &amp; Ocean Sci Program, Princeton, NJ 08544 USA; [Heil, Petra] Australian Antarctic Div, Kingston, Tas, Australia; [Holmes, Ryan M.] Univ New South Wales, Sch Math &amp; Stat, Sydney, NSW, Australia; [Munroe, James] Mem Univ Newfoundland, St John, NF, Canada; [Richet, Oceane] Ctr Southern Hemisphere Ocean Res, Hobart, Tas, Australia; [Ward, Marshall L.] Australian Natl Univ, Natl Computat Infrastruct, Canberra, ACT, Australia; [Wu, Fanghua] Beijing Climate Ctr, Beijing, Peoples R China</t>
  </si>
  <si>
    <t>Australian National University; Commonwealth Scientific &amp; Industrial Research Organisation (CSIRO); University of Tasmania; Antarctic Climate &amp; Ecosystems Cooperative Research Centre (ACE CRC); Bureau of Meteorology - Australia; University of New South Wales Sydney; National Oceanic Atmospheric Admin (NOAA) - USA; National Oceanic Atmospheric Admin (NOAA) - USA; Princeton University; Australian Antarctic Division; University of New South Wales Sydney; Memorial University Newfoundland; Australian National University</t>
  </si>
  <si>
    <t>Kiss, AE (corresponding author), Australian Natl Univ, Res Sch Earth Sci, Canberra, ACT, Australia.;Kiss, AE (corresponding author), ARC Ctr Excellence Climate Extremes, Canberra, ACT, Australia.</t>
  </si>
  <si>
    <t>andrew.kiss@anu.edu.au</t>
  </si>
  <si>
    <t>Hogg, Andy/AAZ-8733-2021; Stewart, Kial D/P-6684-2016; Oke, Peter R/C-5127-2011; Kiss, Andrew E/E-7733-2016; Griffies, Stephen Matthew/N-9144-2019; Chamberlain, Matthew/D-4805-2012; Hogg, Andy McC./A-7553-2011; Domingues, Catia M./A-2901-2015; Spence, Paul/IZE-7366-2023; Holmes, Ryan/J-3024-2019; Chapman, Christopher/AAV-2844-2021; Dobrohotoff, Peter B/I-1550-2017; Marsland, Simon J/A-1453-2012; England, Matthew/A-7539-2011; Morrison, Adele/C-1774-2012; Munroe, James/B-7456-2015; Klocker, Andreas/E-4632-2011</t>
  </si>
  <si>
    <t>Hogg, Andy/0000-0001-5898-7635; Kiss, Andrew E/0000-0001-8960-9557; Griffies, Stephen Matthew/0000-0002-3711-236X; Hogg, Andy McC./0000-0001-5898-7635; Domingues, Catia M./0000-0001-5100-4595; Spence, Paul/0000-0001-5156-2204; Holmes, Ryan/0000-0002-6799-9109; Chapman, Christopher/0000-0002-0877-4778; Marsland, Simon J/0000-0002-5664-5276; England, Matthew/0000-0001-9696-2930; Morrison, Adele/0000-0002-9904-4980; Munroe, James/0000-0001-9098-6309; Pilo, Gabriela/0000-0002-8590-8645; Nikurashin, Maxim/0000-0002-5714-8343; Savita, Abhishek/0000-0003-2800-3636; Brassington, Gary/0000-0002-4227-3221; Boeira Dias, Fabio/0000-0002-2965-2120; Klocker, Andreas/0000-0002-2038-7922</t>
  </si>
  <si>
    <t>Australian Research Council [LP160100073, CE170100023, FT13101532, DP160103130, DE170100184]; International Space Science Institute [406]; Australian Antarctic Science [4301, 4390]; Australian Research Council [DE170100184, LP160100073] Funding Source: Australian Research Council</t>
  </si>
  <si>
    <t>Australian Research Council(Australian Research Council); International Space Science Institute; Australian Antarctic Science; Australian Research Council(Australian Research Council)</t>
  </si>
  <si>
    <t>This research has been supported by the Australian Research Council (grant nos. LP160100073, CE170100023, FT13101532, DP160103130 and DE170100184), the International Space Science Institute (grant no. 406), and the Australian Antarctic Science (grant nos. 4301 and 4390).</t>
  </si>
  <si>
    <t>10.5194/gmd-13-401-2020</t>
  </si>
  <si>
    <t>KK8QC</t>
  </si>
  <si>
    <t>gold, Green Submitted, Green Accepted</t>
  </si>
  <si>
    <t>WOS:000512999900002</t>
  </si>
  <si>
    <t>Song, GS; Wang, HX; Zhang, MN; Zhang, YP; Wang, HH; Yu, XN; Wang, J; Shen, Q</t>
  </si>
  <si>
    <t>Song, Gongshuai; Wang, Haixing; Zhang, Mengna; Zhang, Yanping; Wang, Honghai; Yu, Xina; Wang, Jie; Shen, Qing</t>
  </si>
  <si>
    <t>Real-Time Monitoring of the Oxidation Characteristics of Antarctic Krill Oil (Euphausia superba) during Storage by Electric Soldering Iron Ionization Mass Spectrometry-Based Lipidomics</t>
  </si>
  <si>
    <t>JOURNAL OF AGRICULTURAL AND FOOD CHEMISTRY</t>
  </si>
  <si>
    <t>Antarctic krill oil; ESII-REIMS; oxidation characteristic; multivariate analysis model; lipidomics</t>
  </si>
  <si>
    <t>SOLID-PHASE EXTRACTION; MARINE OILS; FATTY-ACIDS; FISH-OIL; PHOSPHOLIPIDS; TEMPERATURE; DIGESTION; PRODUCTS; LIPIDS; WATER</t>
  </si>
  <si>
    <t>Antarctic krill oil (AKO) is susceptible to oxidation due to the high unsaturation degree of bioactive substances. Herein, a lipidomics method for in situ monitoring of the dynamic oxidation characteristics in AKO was explored based on electric soldering iron ion source (ESII) coupling with rapid evaporative ionization mass spectrometry (REIMS). The lipidomics profiles of AKO at different storage periods were successfully acquired. On the basis of principal component analysis and orthogonal partial least-squares analysis, the obtained REIMS data were employed to build a multivariate recognition model. The ions of m/z 707.50, 721.50, 833.49, and 837.54 contributed the most significant effect on the multivariate data model for the authentication of different AKO samples. Besides, the variation of viscosity, astaxanthin, and volatile compounds were also evaluated to corroborate the oxidation characteristics. The results indicated that the ESII-REIMS technology could be applied as an advanced rapid detection method to secure oil and fat quality during storage.</t>
  </si>
  <si>
    <t>[Song, Gongshuai; Zhang, Mengna; Zhang, Yanping; Wang, Honghai; Yu, Xina; Wang, Jie; Shen, Qing] Zhejiang Gongshang Univ, Collaborat Innovat Ctr Seafood Deep Proc, Inst Seafood, Zhejiang Prov Joint Key Lab Aquat Prod Proc, Hangzhou 310018, Zhejiang, Peoples R China; [Wang, Haixing] Wenzhou Med Univ, Affiliated Hosp 2, Zhejiang Prov Key Lab Anesthesiol, Wenzhou 325035, Peoples R China; [Wang, Haixing] Wenzhou Med Univ, Yuying Childrens Hosp, Wenzhou 325035, Peoples R China</t>
  </si>
  <si>
    <t>Zhejiang Gongshang University; Wenzhou Medical University; Wenzhou Medical University</t>
  </si>
  <si>
    <t>Shen, Q (corresponding author), Zhejiang Gongshang Univ, Collaborat Innovat Ctr Seafood Deep Proc, Inst Seafood, Zhejiang Prov Joint Key Lab Aquat Prod Proc, Hangzhou 310018, Zhejiang, Peoples R China.</t>
  </si>
  <si>
    <t>leonqshen@163.com</t>
  </si>
  <si>
    <t>ZHANG, MENGQI/KBB-9340-2024; Zhang, Yanping/GNP-7511-2022; zhang, meng/JMB-0951-2023; Liu, Yiqi/KFR-3869-2024</t>
  </si>
  <si>
    <t>Zhang, Yanping/0000-0002-4190-7026; Wang, Haixing/0000-0003-4846-8449</t>
  </si>
  <si>
    <t>National Key R&amp;D Program of China [2018YFD0901103]; Zhejiang Provincial Public Welfare Technology Research Project [LGN18C200001, LGN20C200006]; National Science Foundation of Zhejiang Province [LY19C190001]; Graduate Innovation Fund of Zhejiang Gongshang University [18020080018]</t>
  </si>
  <si>
    <t>National Key R&amp;D Program of China; Zhejiang Provincial Public Welfare Technology Research Project; National Science Foundation of Zhejiang Province; Graduate Innovation Fund of Zhejiang Gongshang University</t>
  </si>
  <si>
    <t>This work was supported by the National Key R&amp;D Program of China (2018YFD0901103), the Zhejiang Provincial Public Welfare Technology Research Project (LGN18C200001, LGN20C200006), National Science Foundation of Zhejiang Province (LY19C190001), and Graduate Innovation Fund of Zhejiang Gongshang University (18020080018).</t>
  </si>
  <si>
    <t>0021-8561</t>
  </si>
  <si>
    <t>1520-5118</t>
  </si>
  <si>
    <t>J AGR FOOD CHEM</t>
  </si>
  <si>
    <t>J. Agric. Food Chem.</t>
  </si>
  <si>
    <t>10.1021/acs.jafc.9b07370</t>
  </si>
  <si>
    <t>Agriculture, Multidisciplinary; Chemistry, Applied; Food Science &amp; Technology</t>
  </si>
  <si>
    <t>Agriculture; Chemistry; Food Science &amp; Technology</t>
  </si>
  <si>
    <t>KJ7FB</t>
  </si>
  <si>
    <t>WOS:000512222600030</t>
  </si>
  <si>
    <t>Wellard, R; Pitman, RL; Durban, J; Erbe, C</t>
  </si>
  <si>
    <t>Wellard, Rebecca; Pitman, Robert L.; Durban, John; Erbe, Christine</t>
  </si>
  <si>
    <t>Cold call: the acoustic repertoire of Ross Sea killer whales (Orcinus orca, Type C) in McMurdo Sound, Antarctica</t>
  </si>
  <si>
    <t>ROYAL SOCIETY OPEN SCIENCE</t>
  </si>
  <si>
    <t>killer whale; Orcinus orca; bioacoustics; call repertoire; Ross Sea; Antarctica</t>
  </si>
  <si>
    <t>NONLINEAR PHENOMENA; VOCAL BEHAVIOR; STEREOTYPED CALLS; VANCOUVER-ISLAND; TOP PREDATORS; PATTERNS; WHISTLES; ECHOLOCATION; SIGNALS; WATERS</t>
  </si>
  <si>
    <t>Killer whales (Orcinus orca) are top marine predators occurring globally. In Antarctic waters, five ecotypes have been described, with Type C being the smallest form of killer whale known. Acoustic recordings of nine encounters of Type C killer whales were collected in 2012 and 2013 in McMurdo Sound, Ross Sea. In a combined 3.5 h of recordings, 6386 killer whale vocalizations were detected and graded based on their signal-to-noise ratio. Spectrograms of the highest-quality calls were examined for characteristic patterns yielding a catalogue of 28 call types (comprising 1250 calls). Acoustic parameters of each call were measured and summarized by call type. Type C killer whales produced complex calls, consisting of multiple frequency-modulated, amplitude-modulated and pulsed components. Often, two components occurred simultaneously, forming a biphonation; although the biphonic components did not necessarily start and end together, with one component lasting over several others. The addition and deletion of components yielded call subtypes. Call complexity appears stable over time and may be related to feeding ecology. Characterization of the Type C acoustic repertoire is an important step for the development of passive acoustic monitoring of the diverse assemblage of killer whale ecotypes in Antarctica's rapidly changing marine ecosystems.</t>
  </si>
  <si>
    <t>[Wellard, Rebecca; Erbe, Christine] Curtin Univ, Ctr Marine Sci &amp; Technol, GPO Box U1987, Perth, WA 6845, Australia; [Wellard, Rebecca] Project ORCA, Perth, WA 6026, Australia; [Pitman, Robert L.] Natl Marine Fisheries Serv, Antarctic Ecosyst Res Div, Southwest Fisheries Sci Ctr, 8901 La Jolla Shores Dr, La Jolla, CA 92037 USA; [Durban, John] Natl Marine Fisheries Serv, Marine Mammal &amp; Turtle Div, Southwest Fisheries Sci Ctr, 8901 La Jolla Shores Dr, La Jolla, CA 92037 USA; [Pitman, Robert L.] Oregon State Univ, Marine Mammal Inst, 2030 SE Marine Sci Dr, Newport, OR 97365 USA</t>
  </si>
  <si>
    <t>Curtin University; National Oceanic Atmospheric Admin (NOAA) - USA; National Oceanic Atmospheric Admin (NOAA) - USA; Oregon State University</t>
  </si>
  <si>
    <t>Wellard, R (corresponding author), Curtin Univ, Ctr Marine Sci &amp; Technol, GPO Box U1987, Perth, WA 6845, Australia.;Wellard, R (corresponding author), Project ORCA, Perth, WA 6026, Australia.</t>
  </si>
  <si>
    <t>becwellard@gmail.com</t>
  </si>
  <si>
    <t>Wellard, Rebecca/AAW-7310-2020; Erbe, Christine/AAA-3801-2021</t>
  </si>
  <si>
    <t>Erbe, Christine/0000-0002-7884-9907; Wellard, Rebecca/0000-0001-8427-564X; Pitman, Robert/0000-0002-8713-1219</t>
  </si>
  <si>
    <t>US National Science Foundation [ANT-0944747]; Australian Postgraduate Award; Australian Acoustical Society Education grant</t>
  </si>
  <si>
    <t>US National Science Foundation(National Science Foundation (NSF)); Australian Postgraduate Award(Australian Government); Australian Acoustical Society Education grant</t>
  </si>
  <si>
    <t>Part of this work was supported by the US National Science Foundation under a grant to Stacy Kim (grant no. ANT-0944747); R.W. was the recipient of an Australian Postgraduate Award and an Australian Acoustical Society Education grant supporting data analysis and publication.</t>
  </si>
  <si>
    <t>ROYAL SOC</t>
  </si>
  <si>
    <t>6-9 CARLTON HOUSE TERRACE, LONDON SW1Y 5AG, ENGLAND</t>
  </si>
  <si>
    <t>2054-5703</t>
  </si>
  <si>
    <t>ROY SOC OPEN SCI</t>
  </si>
  <si>
    <t>R. Soc. Open Sci.</t>
  </si>
  <si>
    <t>10.1098/rsos.191228</t>
  </si>
  <si>
    <t>KI5JE</t>
  </si>
  <si>
    <t>WOS:000511385100007</t>
  </si>
  <si>
    <t>McQuillan, RV; Stevens, GW; Mumford, KA</t>
  </si>
  <si>
    <t>McQuillan, Rebecca V.; Stevens, Geoffrey W.; Mumford, Kathryn A.</t>
  </si>
  <si>
    <t>Electrochemical removal of naphthalene from contaminated waters using carbon electrodes, and viability for environmental deployment</t>
  </si>
  <si>
    <t>JOURNAL OF HAZARDOUS MATERIALS</t>
  </si>
  <si>
    <t>Wastewater treatment; Active chlorine; Active electrode; Environmental remediation</t>
  </si>
  <si>
    <t>BORON-DOPED DIAMOND; ADVANCED OXIDATION PROCESSES; WASTE-WATER; ORGANIC POLLUTANTS; LANDFILL LEACHATE; LIMITING CURRENT; SCALE-UP; DEGRADATION; ELECTROOXIDATION; WASTEWATERS</t>
  </si>
  <si>
    <t>This work assesses the potential of electrochemical technologies for the treatment of groundwaters contaminated with petroleum hydrocarbons. Specific consideration was given to deployment in Antarctic regions where numerous fuel spills have occurred over the last two centuries, and resources and manual labour for remediation efforts are limited. The polycyclic aromatic hydrocarbon, naphthalene, was a used as a model contaminant and was treated with low-cost, active carbon electrodes to promote the active chlorine degradation pathway. Results showed that 20 mg/L naphthalene solutions could be treated to sufficient standards in less than 3 h of treatment, and that the formation of toxic and chlorinated by-products is not an issue of concern if the appropriate timeframes are used (4 h of treatment). The effects of the applied current (0-160 mA) and electrolyte concentration (0.01-0.1 M NaCl) were evaluated and a dynamic kinetic model proposed and found to be in good agreement with the experimental results. The energy consumption is an important limitation in remote environmental regions where resources are scarce. It was found that an energy usage of 104 kW h/kg of naphthalene removed could be achieved.</t>
  </si>
  <si>
    <t>[McQuillan, Rebecca V.; Stevens, Geoffrey W.; Mumford, Kathryn A.] Univ Melbourne, Dept Chem Engn, Parkville, Vic 3010, Australia</t>
  </si>
  <si>
    <t>University of Melbourne</t>
  </si>
  <si>
    <t>Mumford, KA (corresponding author), Univ Melbourne, Bldg 165, Parkville, Vic 3010, Australia.</t>
  </si>
  <si>
    <t>mumfordk@unimelb.edu.au</t>
  </si>
  <si>
    <t>Mumford, Kathryn/0000-0002-7056-5600; McQuillan, Rebecca/0000-0003-4147-8353; Stevens, Geoffrey/0000-0002-5788-4682</t>
  </si>
  <si>
    <t>Australian Antarctic Science Project [[4036]]</t>
  </si>
  <si>
    <t>Australian Antarctic Science Project</t>
  </si>
  <si>
    <t>This work was supported by the Australian Antarctic Science Project [4036].</t>
  </si>
  <si>
    <t>0304-3894</t>
  </si>
  <si>
    <t>1873-3336</t>
  </si>
  <si>
    <t>J HAZARD MATER</t>
  </si>
  <si>
    <t>J. Hazard. Mater.</t>
  </si>
  <si>
    <t>10.1016/j.jhazmat.2019.121244</t>
  </si>
  <si>
    <t>JW2KZ</t>
  </si>
  <si>
    <t>WOS:000502887900093</t>
  </si>
  <si>
    <t>Müller, MN; Mardones, JI; Dorantes-Aranda, JJ</t>
  </si>
  <si>
    <t>Mueller, Marius N.; Mardones, Jorge I.; Dorantes-Aranda, Juan J.</t>
  </si>
  <si>
    <t>Editorial: Harmful Algal Blooms (HABs) in Latin America</t>
  </si>
  <si>
    <t>field and laboratory studies; future perspectives; water quality; dinoflagellates; research community and collaboration; toxicity; monitoring; ichthyotoxicity</t>
  </si>
  <si>
    <t>[Mueller, Marius N.] Univ Fed Pernambuco, Dept Oceanog, Recife, PE, Brazil; [Mardones, Jorge I.] Inst Fomento Pesquero IFOP, Ctr Estudios Algas Nocivas CREAN, Puerto Montt, Chile; [Dorantes-Aranda, Juan J.] Univ Tasmania, Inst Marine &amp; Antarctic Studies, Hobart, Tas, Australia</t>
  </si>
  <si>
    <t>Universidade Federal de Pernambuco; Instituto de Fomento Pesquero (Valparaiso); University of Tasmania</t>
  </si>
  <si>
    <t>Müller, MN (corresponding author), Univ Fed Pernambuco, Dept Oceanog, Recife, PE, Brazil.</t>
  </si>
  <si>
    <t>mariusnmuller@gmail.com</t>
  </si>
  <si>
    <t>Dorantes-Aranda, Juan Jose/J-7737-2014; Müller, Marius Nils/N-9338-2014</t>
  </si>
  <si>
    <t>Dorantes-Aranda, Juan J./0000-0003-1513-6501</t>
  </si>
  <si>
    <t>FEB 4</t>
  </si>
  <si>
    <t>10.3389/fmars.2020.00034</t>
  </si>
  <si>
    <t>KH6LW</t>
  </si>
  <si>
    <t>WOS:000510764000001</t>
  </si>
  <si>
    <t>Sotiropoulou, G; Sullivan, S; Savre, J; Lloyd, G; Lachlan-Cope, T; Ekman, AML; Nenes, A</t>
  </si>
  <si>
    <t>Sotiropoulou, Georgia; Sullivan, Sylvia; Savre, Julien; Lloyd, Gary; Lachlan-Cope, Thomas; Ekman, Annica M. L.; Nenes, Athanasios</t>
  </si>
  <si>
    <t>The impact of secondary ice production on Arctic stratocumulus</t>
  </si>
  <si>
    <t>MIXED-PHASE CLOUDS; STRATIFORM CLOUDS; BREAK-UP; MICROPHYSICS; PARAMETERIZATION; PARTICLES; CUMULUS; SUMMER; SCHEME; MODEL</t>
  </si>
  <si>
    <t>In situ measurements of Arctic clouds frequently show that ice crystal number concentrations (ICNCs) are much higher than the number of available ice-nucleating particles (INPs), suggesting that secondary ice production (SIP) may be active. Here we use a Lagrangian parcel model (LPM) and a large-eddy simulation (LES) to investigate the impact of three SIP mechanisms (rime splintering, breakup from ice-ice collisions and drop shattering) on a summer Arctic stratocumulus case observed during the Aerosol-Cloud Coupling And Climate Interactions in the Arctic (AC-CACIA) campaign. Primary ice alone cannot explain the observed ICNCs, and drop shattering is ineffective in the examined conditions. Only the combination of both rime splintering (RS) and collisional break-up (BR) can explain the observed ICNCs, since both of these mechanisms are weak when activated alone. In contrast to RS, BR is currently not represented in large-scale models; however our results indicate that this may also be a critical ice-multiplication mechanism. In general, low sensitivity of the ICNCs to the assumed INP, to the cloud condensation nuclei (CCN) conditions and also to the choice of BR parameterization is found. Finally, we show that a simplified treatment of SIP, using a LPM constrained by a LES and/or observations, provides a realistic yet computationally efficient way to study SIP effects on clouds. This method can eventually serve as a way to parameterize SIP processes in large-scale models.</t>
  </si>
  <si>
    <t>[Sotiropoulou, Georgia; Nenes, Athanasios] Ecole Polytech Fed Lausanne, Sch Architecture Civil &amp; Environm Engn, Lab Atmospher Proc &amp; Their Impacts, CH-1015 Lausanne, Switzerland; [Sullivan, Sylvia] Columbia Univ, Dept Earth &amp; Environm Engn, New York, NY 10027 USA; [Savre, Julien] Ludwig Maximilians Univ Munchen, Fac Phys, Meteorol Inst, Munich, Germany; [Lloyd, Gary] Univ Manchester, Ctr Atmospher Sci, Manchester M139P, Lancs, England; [Lachlan-Cope, Thomas] British Antarctic Survey, Cambridge CB3 0ET, England; [Ekman, Annica M. L.] Stockholm Univ, Dept Meteorol, Bolin Ctr Climate Res, S-11419 Stockholm, Sweden; [Nenes, Athanasios] Fdn Res &amp; Technol Hellas, Inst Chem Engn Sci, Patras 26504, Greece</t>
  </si>
  <si>
    <t>Swiss Federal Institutes of Technology Domain; Ecole Polytechnique Federale de Lausanne; Columbia University; University of Munich; University of Manchester; UK Research &amp; Innovation (UKRI); Natural Environment Research Council (NERC); NERC British Antarctic Survey; Stockholm University; Foundation for Research &amp; Technology - Hellas (FORTH); Institute of Chemical Engineering Sciences (ICE-HT)</t>
  </si>
  <si>
    <t>Sotiropoulou, G; Nenes, A (corresponding author), Ecole Polytech Fed Lausanne, Sch Architecture Civil &amp; Environm Engn, Lab Atmospher Proc &amp; Their Impacts, CH-1015 Lausanne, Switzerland.;Nenes, A (corresponding author), Fdn Res &amp; Technol Hellas, Inst Chem Engn Sci, Patras 26504, Greece.</t>
  </si>
  <si>
    <t>georgia.sotiropoulou@epfl.ch; athanasios.nenes@epfl.ch</t>
  </si>
  <si>
    <t>Sotiropoulou, Georgia/AAC-8515-2019; Nenes, Athanasios/ABE-6478-2020; Ekman, Annica/D-7004-2017</t>
  </si>
  <si>
    <t>Nenes, Athanasios/0000-0003-3873-9970; Lloyd, Gary/0000-0003-2353-0891; Ekman, Annica/0000-0002-5940-2114; Sullivan, Sylvia/0000-0003-0203-3052</t>
  </si>
  <si>
    <t>H2020-EU.1.1. [726165]; NERC [bas0100032, NE/I028653/1] Funding Source: UKRI</t>
  </si>
  <si>
    <t>H2020-EU.1.1.; NERC(UK Research &amp; Innovation (UKRI)Natural Environment Research Council (NERC))</t>
  </si>
  <si>
    <t>This research has been supported by the H2020-EU.1.1. (grant no. 726165).</t>
  </si>
  <si>
    <t>10.5194/acp-20-1301-2020</t>
  </si>
  <si>
    <t>KJ8OL</t>
  </si>
  <si>
    <t>WOS:000512315200003</t>
  </si>
  <si>
    <t>Wang, HL; Fyke, JG; Lenaerts, JTM; Nusbaumer, JM; Singh, H; Noone, D; Rasch, PJ; Zhang, RD</t>
  </si>
  <si>
    <t>Wang, Hailong; Fyke, Jeremy G.; Lenaerts, Jan T. M.; Nusbaumer, Jesse M.; Singh, Hansi; Noone, David; Rasch, Philip J.; Zhang, Rudong</t>
  </si>
  <si>
    <t>Influence of sea-ice anomalies on Antarctic precipitation using source attribution in the Community Earth System Model</t>
  </si>
  <si>
    <t>SURFACE MASS-BALANCE; CLIMATE-CHANGE; ATMOSPHERIC RESPONSE; SNOW ACCUMULATION; PART II; MOISTURE; FRAMEWORK; CYCLE; ORIGIN; IMPACT</t>
  </si>
  <si>
    <t>We conduct sensitivity experiments using a general circulation model that has an explicit water source tagging capability forced by prescribed composites of preindustrial sea-ice concentrations (SICs) and corresponding sea surface temperatures (SSTs) to understand the impact of sea-ice anomalies on regional evaporation, moisture transport and source-receptor relationships for Antarctic precipitation in the absence of anthropogenic forcing. Surface sensible heat fluxes, evaporation and column-integrated water vapor are larger over Southern Ocean (SO) areas with lower SICs. Changes in Antarctic precipitation and its source attribution with SICs have a strong spatial variability. Among the tagged source regions, the Southern Ocean (south of 50 degrees S) contributes the most (40 %) to the Antarctic total precipitation, followed by more northerly ocean basins, most notably the South Pacific Ocean (27%), southern Indian Ocean (16 %) and South Atlantic Ocean (11 %). Comparing two experiments prescribed with high and low pre-industrial SICs, respectively, the annual mean Antarctic precipitation is about 150 Gt yr(-1) (or 6 %) more in the lower SIC case than in the higher SIC case. This difference is larger than the modelsimulated interannual variability in Antarctic precipitation (99 Gt yr(-1)). The contrast in contribution from the Southern Ocean, 102 Gt yr(-1), is even more significant compared to the interannual variability of 35 Gt yr(-1) in Antarctic precipitation that originates from the Southern Ocean. The horizontal transport pathways from individual vapor source regions to Antarctica are largely determined by large-scale atmospheric circulation patterns. Vapor from lower-latitude source regions takes elevated pathways to Antarctica. In contrast, vapor from the Southern Ocean moves southward within the lower troposphere to the Antarctic continent along moist isentropes that are largely shaped by local ambient conditions and coastal topography. This study also highlights the importance of atmospheric dynamics in affecting the thermodynamic impact of sea-ice anomalies associated with natural variability on Antarctic precipitation. Our analyses of the seasonal contrast in changes of basin-scale evaporation, moisture flux and precipitation suggest that the impact of SIC anomalies on regional Antarctic precipitation depends on dynamic changes that arise from SIC-SST perturbations along with internal variability. The latter appears to have a more significant effect on the moisture transport in austral winter than in summer.</t>
  </si>
  <si>
    <t>[Wang, Hailong; Singh, Hansi; Rasch, Philip J.; Zhang, Rudong] Pacific Northwest Natl Lab, Richland, WA 99352 USA; [Fyke, Jeremy G.] Los Alamos Natl Lab, Los Alamos, NM USA; [Fyke, Jeremy G.] Associated Engn, Vernon, BC, Canada; [Lenaerts, Jan T. M.] Univ Colorado, Dept Atmospher &amp; Ocean Sci, Boulder, CO 80309 USA; [Nusbaumer, Jesse M.] NASA, Goddard Inst Space Studies, New York, NY 10025 USA; [Nusbaumer, Jesse M.] Columbia Univ, Ctr Climate Syst Res, New York, NY USA; [Noone, David] Oregon State Univ, Coll Earth Ocean &amp; Atmospher Sci, Corvallis, OR 97331 USA; [Nusbaumer, Jesse M.] Natl Ctr Atmospher Res, POB 3000, Boulder, CO 80307 USA; [Singh, Hansi] Univ Victoria, Sch Earth &amp; Ocean Sci, Victoria, BC, Canada</t>
  </si>
  <si>
    <t>United States Department of Energy (DOE); Pacific Northwest National Laboratory; United States Department of Energy (DOE); Los Alamos National Laboratory; University of Colorado System; University of Colorado Boulder; National Aeronautics &amp; Space Administration (NASA); NASA Goddard Space Flight Center; Goddard Institute for Space Studies; Columbia University; Oregon State University; National Center Atmospheric Research (NCAR) - USA; University of Victoria</t>
  </si>
  <si>
    <t>Wang, HL (corresponding author), Pacific Northwest Natl Lab, Richland, WA 99352 USA.</t>
  </si>
  <si>
    <t>hailong.wang@pnnl.gov</t>
  </si>
  <si>
    <t>Lenaerts, Jan/D-9423-2012; Rasch, Philip J/F-7978-2018; Wang, Hailong/AAM-1464-2021</t>
  </si>
  <si>
    <t>Lenaerts, Jan/0000-0003-4309-4011; Wang, Hailong/0000-0002-1994-4402; Fyke, Jeremy/0000-0002-4522-3019; Nusbaumer, Jesse/0000-0002-4370-3537</t>
  </si>
  <si>
    <t>US Department of Energy, Office of Science [DE-AC05-76RLO1830]</t>
  </si>
  <si>
    <t>US Department of Energy, Office of Science(United States Department of Energy (DOE))</t>
  </si>
  <si>
    <t>This research has been supported by the US Department of Energy, Office of Science (grant no. DE-AC05-76RLO1830).</t>
  </si>
  <si>
    <t>10.5194/tc-14-429-2020</t>
  </si>
  <si>
    <t>KJ8OO</t>
  </si>
  <si>
    <t>WOS:000512315500002</t>
  </si>
  <si>
    <t>Goo, MH; Kim, JH; Park, H; Lee, JH; Youn, UJ</t>
  </si>
  <si>
    <t>Goo, Man Hyung; Kim, Ji Hee; Park, Hyun; Lee, Jun Hyuck; Youn, Ui Joung</t>
  </si>
  <si>
    <t>Two New Phenolic Compounds from the Antarctic Lichen Pertusaria dactylina</t>
  </si>
  <si>
    <t>CHEMISTRY OF NATURAL COMPOUNDS</t>
  </si>
  <si>
    <t>Pertusaria dactylina; Antarctic lichen; Pertusariaceae; phenolic compounds</t>
  </si>
  <si>
    <t>ACID</t>
  </si>
  <si>
    <t>Two new phenolic compounds, methyl 2-hydroxy-4-methoxy-6-(2-oxopentyl)-benzoate (1) and 4-methoxy-6-pentyl-1,2-dihydroxybenzene (2), together with two known phenolic derivatives, were isolated from the Antarctic lichen Pertusaria dactylina (Pertusariaceae). The structures of the new compounds were determined by 1D and 2D NMR and HR-MS experiments, as well as by comparison of their data with the published values.</t>
  </si>
  <si>
    <t>[Goo, Man Hyung; Park, Hyun; Lee, Jun Hyuck] Korea Polar Res Inst, Unit Polar Genom, Incheon 21990, South Korea; [Kim, Ji Hee; Youn, Ui Joung] Korea Polar Res Inst, Div Life Sci, KIOST, Incheon 21990, South Korea; [Park, Hyun; Lee, Jun Hyuck; Youn, Ui Joung] Univ Sci &amp; Technol, Dept Polar Sci, Incheon 21990, South Korea</t>
  </si>
  <si>
    <t>Korea Polar Research Institute (KOPRI); Korea Institute of Ocean Science &amp; Technology (KIOST); Korea Polar Research Institute (KOPRI)</t>
  </si>
  <si>
    <t>Youn, UJ (corresponding author), Korea Polar Res Inst, Div Life Sci, KIOST, Incheon 21990, South Korea.;Youn, UJ (corresponding author), Univ Sci &amp; Technol, Dept Polar Sci, Incheon 21990, South Korea.</t>
  </si>
  <si>
    <t>Park, Hyun/0000-0002-8055-2010</t>
  </si>
  <si>
    <t>[PE19210]</t>
  </si>
  <si>
    <t>This work was supported by a grant to the Korea Polar Research Institute, KOPRI, under project PE19210. We thank H. S. Shin, National Center for Inter-University Research Facilities, Seoul National University, for the provision of the mass spectrometry facility used in this study.</t>
  </si>
  <si>
    <t>0009-3130</t>
  </si>
  <si>
    <t>1573-8388</t>
  </si>
  <si>
    <t>CHEM NAT COMPD+</t>
  </si>
  <si>
    <t>Chem. Nat. Compd.</t>
  </si>
  <si>
    <t>10.1007/s10600-020-02936-0</t>
  </si>
  <si>
    <t>Chemistry, Medicinal; Chemistry, Organic</t>
  </si>
  <si>
    <t>Pharmacology &amp; Pharmacy; Chemistry</t>
  </si>
  <si>
    <t>KQ6YA</t>
  </si>
  <si>
    <t>WOS:000511078600005</t>
  </si>
  <si>
    <t>Carneiro, APB; Pearmain, EJ; Oppel, S; Clay, TA; Phillips, RA; Bonnet-Lebrun, AS; Wanless, RM; Abraham, E; Richard, Y; Rice, J; Handley, J; Davies, TE; Dilley, BJ; Ryan, PG; Small, C; Arata, J; Arnould, JPY; Bell, E; Bugoni, L; Campioni, L; Catry, P; Cleeland, J; Deppe, L; Elliott, G; Freeman, A; González-Solís, J; Granadeiro, JP; Grémillet, D; Landers, TJ; Makhado, A; Nel, D; Nicholls, DG; Rexer-Huber, K; Robertson, CJR; Sagar, PM; Scofield, P; Stahl, JC; Stanworth, A; Stevens, KL; Trathan, PN; Thompson, DR; Torres, L; Walker, K; Waugh, SM; Weimerskirch, H; Dias, MP</t>
  </si>
  <si>
    <t>Carneiro, Ana P. B.; Pearmain, Elizabeth J.; Oppel, Steffen; Clay, Thomas A.; Phillips, Richard A.; Bonnet-Lebrun, Anne-Sophie; Wanless, Ross M.; Abraham, Edward; Richard, Yvan; Rice, Joel; Handley, Jonathan; Davies, Tammy E.; Dilley, Ben J.; Ryan, Peter G.; Small, Cleo; Arata, Javier; Arnould, John P. Y.; Bell, Elizabeth; Bugoni, Leandro; Campioni, Letizia; Catry, Paulo; Cleeland, Jaimie; Deppe, Lorna; Elliott, Graeme; Freeman, Amanda; Gonzalez-Solis, Jacob; Granadeiro, Jose Pedro; Gremillet, David; Landers, Todd J.; Makhado, Azwianewi; Nel, Deon; Nicholls, David G.; Rexer-Huber, Kalinka; Robertson, Christopher J. R.; Sagar, Paul M.; Scofield, Paul; Stahl, Jean-Claude; Stanworth, Andrew; Stevens, Kim L.; Trathan, Philip N.; Thompson, David R.; Torres, Leigh; Walker, Kath; Waugh, Susan M.; Weimerskirch, Henri; Dias, Maria P.</t>
  </si>
  <si>
    <t>A framework for mapping the distribution of seabirds by integrating tracking, demography and phenology</t>
  </si>
  <si>
    <t>JOURNAL OF APPLIED ECOLOGY</t>
  </si>
  <si>
    <t>albatrosses; at-sea threats; conservation; distributions; longline fisheries; megafauna; petrels; seabird density</t>
  </si>
  <si>
    <t>GLOBAL PATTERNS; WANDERING ALBATROSSES; MARINE; SEA; CONSERVATION; MANAGEMENT; FISHERY; BYCATCH; LIFE; VARIABILITY</t>
  </si>
  <si>
    <t>The identification of geographic areas where the densities of animals are highest across their annual cycles is a crucial step in conservation planning. In marine environments, however, it can be particularly difficult to map the distribution of species, and the methods used are usually biased towards adults, neglecting the distribution of other life-history stages even though they can represent a substantial proportion of the total population. Here we develop a methodological framework for estimating population-level density distributions of seabirds, integrating tracking data across the main life-history stages (adult breeders and non-breeders, juveniles and immatures). We incorporate demographic information (adult and juvenile/immature survival, breeding frequency and success, age at first breeding) and phenological data (average timing of breeding and migration) to weight distribution maps according to the proportion of the population represented by each life-history stage. We demonstrate the utility of this framework by applying it to 22 species of albatrosses and petrels that are of conservation concern due to interactions with fisheries. Because juveniles, immatures and non-breeding adults account for 47%-81% of all individuals of the populations analysed, ignoring the distributions of birds in these stages leads to biased estimates of overlap with threats, and may misdirect management and conservation efforts. Population-level distribution maps using only adult distributions underestimated exposure to longline fishing effort by 18%-42%, compared with overlap scores based on data from all life-history stages. Synthesis and applications. Our framework synthesizes and improves on previous approaches to estimate seabird densities at sea, is applicable for data-poor situations, and provides a standard and repeatable method that can be easily updated as new tracking and demographic data become available. We provide scripts in the R language and a Shiny app to facilitate future applications of our approach. We recommend that where sufficient tracking data are available, this framework be used to assess overlap of seabirds with at-sea threats such as overharvesting, fisheries bycatch, shipping, offshore industry and pollutants. Based on such an analysis, conservation interventions could be directed towards areas where they have the greatest impact on populations.</t>
  </si>
  <si>
    <t>[Carneiro, Ana P. B.; Pearmain, Elizabeth J.; Handley, Jonathan; Davies, Tammy E.; Dias, Maria P.] BirdLife Int, Cambridge, England; [Oppel, Steffen; Small, Cleo; Cleeland, Jaimie] Royal Soc Protect Birds, Sandy, Beds, England; [Clay, Thomas A.] Univ Liverpool, Sch Environm Sci, Liverpool, Merseyside, England; [Phillips, Richard A.; Bonnet-Lebrun, Anne-Sophie; Trathan, Philip N.] British Antarctic Survey, Nat Environm Res Council, Cambridge, England; [Wanless, Ross M.] Natl Taiwan Ocean Univ, Inst Marine Affairs &amp; Resources Management, Keelung, Taiwan; [Wanless, Ross M.; Dilley, Ben J.; Ryan, Peter G.; Gremillet, David; Makhado, Azwianewi; Stevens, Kim L.] Univ Cape Town, DST NRF Ctr Excellence, FitzPatrick Inst African Ornithol, Cape Town, South Africa; [Abraham, Edward; Richard, Yvan] Dragonfly Data Sci, Wellington, New Zealand; [Rice, Joel] Rice Marine Analyt, St Paul, MN USA; [Arata, Javier] Ctr FONDAP Invest Dinam Ecosistemas Marinos Altas, Valdivia, Chile; [Arnould, John P. Y.] Deakin Univ, Sch Life &amp; Environm Sci, Burwood, Vic, Australia; [Bell, Elizabeth] Wildlife Management Int Ltd, Blenheim, New Zealand; [Bugoni, Leandro] Univ Fed Rio Grande FURG, Rio Grande, Brazil; [Campioni, Letizia; Catry, Paulo; Dias, Maria P.] ISPA Inst Univ, MARE Marine &amp; Environm Sci Ctr, Lisbon, Portugal; [Deppe, Lorna] Huttons Shearwater Charitable Trust, Kaikoura, New Zealand; [Elliott, Graeme; Walker, Kath] Albatross Res, Nelson, New Zealand; [Freeman, Amanda] Nat North, Atherton, Australia; [Gonzalez-Solis, Jacob] Univ Barcelona, Dept Biol Evolut Ecol &amp; Ciencies Ambientales, Barcelona, Spain; [Granadeiro, Jose Pedro] Univ Lisbon, Dept Biol Anim, CESAM, Lisbon, Portugal; [Gremillet, David] Univ Montpellier, Univ Paul Valery Montpellier, CNRS, CEFE,EPHE, Montpellier, France; [Landers, Todd J.] Auckland Council, Res &amp; Evaluat Unit RIMU, Auckland, New Zealand; [Landers, Todd J.] Univ Auckland, Sch Biol Sci, Auckland, New Zealand; [Makhado, Azwianewi] Oceans &amp; Coasts Branch, Dept Environm Affairs, Cape Town, South Africa; [Nel, Deon] Stockholm Univ, Stockholm Resilience Ctr, Global Resilience Partnership, Stockholm, Sweden; [Nicholls, David G.] Chisholm Inst, Dandenong, Vic, Australia; [Rexer-Huber, Kalinka] Univ Otago, Dept Zool, Dunedin, New Zealand; [Robertson, Christopher J. R.] Wild Press, Wellington, New Zealand; [Sagar, Paul M.; Thompson, David R.] Natl Inst Water &amp; Atmospher Res, Christchurch, New Zealand; [Scofield, Paul] Canterbury Museum, Christchurch, New Zealand; [Stahl, Jean-Claude; Waugh, Susan M.] Museum New Zealand Te Papa Tongarewa, Wellington, New Zealand; [Stanworth, Andrew] Falklands Conservat, Stanley, Falkland Island; [Torres, Leigh] Oregon State Univ, Dept Fisheries &amp; Wildlife, Newport, OR USA; [Weimerskirch, Henri] CNRS, Ctr Etud Biol Chize, Villiers En Bois, France</t>
  </si>
  <si>
    <t>BirdLife International; Royal Society for Protection of Birds; University of Liverpool; UK Research &amp; Innovation (UKRI); Natural Environment Research Council (NERC); NERC British Antarctic Survey; National Taiwan Ocean University; University of Cape Town; National Research Foundation - South Africa; Deakin University; Universidade Federal do Rio Grande; Instituto Superior Psicologia Aplicada (ISPA); University of Barcelona; Universidade de Lisboa; Universite PSL; Ecole Pratique des Hautes Etudes (EPHE); Institut Agro; Montpellier SupAgro; CIRAD; Centre National de la Recherche Scientifique (CNRS); Institut de Recherche pour le Developpement (IRD); Universite Paul-Valery; Universite de Montpellier; University of Auckland; Department of Environment, Forestry &amp; Fisheries; Stockholm University; University of Otago; National Institute of Water &amp; Atmospheric Research (NIWA) - New Zealand; Oregon State University; Centre National de la Recherche Scientifique (CNRS)</t>
  </si>
  <si>
    <t>Carneiro, APB (corresponding author), BirdLife Int, Cambridge, England.</t>
  </si>
  <si>
    <t>ana.carneiro@birdlife.org</t>
  </si>
  <si>
    <t>Oppel, Steffen/H-2771-2019; Dias, Maria P./D-1331-2012; Bonnet-Lebrun, Anne-Sophie/GYU-2977-2022; Clay, Tommy/W-4867-2019; Carneiro, Ana Paula/IQT-6077-2023; Weimerskirch, Henri/F-5562-2013; Bugoni, Leandro/F-9539-2012; Arata, Javier A./ABH-9557-2020; campioni, letizia/AAZ-2888-2020; González-Solís, Jacob/AAB-1161-2019; Gonzalez-Solis, Jacob/C-3942-2008; Granadeiro, José Pedro/E-8060-2011; Catry, Paulo/I-5408-2013</t>
  </si>
  <si>
    <t>Oppel, Steffen/0000-0002-8220-3789; Dias, Maria P./0000-0002-7281-4391; Bonnet-Lebrun, Anne-Sophie/0000-0002-7587-615X; Clay, Tommy/0000-0002-0644-6105; Bugoni, Leandro/0000-0003-0689-7026; campioni, letizia/0000-0002-6319-6931; Gonzalez-Solis, Jacob/0000-0002-8691-9397; Granadeiro, José Pedro/0000-0002-7207-3474; Pearmain, Elizabeth/0000-0002-6600-1482; Handley, Jonathan/0000-0001-6468-338X; Catry, Paulo/0000-0003-3000-0522; Cleeland, Jaimie/0000-0003-2196-3968; , Ana/0000-0003-0573-7549; Davies, Tammy/0000-0003-2535-1328</t>
  </si>
  <si>
    <t>North Star Science and Technology; Chevron; FCT [FCT-SFRH/BPD/89904/2012, MAREUID/MAR/04292/2019, UID/AMB/50017/2019]; French Polar Institute IPEV; Falkland Islands Government; NERC [bas0100035] Funding Source: UKRI</t>
  </si>
  <si>
    <t>North Star Science and Technology; Chevron; FCT(Fundacao para a Ciencia e a Tecnologia (FCT)); French Polar Institute IPEV; Falkland Islands Government; NERC(UK Research &amp; Innovation (UKRI)Natural Environment Research Council (NERC))</t>
  </si>
  <si>
    <t>North Star Science and Technology; Chevron; FCT, Grant/Award Number: FCT-SFRH/BPD/89904/2012, MAREUID/MAR/04292/2019 and UID/AMB/50017/2019; French Polar Institute IPEV; Falkland Islands Government</t>
  </si>
  <si>
    <t>0021-8901</t>
  </si>
  <si>
    <t>1365-2664</t>
  </si>
  <si>
    <t>J APPL ECOL</t>
  </si>
  <si>
    <t>J. Appl. Ecol.</t>
  </si>
  <si>
    <t>10.1111/1365-2664.13568</t>
  </si>
  <si>
    <t>LR1CN</t>
  </si>
  <si>
    <t>WOS:000510842200001</t>
  </si>
  <si>
    <t>Cano-Sánchez, E; Sharma, PP; López-González, PJ</t>
  </si>
  <si>
    <t>Cano-Sanchez, Esperanza; Sharma, Prashant P.; Lopez-Gonzalez, Pablo J.</t>
  </si>
  <si>
    <t>Postembryonic development of Nymphon australe Hodgson, 1902 (Pycnogonida, Nymphonidae) from Antarctica</t>
  </si>
  <si>
    <t>Pycnogonida; Nymphonidae; Nymphon australe; Postembryonic development; Postlarval instar; cox1; Molecular analyses</t>
  </si>
  <si>
    <t>SEA SPIDERS ARTHROPODA; LITORALE PYCNOGONIDA; LARVAL DEVELOPMENT; PHYLOGENY; AMMOTHEIDAE; BIOLOGY; BODY</t>
  </si>
  <si>
    <t>Developmental modes in pycnogonids are variable, even between congeneric species. Most of our previous knowledge of pycnogonid life history stages is based on morphological descriptions of the larval and those postlarval instars still retained on male ovigers, whereas the free-living instars are largely unknown. In this paper, a combination of morphological and molecular tools is used in order to link those postlarval instars retained on male ovigers to free-living specimens representing putatively later stages in the postembryonic development of a sea spider species. Male specimens of Nymphon australe carrying postembryonic instars were collected from localities off the South Shetland Islands, the Weddell Sea, the Drake Passage, the Bransfield Strait, and the Ross Sea. Three subsequent free-living instars were collected from Drake Passage. Nymphon australe hatch as a postlarval instar with two-articled palps and limb buds of the two first-walking legs. Postlarval instars 1 and 2 (both carried on the ovigers of males), postlarval instars 3 and 4, and a juvenile (all three free living) are all described and illustrated. A molecular phylogenetic based on the cox1 gene links all free-living stages to N. australe populations from the Antarctic Peninsula. The postlarval development of N. australe is discussed here and compared with those known from other pycnogonid species with similar development pathways.</t>
  </si>
  <si>
    <t>[Cano-Sanchez, Esperanza; Lopez-Gonzalez, Pablo J.] Univ Seville, Fac Biol, Dept Zool, Biodiversidad &amp; Ecol Acuat, Avda Reina Mercedes 6, E-41012 Seville, Spain; [Sharma, Prashant P.] Univ Wisconsin Madison, Dept Integrat Biol, 352 Birge Hall,430 Lincoln Dr, Madison, WI 53706 USA</t>
  </si>
  <si>
    <t>University of Sevilla; University of Wisconsin System; University of Wisconsin Madison</t>
  </si>
  <si>
    <t>Cano-Sánchez, E (corresponding author), Univ Seville, Fac Biol, Dept Zool, Biodiversidad &amp; Ecol Acuat, Avda Reina Mercedes 6, E-41012 Seville, Spain.</t>
  </si>
  <si>
    <t>ecano@us.es; prashant.sharma@wisc.edu; pjlopez@us.es</t>
  </si>
  <si>
    <t>Lopez Gonzalez, Pablo Jose/0000-0002-7348-6270; Cano Sanchez, Esperanza/0000-0002-8097-1872</t>
  </si>
  <si>
    <t>Spanish CICYT [CGL2004-20062-E, POL2006-06399/CGL]; Ministerio de Economia y Competitividad (Plan Nacional de I + D + i 2008-2011) [CTM2012-39350-C02-01]; US National Science Foundation (NSF) [IOS-1552610]</t>
  </si>
  <si>
    <t>Spanish CICYT(Consejo Interinstitucional de Ciencia y Tecnologia (CICYT)); Ministerio de Economia y Competitividad (Plan Nacional de I + D + i 2008-2011); US National Science Foundation (NSF)(National Science Foundation (NSF))</t>
  </si>
  <si>
    <t>The authors wish to thank the officers and crew and many colleagues for their help on board during the cruise VLT-2004 (Italica, XIX Spedizione), Polarstern ANT-XXIII/8, and Polarstern ANT-XXIX/3. We take this opportunity to extend our thanks to the cruise leader and steering committee of these cruises, especially Riccardo Cattaneo (Universita Politecnica delle Marche, Ancona, Italy) and Maria Chiara Chiantore (Universita degli Studi di Genova, Genoa, Italy), Julian Gutt (Alfred Wegener Institut, Bremerhaven), and Enrique Isla (Instituto de Ciencias del Mar, CSIC, Barcelona), who kindly facilitated the work on board and provided the opportunity to collaborate in these Antarctic programmes. Support for this work was provided by projects CGL2004-20062-E (VTL-2004) and POL2006-06399/CGL (CLIMANT) funded by the Spanish CICYT and by the Project CTM2012-39350-C02-01 (ECOWED) funded by the Ministerio de Economia y Competitividad (Plan Nacional de I + D + i 2008-2011). Sequencing was supported by US National Science Foundation (NSF) Grant No. IOS-1552610 to PPS. Mr. Tony Krupa is thanked for reviewing the English version.</t>
  </si>
  <si>
    <t>10.1007/s00300-020-02624-3</t>
  </si>
  <si>
    <t>WOS:000515750600001</t>
  </si>
  <si>
    <t>Dwyer, RG; Krueck, NC; Udyawer, V; Heupel, MR; Chapman, D; Pratt, HL; Garla, R; Simpfendorfer, CA</t>
  </si>
  <si>
    <t>Dwyer, Ross G.; Krueck, Nils C.; Udyawer, Vinay; Heupel, Michelle R.; Chapman, Demian; Pratt, Harold L., Jr.; Garla, Ricardo; Simpfendorfer, Colin A.</t>
  </si>
  <si>
    <t>Individual and Population Benefits of Marine Reserves for Reef Sharks</t>
  </si>
  <si>
    <t>CURRENT BIOLOGY</t>
  </si>
  <si>
    <t>GREAT-BARRIER-REEF; PROTECTED AREAS; ACOUSTIC TELEMETRY; MOVEMENT PATTERNS; HABITAT USE; CONSERVATION; ELASMOBRANCHS; ECOLOGY; MANAGEMENT; FISHERY</t>
  </si>
  <si>
    <t>No-take marine protected areas (MPAs) are a commonly applied tool to reduce human fishing impacts on marine and coastal ecosystems. However, conservation outcomes of MPAs for mobile and long-lived predators such as sharks are highly variable. Here, we use empirical animal tracking data from 459 individual sharks and baited remote underwater video surveys undertaken in 36 countries to construct an empirically supported individual-based model that estimates the conservation effectiveness of MPAs for five species of coral reef-associated sharks (Triaenodon obesus, Carcharhinus melanopterus, Carcharhinus amblyrhynchos, Carcharhinus perezi, and Ginglymostoma cirratum). We demonstrate how species-specific individual movement traits can contribute to fishing mortality of sharks found within MPAs as they move outside to adjacent fishing grounds. We discovered that the world's officially recorded coral reef-based managed areas (with a median width of 9.4 km) would need to be enforced as strict no-take MPAs and up to 5 times larger to expect protection of the majority of individuals of the five investigated reef shark species. The magnitude of this effect depended on local abundances and fishing pressure, with MPAs required to be 1.6-2.6 times larger to protect the same number of Atlantic and Caribbean species, which occur at lower abundances than similar species in the western Pacific. Furthermore, our model was used to quantify partially substantial reductions (&gt;50%) in fishing mortality resulting from small increases in MPA size, allowing us to bridge a critical gap between traditional conservation planning and fisheries management. Overall, our results highlight the challenge of relying on abundance data alone to ensure that estimates of shark conservation impacts of MPAs follow the precautionary approach.</t>
  </si>
  <si>
    <t>[Dwyer, Ross G.; Krueck, Nils C.] Univ Queensland, Sch Biol Sci, St Lucia, Qld 4072, Australia; [Dwyer, Ross G.; Simpfendorfer, Colin A.] James Cook Univ, Ctr Sustainable Trop Fisheries &amp; Aquaculture, Townsville, Qld 4811, Australia; [Dwyer, Ross G.; Simpfendorfer, Colin A.] James Cook Univ, Coll Sci &amp; Engn, Townsville, Qld 4811, Australia; [Krueck, Nils C.] Univ Tasmania, Inst Marine &amp; Antarctic Studies, Private Bag 49, Hobart, Tas 7001, Australia; [Udyawer, Vinay] Australian Inst Marine Sci, Arafura Timor Res Facil, Darwin, NT 0810, Australia; [Udyawer, Vinay] Charles Darwin Univ, Res Inst Environm &amp; Livelihoods, Darwin, NT 0909, Australia; [Heupel, Michelle R.] Australian Inst Marine Sci, Townsville, Qld 4810, Australia; [Chapman, Demian] Florida Int Univ, Coll Arts &amp; Sci, Dept Biol Sci, 151st St, North Miami, FL USA; [Pratt, Harold L., Jr.] Elizabeth Moore Int Ctr Coral Reef Res &amp; Restorat, Mote Marine Lab, Summerland Key, FL USA; [Pratt, Harold L., Jr.] New England Aquarium, Anderson Cabot Ctr Ocean Life, 1 Cent Wharf, Boston, MA 02110 USA; [Garla, Ricardo] Univ Fed Rio Grande do Norte, Dept Bot &amp; Zool, Ave Senador Salgado Filho, BR-59064741 Natal, RN, Brazil</t>
  </si>
  <si>
    <t>University of Queensland; James Cook University; James Cook University; University of Tasmania; Australian Institute of Marine Science; Charles Darwin University; Australian Institute of Marine Science; State University System of Florida; Florida International University; Mote Marine Laboratory &amp; Aquarium; Universidade Federal do Rio Grande do Norte</t>
  </si>
  <si>
    <t>Dwyer, RG; Krueck, NC (corresponding author), Univ Queensland, Sch Biol Sci, St Lucia, Qld 4072, Australia.;Dwyer, RG (corresponding author), James Cook Univ, Ctr Sustainable Trop Fisheries &amp; Aquaculture, Townsville, Qld 4811, Australia.;Dwyer, RG (corresponding author), James Cook Univ, Coll Sci &amp; Engn, Townsville, Qld 4811, Australia.;Krueck, NC (corresponding author), Univ Tasmania, Inst Marine &amp; Antarctic Studies, Private Bag 49, Hobart, Tas 7001, Australia.</t>
  </si>
  <si>
    <t>ross.dwyer@uq.edu.au; nils.krueck@utas.edu.au</t>
  </si>
  <si>
    <t>Garla, Ricardo C/A-2990-2014; Dwyer, Ross/IQR-5509-2023; Simpfendorfer, Colin A/G-9681-2011; Pratt, Harold/AAK-9544-2020</t>
  </si>
  <si>
    <t>Udyawer, Vinay/0000-0001-5812-0740; Garla, Ricardo/0000-0002-0827-225X; Dwyer, Ross/0000-0003-1136-5489</t>
  </si>
  <si>
    <t>Shark Conservation Fund; Paul G. Allen Philanthropies</t>
  </si>
  <si>
    <t>This research was funded by the Shark Conservation Fund. Data used in this analysis were sourced from projects supported by the Shark Conservation Fund and Paul G. Allen Philanthropies. Quality-checked telemetry data used in this study were sourced from the Australian Ocean Data Network portal (https://portal.aodn.org.au/) and the IMOS ATF database (https://animaltracking.aodn.org.au).IMOS is a national collaborative research infrastructure, supported by the Australian Government. It is operated by a consortium of institutions as an unincorporated joint venture, with the University of Tasmania as Lead Agent. The authors acknowledge the contributions of data from acoustic telemetry projects led by Russ Babcock, Richard Pillans, Mark Meekan, Iain Field, Beverley Oh, Conrad Speed, Rob Harcourt, Fabrice Jaine, and Xavier Hoenner. We also acknowledge the contributions of all collaborators and their institutions to the content of the IMOS ATF database and data. Baited remote underwater video data were sourced from the Paul G. Allen Philanthropies' Global FinPrint Project, and we thank all of the contributors to that project, especially Jessica Cramp, Leanne Currey-Randall, Steve Lindfield, Jacob Asher, Audrey Schlaff, Frances Farabaugh, Mike Heithaus, Steven Moore, Samantha Sherman, Kathryn Flowers, Gina Clementi, Diego Cardenosa, Camila Caceres, Mark Bond, and Jasmine Valentin.</t>
  </si>
  <si>
    <t>0960-9822</t>
  </si>
  <si>
    <t>1879-0445</t>
  </si>
  <si>
    <t>CURR BIOL</t>
  </si>
  <si>
    <t>Curr. Biol.</t>
  </si>
  <si>
    <t>FEB 3</t>
  </si>
  <si>
    <t>10.1016/j.cub.2019.12.005</t>
  </si>
  <si>
    <t>Biochemistry &amp; Molecular Biology; Biology; Cell Biology</t>
  </si>
  <si>
    <t>Biochemistry &amp; Molecular Biology; Life Sciences &amp; Biomedicine - Other Topics; Cell Biology</t>
  </si>
  <si>
    <t>KI3ZV</t>
  </si>
  <si>
    <t>WOS:000511287900026</t>
  </si>
  <si>
    <t>Yiu, YYS; Maycock, AC</t>
  </si>
  <si>
    <t>Yiu, Yu Yeung Scott; Maycock, Amanda C.</t>
  </si>
  <si>
    <t>The linearity of the El Nino teleconnection to the Amundsen Sea region</t>
  </si>
  <si>
    <t>Amundsen Sea low; El Nino; ENSO; linearity; Rossby waves; teleconnection; West Antarctic climate</t>
  </si>
  <si>
    <t>SOUTHERN-OSCILLATION; ATMOSPHERIC CIRCULATION; VARIABILITY; HEMISPHERE; PROPAGATION</t>
  </si>
  <si>
    <t>El Nino Southern Oscillation (ENSO) drives interannual variability in West Antarctic climate through altering atmospheric circulation in the Amundsen Sea region (ASR). The El Nino-ASR teleconnection is known to be strongest in austral winter and spring, but its variation with El Nino amplitude is underexplored. This study uses experiments from the HadGEM3-A climate model to investigate the El Nino-ASR teleconnection for a range of imposed SST perturbations spanning weak (0.75 K) to strong (3 K) amplitudes. In austral winter, the El Nino-ASR teleconnection behaves linearly for El Nino amplitudes up to 2.25 K, but is found to weaken for stronger forcing (3 K). The anomalous Rossby wave source in the subtropical South Pacific increases monotonically with El Nino amplitude. However, a Rossby wave reflection surface originally located in the western South Pacific sector extends progressively eastward with increasing El Nino amplitude, reducing wave propagation into the ASR. The wave reflection surface is associated with curvature in the upper tropospheric zonal winds which intensifies as the subtropical jet strengthens under El Nino forcing. In contrast, the El Nino-ASR teleconnection in austral summer, which more closely resembles the Southern Annular Mode, is found to increase linearly for El Nino amplitudes up to 3 K. The results explicitly demonstrate that a linear approximation of the El Nino teleconnection to the ASR is reasonable based on the range of El Nino amplitudes observed in recent history.</t>
  </si>
  <si>
    <t>[Yiu, Yu Yeung Scott] Univ Cambridge, Ctr Atmospher Sci, Dept Chem, Cambridge, England; [Maycock, Amanda C.] Univ Leeds, Sch Earth &amp; Environm, Leeds LS2 9JT, W Yorkshire, England</t>
  </si>
  <si>
    <t>University of Cambridge; University of Leeds</t>
  </si>
  <si>
    <t>Maycock, AC (corresponding author), Univ Leeds, Sch Earth &amp; Environm, Leeds LS2 9JT, W Yorkshire, England.</t>
  </si>
  <si>
    <t>a.c.maycock@leeds.ac.uk</t>
  </si>
  <si>
    <t>Maycock, Amanda/0000-0002-6614-1127</t>
  </si>
  <si>
    <t>Natural Environment Research Council (NERC); European Community; AXA Research Fund; European Research Council [NE/K004921/1, NE/M018199/1, 603557, 267760]; NERC [NE/M018199/1] Funding Source: UKRI</t>
  </si>
  <si>
    <t>Natural Environment Research Council (NERC)(UK Research &amp; Innovation (UKRI)Natural Environment Research Council (NERC)); European Community; AXA Research Fund(AXA Research Fund); European Research Council(European Research Council (ERC)); NERC(UK Research &amp; Innovation (UKRI)Natural Environment Research Council (NERC))</t>
  </si>
  <si>
    <t>Natural Environment Research Council (NERC) the European Community's Seventh Framework Programme (FP7/2007-2013) the AXA Research Fund, and the European Research Council, NE/K004921/1 and NE/M018199/1, 603557 (StratoClim), 267760 (ACCI)</t>
  </si>
  <si>
    <t>A</t>
  </si>
  <si>
    <t>10.1002/qj.3731</t>
  </si>
  <si>
    <t>LP9DT</t>
  </si>
  <si>
    <t>WOS:000510569700001</t>
  </si>
  <si>
    <t>Krueck, NC; Treml, EA; Innes, DJ; Ovenden, JR</t>
  </si>
  <si>
    <t>Krueck, Nils C.; Treml, Eric A.; Innes, David J.; Ovenden, Jennifer R.</t>
  </si>
  <si>
    <t>Ocean currents and the population genetic signature of fish migrations</t>
  </si>
  <si>
    <t>connectivity; contranatant theory; F; (ST); larval dispersal; SNPs; spawning migrations</t>
  </si>
  <si>
    <t>MULLET MUGIL-CEPHALUS; ASSESSING STATISTICAL POWER; LARVAL DISPERSAL; SEASCAPE GENETICS; GREY MULLET; MARINE; CONNECTIVITY; RETENTION; ECOLOGY; BIOLOGY</t>
  </si>
  <si>
    <t>Animal migrations are a fascinating and global phenomenon, yet they are often difficult to study and sometimes poorly understood. Here, we build on classic ecological theory by hypothesizing that some enigmatic spawning migrations across coastal marine habitats can be inferred from the population genetic signature of larval dispersal by ocean currents. We test this assumption by integrating spatially realistic simulations of alternative spawning migration routes, associated patterns of larval dispersal, and associated variation in the population genetic structure of eastern Australian sea mullet (Mugil cephalus). We then use simulation results to assess the implications of alternative spawning destinations for larval replenishment, and we contrast simulated against measured population genetic variation. Both analyses suggest that the spawning migrations of M. cephalus in eastern Australia are likely to be localized (approximately 100 km along the shore), and that spawning is likely to occur in inshore waters. Our conclusions are supported by multiple lines of evidence available through independent studies, but they challenge the more traditional assumption of a single, long-distance migration event with subsequent offshore spawning in the East Australian Current. More generally, our study operationalizes classic theory on the relationship between fish migrations, ocean currents, and reproductive success. However, rather than confirming the traditionally assumed adaptation of migratory behavior to dominant ocean current flow, our findings support the concept of a genetically measurable link between fish migrations and local oceanographic conditions, specifically water temperature and coastal retention of larvae. We believe that future studies using similar approaches for high resolution and spatially realistic ecological-genetic scenario testing can help rapidly advance our understanding of key ecological processes in many other marine species.</t>
  </si>
  <si>
    <t>[Krueck, Nils C.] Univ Queensland, Sch Biol Sci, St Lucia Campus, Brisbane, Qld 4072, Australia; [Krueck, Nils C.] Univ Tasmania, Inst Marine &amp; Antarctic Studies, Hobart, Tas 7001, Australia; [Treml, Eric A.] Deakin Univ, Sch Life &amp; Environm Sci, Ctr Integrat Ecol, Geelong, Vic 3216, Australia; [Innes, David J.] Queensland Govt, Dept Agr &amp; Fisheries, POB 6097, Brisbane, Qld 4072, Australia; [Ovenden, Jennifer R.] Univ Queensland, Sch Biomed Sci, Mol Fisheries Lab, St Lucia Campus, Brisbane, Qld 4072, Australia</t>
  </si>
  <si>
    <t>University of Queensland; University of Tasmania; Deakin University; University of Queensland</t>
  </si>
  <si>
    <t>Krueck, NC (corresponding author), Univ Queensland, Sch Biol Sci, St Lucia Campus, Brisbane, Qld 4072, Australia.;Krueck, NC (corresponding author), Univ Tasmania, Inst Marine &amp; Antarctic Studies, Hobart, Tas 7001, Australia.</t>
  </si>
  <si>
    <t>nils.krueck@uqconnect.edu.au</t>
  </si>
  <si>
    <t>Ovenden, Jennifer/A-3717-2010; Innes, David J/H-8974-2018; Treml, Eric A/C-7580-2013</t>
  </si>
  <si>
    <t>Ovenden, Jennifer/0000-0001-7538-1504; Treml, Eric A/0000-0003-4844-4420</t>
  </si>
  <si>
    <t>Australian Government; University of Queensland; Sea World Research and Rescue Foundation, Australia [SWR/13/2011]</t>
  </si>
  <si>
    <t>Australian Government(Australian Government); University of Queensland(University of Queensland); Sea World Research and Rescue Foundation, Australia</t>
  </si>
  <si>
    <t>This work was supported by the Australian Government, the University of Queensland, and the Sea World Research and Rescue Foundation, Australia (SWR/13/2011). We thank R. Prosser, A. Prosser, J. McGilvray, B. MacKenzie, R. Passmore, B. Mackney, A. Mapleston, A. Tobin, K. Rowling, D. Makin, and the Fishermen's Co-operatives Clarence River and Laurieton for invaluable assistance with the collection of fish samples. We also thank C. Riginos for helpful discussions and comments.</t>
  </si>
  <si>
    <t>10.1002/ecy.2967</t>
  </si>
  <si>
    <t>KT0JM</t>
  </si>
  <si>
    <t>WOS:000510578600001</t>
  </si>
  <si>
    <t>Ryan, PG; Lee, JR; Le Bouard, F</t>
  </si>
  <si>
    <t>Ryan, Peter G.; Lee, Jasmine R.; Le Bouard, Fabrice</t>
  </si>
  <si>
    <t>Moult intensity in blue petrels and a key moult site off West Antarctica</t>
  </si>
  <si>
    <t>Amundsen Sea; Bellinghausen Sea; Diego Ramirez; greater covert moult; Halobaena caerulea; primary moult</t>
  </si>
  <si>
    <t>HALOBAENA-CAERULEA; BODY-MASS; SEABIRDS; STRATEGIES; BEHAVIOR; BELLINGSHAUSEN; KERGUELEN; AMUNDSEN; BIRDS</t>
  </si>
  <si>
    <t>Blue petrels (Halobaena caeruleaGmelin) rapidly moult their flight feathers in Antarctic waters in February-April, immediately following the breeding season, yet the behaviour of moulting birds at sea has not been described. We observed large numbers of moulting blue petrels off West Antarctica from 67-71 degrees S and 78-119 degrees W in mid-February 2017. Most of these birds probably breed at the Diego Ramirez archipelago, southwest of Cape Horn, which is the closest colony to this area. Moulting petrels often sit on the water in dense flocks, just outside the marginal ice zone, at sea temperatures of -0.7 to 0.9 degrees C. Wing moult is intense, with 7-8 inner primaries (62-75% of primary length and 55-69% of primary mass), their corresponding primary coverts and all greater secondary coverts being grown at the same time. Moulting petrels need a reliable food source during this energetically demanding period, so the waters off West Antarctica are probably crucial for the Diego Ramirez population, which makes up more than half of the world's blue petrels.</t>
  </si>
  <si>
    <t>[Ryan, Peter G.] Univ Cape Town, DST NRF Ctr Excellence, FitzPatrick Inst Africa Ornithol, ZA-7701 Rondebosch, South Africa; [Lee, Jasmine R.] Monash Univ, Sch Biol Sci, Clayton, Vic 3800, Australia; [Le Bouard, Fabrice] CNRS, Ctr Etud Biol Chize, F-79360 Villiers En Bois, France</t>
  </si>
  <si>
    <t>National Research Foundation - South Africa; University of Cape Town; Monash University; Centre National de la Recherche Scientifique (CNRS)</t>
  </si>
  <si>
    <t>Ryan, PG (corresponding author), Univ Cape Town, DST NRF Ctr Excellence, FitzPatrick Inst Africa Ornithol, ZA-7701 Rondebosch, South Africa.</t>
  </si>
  <si>
    <t>Ryan, Peter/0000-0002-3356-2056; Lee, Jasmine/0000-0003-3847-1679</t>
  </si>
  <si>
    <t>ACE Foundation</t>
  </si>
  <si>
    <t>We dedicate this paper to the memory of David Walton, chief scientist of the ACE cruise, who delighted in the diversity of Antarctic life. Richard Phillips, Ben Raymond and Yan Ropert-Coudert kindly provided additional information, and Giuseppe Suaria provided sea temperature data. The ACE was a research cruise of the Swiss Polar Institute, supported by funding from the ACE Foundation.</t>
  </si>
  <si>
    <t>PII S0954102019000427</t>
  </si>
  <si>
    <t>10.1017/S0954102019000427</t>
  </si>
  <si>
    <t>OB1XZ</t>
  </si>
  <si>
    <t>WOS:000578269300001</t>
  </si>
  <si>
    <t>Jones, MGW; Techow, NMS; Risi, MM; Jones, CW; Hagens, QA; Taylor, F; Ryan, PG</t>
  </si>
  <si>
    <t>Jones, M. G. W.; Techow, N. M. S.; Risi, M. M.; Jones, C. W.; Hagens, Q. A.; Taylor, F.; Ryan, P. G.</t>
  </si>
  <si>
    <t>Hybridization and cuckoldry between black-browed and grey-headed albatrosses</t>
  </si>
  <si>
    <t>extra-pair paternity; genetic compatibility; Marion Island; Thalassarche chrysosotoma; Thalassarche melanophris</t>
  </si>
  <si>
    <t>EXTRA-PAIR PATERNITY; WANDERING ALBATROSS; DIOMEDEA-EXULANS; CAMPBELL ISLAND; BIRD ISLAND; LAYSAN; MELANOPHRIS; CHRYSOSTOMA; INFERENCE; DYNAMICS</t>
  </si>
  <si>
    <t>A vagrant black-browed albatrossThalassarche melanophrisbred with a grey-headed albatrossT. chrysostomaon Marion Island at least four times between 2000 and 2009 (and continued to return to the colony until at least 2019). The eggs failed to hatch in three breeding attempts, but the pair fledged a chick in the 2006/07 breeding season. Genetic sexing identified the black-browed albatross as female and she shared all eight sampled microsatellite alleles with the chick, whereas the grey-headed albatross social parent did not match the chick. The fledgling was banded and re-sighted in its natal breeding colony in 2016 and 2018, when it displayed an intermediate black-browed x grey-headed albatross phenotype, similar to a putative hybrid photographed at sea off Australia. These results suggest that the black-browed albatross cuckolded its social mate with another grey-headed albatross in 2006/07. The failures of the other three breeding attempts at the egg stage possibly indicate genetic incompatibility with the social partner.</t>
  </si>
  <si>
    <t>[Jones, M. G. W.; Techow, N. M. S.; Risi, M. M.; Jones, C. W.; Hagens, Q. A.; Taylor, F.; Ryan, P. G.] Univ Cape Town, DST NRF Ctr Excellence, FitzPatrick Inst African Ornithol, ZA-7701 Rondebosch, South Africa</t>
  </si>
  <si>
    <t>University of Cape Town; National Research Foundation - South Africa</t>
  </si>
  <si>
    <t>Jones, MGW (corresponding author), Univ Cape Town, DST NRF Ctr Excellence, FitzPatrick Inst African Ornithol, ZA-7701 Rondebosch, South Africa.</t>
  </si>
  <si>
    <t>MGenevieveWJones@gmail.com</t>
  </si>
  <si>
    <t>Ryan, Peter/0000-0002-3356-2056; Jones, Christopher/0000-0002-4112-1912</t>
  </si>
  <si>
    <t>South African Department of Environmental Affairs, through the South African National Antarctic Programme (SANAP); National Research Foundation; University of Cape Town</t>
  </si>
  <si>
    <t>We thank the many field workers on Marion Island who looked for and reported sightings of the black-browed albatross. Permits (including animal research protocols), logistical and financial support were provided by the South African Department of Environmental Affairs, through the South African National Antarctic Programme (SANAP), the National Research Foundation and the University of Cape Town. We also thank two reviewers for their helpful comments.</t>
  </si>
  <si>
    <t>PII S0954102019000506</t>
  </si>
  <si>
    <t>10.1017/S0954102019000506</t>
  </si>
  <si>
    <t>WOS:000578269300002</t>
  </si>
  <si>
    <t>Gittins, O; Grau-Roma, L; Valle, R; Abad, FX; Nofrarías, M; Ryan, PG; González-Solís, J; Majó, N</t>
  </si>
  <si>
    <t>Gittins, Oliver; Grau-Roma, Llorenc; Valle, Rosa; Abad, Francesc Xavier; Nofrarias, Miquel; Ryan, Peter G.; Gonzalez-Solis, Jacob; Majo, Natalia</t>
  </si>
  <si>
    <t>Serological and molecular surveys of influenza A viruses in Antarctic and sub-Antarctic wild birds</t>
  </si>
  <si>
    <t>Catharacta antarctica; epidemiology; Gough Island; influenza virus; Livingston Island; Macronectes giganteus; Marion Island</t>
  </si>
  <si>
    <t>AVIAN INFLUENZA; ANTIBODIES; ECOLOGY</t>
  </si>
  <si>
    <t>To evaluate how avian influenza virus (AIV) circulates among the avifauna of the Antarctic and sub-Antarctic islands, we surveyed 14 species of birds from Marion, Livingston and Gough islands. A competitive enzyme-linked immunosorbent assay was carried out on the sera of 147 birds. Quantitative reverse transcription polymerase chain reaction was used to detect the AIV genome from 113 oropharyngeal and 122 cloacal swabs from these birds. The overall seroprevalence to AIV infection was 4.8%, with the only positive results coming from brown skuas (Catharacta antarctica) (4 out of 18, 22%) and southern giant petrels (Macronectes giganteus) (3 out of 24, 13%). Avian influenza virus antibodies were detected in birds sampled from Marion and Gough islands, with a higher seroprevalence on Marion Island (P= 0.014) and a risk ratio of 11.29 (95% confidence interval: 1.40-91.28) compared to Gough Island. The AIV genome was not detected in any of the birds sampled. These results confirm that AIV strains are uncommon among Antarctic and sub-Antarctic predatory seabirds, but they may suggest that scavenging seabirds are the main avian reservoirs and spreaders of this virus in the Southern Ocean. Further studies are necessary to determine the precise role of these species in the epidemiology of AIV.</t>
  </si>
  <si>
    <t>[Gittins, Oliver; Grau-Roma, Llorenc] Univ Nottingham, Sch Vet Med &amp; Sci SVMS, Sutton Bonington Campus, Loughborough LE12 5RD, Leics, England; [Grau-Roma, Llorenc] Univ Bern, Inst Anim Pathol, Langgassstr 122, CH-3012 Bern, Switzerland; [Valle, Rosa; Abad, Francesc Xavier; Nofrarias, Miquel; Majo, Natalia] UAB, IRTA, Ctr Recerca Sanitat Anim, CReSA, Campus UAB, Bellaterra 08193, Spain; [Ryan, Peter G.] Univ Cape Town, FitzPatrick Inst African Ornithol, DST NRF Ctr Excellence, ZA-7701 Rondebosch, South Africa; [Gonzalez-Solis, Jacob] Univ Barcelona, Inst Recerca Biodiversitat IRBio, Av Diagonal 643, Barcelona 08028, Spain; [Gonzalez-Solis, Jacob] Univ Barcelona, Dept Biol Evolut Ecol &amp; Ciencies Ambientals, Av Diagonal 643, Barcelona 08028, Spain; [Majo, Natalia] Univ Autonoma Barcelona, Dept Sanitat &amp; Anat Anim, Barcelona 08193, Spain</t>
  </si>
  <si>
    <t>University of Nottingham; University of Bern; IRTA; Autonomous University of Barcelona; National Research Foundation - South Africa; University of Cape Town; University of Barcelona; University of Barcelona; Autonomous University of Barcelona</t>
  </si>
  <si>
    <t>Majó, N (corresponding author), UAB, IRTA, Ctr Recerca Sanitat Anim, CReSA, Campus UAB, Bellaterra 08193, Spain.;Majó, N (corresponding author), Univ Autonoma Barcelona, Dept Sanitat &amp; Anat Anim, Barcelona 08193, Spain.</t>
  </si>
  <si>
    <t>natalia.majo@uab.cat</t>
  </si>
  <si>
    <t>Gonzalez-Solis, Jacob/C-3942-2008; Masferrer, Natàlia Majó/AAV-3696-2021; González-Solís, Jacob/AAB-1161-2019</t>
  </si>
  <si>
    <t>Gonzalez-Solis, Jacob/0000-0002-8691-9397; Ryan, Peter/0000-0002-3356-2056; Majo, Natalia/0000-0003-0189-9751</t>
  </si>
  <si>
    <t>Ministerio de Ciencia e Innovacion from the Spanish Government [POL2006-06635, CGL2009-11278/BOS, CTM2011-12973-E]</t>
  </si>
  <si>
    <t>Ministerio de Ciencia e Innovacion from the Spanish Government(Spanish Government)</t>
  </si>
  <si>
    <t>As Byers Peninsula is protected, researchers applied for permits to the Spanish Polar Committee (the polar authority in the country) and the permits were granted to the project's principal investigator. We thank Antje Steinfurth, Rob Ronconi, Jose Antonio Gil Delgado and Antonio Quesada for logistical and fieldwork support. Logistical support at Marion and Gough Islands was provided by the South African National Antarctic Programme, Department of Environmental Affairs. This study was funded by the Ministerio de Ciencia e Innovacion from the Spanish Government (POL2006-06635, CGL2009-11278/BOS and CTM2011-12973-E). We thank the reviewers for their comments.</t>
  </si>
  <si>
    <t>PII S0954102019000464</t>
  </si>
  <si>
    <t>10.1017/S0954102019000464</t>
  </si>
  <si>
    <t>WOS:000578269300003</t>
  </si>
  <si>
    <t>Leppäranta, M; Luttinen, A; Arvola, L</t>
  </si>
  <si>
    <t>Lepparanta, Matti; Luttinen, Arto; Arvola, Lauri</t>
  </si>
  <si>
    <t>Physics and geochemistry of lakes in Vestfjella, Dronning Maud Land</t>
  </si>
  <si>
    <t>Antarctica; classification; epiglacial; hydrology; seasonal; supraglacial</t>
  </si>
  <si>
    <t>SUPRAGLACIAL LAKES; HEAT-BALANCE; ANTARCTICA; SNOW</t>
  </si>
  <si>
    <t>Shallow Antarctic surface lakes belong to the most extreme aquatic environments on the Earth. In Vestfjella, proglacial surface lakes and ponds are characterized by a 2-5 month long period with liquid water and depths &lt; 2 m. We give a detailed description of nine seasonal lakes and ponds situating at three nunataqs (Basen, Plogen and Fossilryggen) in western Dronning Maud Land. Their physical and geochemical properties are provided based on observations in four summers. Three main 'lake categories' were found: 1) supraglacial lakes, 2) epiglacial ponds and 3) nunataq ponds. Category 3 lakes can be divided into two subgroups with regards to whether the meltwater source is glacial or just seasonal snow patches. Supraglacial lakes are ultra-oligotrophic (electrical conductivity &lt; 10 mu S cm(-1), pH &lt; 7), while in epiglacial ponds the concentrations of dissolved and suspended matter and trophic status vary over a wide range (electrical conductivity 20-110 mu S cm(-1), pH 6-9). In nunataq ponds, the maxima were an electrical conductivity of 1042 mu S cm(-1)and a pH of 10.1, and water temperature may have wide diurnal and day-to-day fluctuations (maximum 9.3 degrees C) because snowfall, snow drift and sublimation influence the net solar irradiance.</t>
  </si>
  <si>
    <t>[Lepparanta, Matti] Univ Helsinki, Inst Atmospher &amp; Earth Sci, Gustaf Hallstromin Katu 2b, Helsinki 00014, Finland; [Luttinen, Arto] Univ Helsinki, Museum Nat Hist, Jyrangontie 2, Helsinki 00014, Finland; [Arvola, Lauri] Univ Helsinki, Lammi Biol Stn, Paajarventie 320, Lammi 16900, Finland</t>
  </si>
  <si>
    <t>University of Helsinki; University of Helsinki; University of Helsinki</t>
  </si>
  <si>
    <t>Leppäranta, M (corresponding author), Univ Helsinki, Inst Atmospher &amp; Earth Sci, Gustaf Hallstromin Katu 2b, Helsinki 00014, Finland.</t>
  </si>
  <si>
    <t>matti.lepparanta@helsinki.fi</t>
  </si>
  <si>
    <t>; Lepparanta, Matti/M-7507-2017</t>
  </si>
  <si>
    <t>Luttinen, Arto Vesa/0000-0002-3129-0392; Lepparanta, Matti/0000-0002-4754-5564</t>
  </si>
  <si>
    <t>PII S0954102019000555</t>
  </si>
  <si>
    <t>10.1017/S0954102019000555</t>
  </si>
  <si>
    <t>WOS:000578269300005</t>
  </si>
  <si>
    <t>McClintock, JB; Amsler, CD; Amsler, MO; Fraser, WR</t>
  </si>
  <si>
    <t>McClintock, James B.; Amsler, Charles D.; Amsler, Margaret O.; Fraser, William R.</t>
  </si>
  <si>
    <t>Intertidal foraging by gentoo penguins in a macroalgal raft</t>
  </si>
  <si>
    <t>Foraging strategies in gentoo penguins (Pygoscelis papua) have been well studied (e.g. Croxallet al.1988, Robinson &amp; Hindell 1996, Lescroelet al.2004, Takahashiet al.2008, Xavieret al.2017). The general consensus is this largest member of the three pygoscelid penguins displays both nearshore benthic and pelagic foraging tactics to consume combinations of crustaceans and fish. In a recent study, Carpenter-Klinget al.(2017) reported that gentoos at sub-Antarctic Marion Island displayed a novel foraging strategy that consisted of alternating typical lengthy foraging trips with much shorter nearshore afternoon trips. They suggest the latter foraging behaviour may be a response to suboptimal feeding conditions caused by local environmental change. This novel discovery reinforces the fact that, despite considerable study, not all foraging tactics in penguins have been documented. In this paper, we describe what we believe to be, yet another undocumented foraging tactic employed by gentoos.</t>
  </si>
  <si>
    <t>[McClintock, James B.; Amsler, Charles D.; Amsler, Margaret O.] Univ Alabama Birmingham, Dept Biol, Birmingham, AL 35294 USA; [Fraser, William R.] Polar Oceans Res Grp, Sheridan, MT 59749 USA</t>
  </si>
  <si>
    <t>University of Alabama System; University of Alabama Birmingham</t>
  </si>
  <si>
    <t>McClintock, JB (corresponding author), Univ Alabama Birmingham, Dept Biol, Birmingham, AL 35294 USA.</t>
  </si>
  <si>
    <t>Climate Change Project by Abercrombie and Kent Philanthropy; NSF [OPP-174450, OPP-1745018]; Endowed Professorship in Polar and Marine Biology from the University of Alabama at Birmingham</t>
  </si>
  <si>
    <t>Climate Change Project by Abercrombie and Kent Philanthropy; NSF(National Science Foundation (NSF)); Endowed Professorship in Polar and Marine Biology from the University of Alabama at Birmingham</t>
  </si>
  <si>
    <t>This research was supported by the Climate Change Project sponsored on behalf of JBM and CDA by Abercrombie and Kent Philanthropy. CDA and JBM wish to acknowledge their support from NSF grant OPP-174450 and WRF from grant OPP-1745018. JBM also appreciates the support of an Endowed Professorship in Polar and Marine Biology from the University of Alabama at Birmingham.</t>
  </si>
  <si>
    <t>PII S095410201900052X</t>
  </si>
  <si>
    <t>10.1017/S095410201900052X</t>
  </si>
  <si>
    <t>WOS:000578269300006</t>
  </si>
  <si>
    <t>Liu, XC; Fu, B; Li, QL; Zhao, Y; Liu, J; Chen, H</t>
  </si>
  <si>
    <t>Liu, Xiaochun; Fu, Bin; Li, Qiuli; Zhao, Yue; Liu, Jian; Chen, Hong</t>
  </si>
  <si>
    <t>The impact of the Pan-African-aged tectonothermal event on high-grade rocks at Mount Brown, East Antarctica</t>
  </si>
  <si>
    <t>hornblende; biotite(40)Ar; Ar-39 dating; isotopic resetting; monazite; rutile U-Pb dating</t>
  </si>
  <si>
    <t>PRINCE-CHARLES MOUNTAINS; T-T PATH; PRYDZ-BAY; METAMORPHIC RUTILE; GROVE MOUNTAINS; PB DIFFUSION; RAUER GROUP; MONAZITE; GRANULITE; ZIRCON</t>
  </si>
  <si>
    <t>This study presents monazite and rutile U-Pb and hornblende and biotite(40)Ar/Ar-39 geochronological data for high-grade rocks of the eastern Grenville-aged Rayner orogen at Mount Brown in order to analyse the extent and degree of Pan-African-aged reworking. Monazite from paragneiss yields U-Pb ages of 910 Ma for larger granular grains and 670-630 Ma for smaller globular beads around garnet porphyroblasts or hosted by symplectites. Rutile from leucogneiss yields U-Pb ages of 520-515 Ma. Hornblende and biotite from different rock types yield(40)Ar/Ar-39 plateau ages of 744 and 520-505 Ma, respectively. Combining these results with published zircon U-Pb age data suggests that granulite facies metamorphism occurred at 910 Ma, with a local low-temperature fluid flow event at 670-630 Ma and thermal reworking at 520-505 Ma. The older age of 744 Ma may reflect cooling or partial resetting of the hornblende(40)Ar/Ar-39 system, indicating that Pan-African-aged reworking did not exceed temperatures much higher than the hornblende Ar closure temperature. These data also suggest that the complete isotopic resetting of some minerals may occur without the growth of new mineral phases, providing an example of the style of reworking that is likely to occur in polymetamorphic terranes.</t>
  </si>
  <si>
    <t>[Liu, Xiaochun; Zhao, Yue; Liu, Jian; Chen, Hong] Chinese Acad Geol Sci, Key Lab Paleomagnetism &amp; Tecton Reconstruct, Minist Nat Resources, Inst Geomech, Beijing 100081, Peoples R China; [Fu, Bin] Australian Natl Univ, Res Sch Earth Sci, Canberra, ACT 2601, Australia; [Li, Qiuli] Chinese Acad Sci, Inst Geol &amp; Geophys, Beijing 100029, Peoples R China</t>
  </si>
  <si>
    <t>China Geological Survey; Institute of Geomechanics, Chinese Academy of Geological Sciences; Ministry of Natural Resources of the People's Republic of China; Chinese Academy of Geological Sciences; Australian National University; Chinese Academy of Sciences; Institute of Geology &amp; Geophysics, CAS</t>
  </si>
  <si>
    <t>Liu, XC (corresponding author), Chinese Acad Geol Sci, Key Lab Paleomagnetism &amp; Tecton Reconstruct, Minist Nat Resources, Inst Geomech, Beijing 100081, Peoples R China.</t>
  </si>
  <si>
    <t>liuxchqw@cags.ac.cn</t>
  </si>
  <si>
    <t>Li, Qiuli/A-8874-2012</t>
  </si>
  <si>
    <t>National Natural Science Foundation of China [41530209]; Central Public-Interest Scientific Institution Basal Research Fund [JYYWF201819]; Geological Investigation Project of the Chinese Geological Survey [DD20190579]</t>
  </si>
  <si>
    <t>National Natural Science Foundation of China(National Natural Science Foundation of China (NSFC)); Central Public-Interest Scientific Institution Basal Research Fund; Geological Investigation Project of the Chinese Geological Survey</t>
  </si>
  <si>
    <t>This research was supported by the National Natural Science Foundation of China (No. 41530209), Central Public-Interest Scientific Institution Basal Research Fund (No. JYYWF201819) and Geological Investigation Project of the Chinese Geological Survey (No. DD20190579).</t>
  </si>
  <si>
    <t>PII S0954102019000518</t>
  </si>
  <si>
    <t>10.1017/S0954102019000518</t>
  </si>
  <si>
    <t>WOS:000578269300007</t>
  </si>
  <si>
    <t>Teets, NM; Gantz, JD; Kawarasaki, Y</t>
  </si>
  <si>
    <t>Teets, Nicholas M.; Gantz, J. D.; Kawarasaki, Yuta</t>
  </si>
  <si>
    <t>Rapid cold hardening: ecological relevance, physiological mechanisms and new perspectives</t>
  </si>
  <si>
    <t>Cold tolerance; Ectotherm; Phenotypic plasticity; Rapid cold hardening; Stress</t>
  </si>
  <si>
    <t>CHILL COMA RECOVERY; FLIES SARCOPHAGA-CRASSIPALPIS; DROSOPHILA-MELANOGASTER; FLESH FLY; ANTARCTIC MIDGE; HEAT-SHOCK; CROSS-TOLERANCE; LOW-TEMPERATURE; FRUIT-FLY; DESICCATION RESISTANCE</t>
  </si>
  <si>
    <t>Rapid cold hardening (RCH) is a type of phenotypic plasticity that allows ectotherms to quickly enhance cold tolerance in response to brief chilling (lasting minutes to hours). In this Review, we summarize the current state of knowledge of this important phenotype and provide newdirections for research. As one of the fastest adaptive responses to temperature known, RCH allows ectotherms to cope with sudden cold snaps and to optimize their performance during diurnal cooling cycles. RCH and similar phenotypes have been observed across a diversity of ectotherms, including crustaceans, terrestrial arthropods, amphibians, reptiles, and fish. In addition to its well-defined role in enhancing survival to extreme cold, RCH also protects against nonlethal cold injury by preserving essential functions following cold stress, such as locomotion, reproduction, and energy balance. The capacity for RCH varies across species and across genotypes of the same species, indicating that RCH can be shaped by selection and is likely favored in thermally variable environments. Mechanistically, RCH is distinct from other rapid stress responses in that it typically does not involve synthesis of new gene products; rather, the existing cellular machinery regulates RCH through post-translational signaling mechanisms. However, the protective mechanisms that enhance cold hardiness are largely unknown. We provide evidence thatRCHcan be induced by multiple triggers in addition to lowtemperature, and that rapidly induced tolerance and cross-tolerance to a variety of environmental stressors may be a general feature of stress responses that requires further investigation.</t>
  </si>
  <si>
    <t>[Teets, Nicholas M.] Univ Kentucky, Dept Entomol, Lexington, KY 40546 USA; [Gantz, J. D.] Hendrix Coll, Biol Dept, Conway, AR 72032 USA; [Kawarasaki, Yuta] Gustavus Adolphus Coll, Dept Biol, St Peter, MN 56082 USA</t>
  </si>
  <si>
    <t>University of Kentucky; Gustavus Adolphus College</t>
  </si>
  <si>
    <t>Teets, NM (corresponding author), Univ Kentucky, Dept Entomol, Lexington, KY 40546 USA.</t>
  </si>
  <si>
    <t>Teets, Nicholas/IQT-5328-2023; Teets, Nicholas/H-7386-2013</t>
  </si>
  <si>
    <t>Teets, Nicholas/0000-0003-0963-7457</t>
  </si>
  <si>
    <t>Hatch Project from the USDA National Institute of Food and Agriculture [1010996]; National Science Foundation [OIA-1826689]</t>
  </si>
  <si>
    <t>Hatch Project from the USDA National Institute of Food and Agriculture; National Science Foundation(National Science Foundation (NSF))</t>
  </si>
  <si>
    <t>This work is supported by Hatch Project 1010996 from the USDA National Institute of Food and Agriculture and National Science Foundation grant OIA-1826689 to N.M.T.</t>
  </si>
  <si>
    <t>jeb203448</t>
  </si>
  <si>
    <t>10.1242/jeb.203448</t>
  </si>
  <si>
    <t>MA2YH</t>
  </si>
  <si>
    <t>WOS:000541784000001</t>
  </si>
  <si>
    <t>Smart, SM; Fawcett, SE; Ren, HJ; Schiebel, R; Tompkins, EM; Martínez-García, A; Stirnimann, L; Roychoudhury, A; Haug, GH; Sigman, DM</t>
  </si>
  <si>
    <t>Smart, Sandi M.; Fawcett, Sarah E.; Ren, Haojia; Schiebel, Ralf; Tompkins, Emily M.; Martinez-Garcia, Alfredo; Stirnimann, Luca; Roychoudhury, Alakendra; Haug, Gerald H.; Sigman, Daniel M.</t>
  </si>
  <si>
    <t>The Nitrogen Isotopic Composition of Tissue and Shell-Bound Organic Matter of Planktic Foraminifera in Southern Ocean Surface Waters</t>
  </si>
  <si>
    <t>planktic foraminifera; nitrogen isotopes; paleo-proxy; Southern Ocean</t>
  </si>
  <si>
    <t>N-15 NATURAL-ABUNDANCE; ATMOSPHERIC CO2; NITRATE UTILIZATION; ORBULINA-UNIVERSA; SUBTROPICAL GYRE; SEDIMENT TRAPS; DELTA-N-15; AMMONIUM; PACIFIC; ICE</t>
  </si>
  <si>
    <t>We present the first nitrogen isotope (delta N-15) measurements of planktic foraminifera, paleoceanographically important zooplankton, from the nutrient-rich waters of the modern Southern Ocean. Foraminifera were collected from net tows in the Subantarctic and Polar Frontal Zones (SAZ and PFZ, respectively) south of Africa during winter 2015 and late summer 2016. In late summer, consistent with preferential uptake of N-14-nitrate and the progressive, northward depletion of nitrate by phytoplankton across the Southern Ocean, foraminifer tissue and shell-bound delta N-15 rise equatorward along with nitrate delta N-15. However, foraminifer delta N-15 is similar to 3 lower than expected for heterotrophs relying on photosynthetic biomass generated directly from nitrate. This discrepancy appears to originate with the particulate organic N (PON) in late-summer surface waters, the delta N-15 of which is lowered by ammonium recycling. In winter, when overall productivity and foraminifer production are reduced, foraminifer delta N-15 is higher (by 4.6 0.8 for tissue and by 4.0 1.5 for shell-bound N compared to late summer) and exhibits no clear north-south trend. These characteristics can also be explained by the feeding-driven connection of foraminifera to PON, which is elevated in delta N-15 by net degradation in winter. Therefore, foraminifer delta N-15 is more closely tied to PON delta N-15 than to nitrate delta N-15 in the Southern Ocean mixed layer. Combining our isotope data with previously reported sediment trap fluxes from the western Pacific SAZ/PFZ suggests that, under modern conditions, the late-summer ammonium recycling signal outweighs that of wintertime decomposition on the annually integrated delta N-15 of sinking foraminifera. Plain Language Summary Shells of foraminifera, single-celled zooplankton, record information about their surroundings, making their fossils a useful tool for investigating past ocean conditions. Paleoceanographers have begun to use the ratio of heavy-to-light-nitrogen isotopes in fossil foraminifer shells as a measure of past biological nitrate consumption in the Southern Ocean. But the isotopic link between living foraminifera and the nitrate consumed has only been tested in the subtropics, where surface nitrate is fully consumed by phytoplankton. In today's polar ocean, surface nitrate is only partly consumed and mostly during the productive spring/summer. Our goal was to investigate whether living foraminifera record the isotopic composition of nitrate consumed in Southern Ocean surface waters. We collected living foraminifera from the region south of Africa during winter and late summer, using a net towed by the ship. We found that the nitrogen in foraminifer shells and tissues most closely tracks the foraminifer's particulate nitrogen food. While nitrate and particulate nitrogen in surface waters are closely linked during spring/summer, the two can diverge because of nitrogen recycling in late summer and winter. Therefore, when interpreting foraminifer-bound nitrogen isotope paleo-records, we must consider the effects of these off-peak seasons, as their influence may have been different at certain times in the past.</t>
  </si>
  <si>
    <t>[Smart, Sandi M.; Roychoudhury, Alakendra] Stellenbosch Univ, Dept Earth Sci, Matieland, South Africa; [Smart, Sandi M.; Schiebel, Ralf; Martinez-Garcia, Alfredo; Haug, Gerald H.] Max Planck Inst Chem, Climate Geochem Dept, Mainz, Germany; [Fawcett, Sarah E.; Stirnimann, Luca] Univ Cape Town, Dept Oceanog, Rondebosch, South Africa; [Ren, Haojia] Natl Taiwan Univ, Dept Geosci, Taipei, Taiwan; [Tompkins, Emily M.] Wake Forest Univ, Dept Biol, Winston Salem, NC 27109 USA; [Sigman, Daniel M.] Princeton Univ, Dept Geosci, Princeton, NJ 08544 USA</t>
  </si>
  <si>
    <t>Stellenbosch University; Max Planck Society; University of Cape Town; National Taiwan University; Wake Forest University; Princeton University</t>
  </si>
  <si>
    <t>Smart, SM (corresponding author), Stellenbosch Univ, Dept Earth Sci, Matieland, South Africa.;Smart, SM (corresponding author), Max Planck Inst Chem, Climate Geochem Dept, Mainz, Germany.</t>
  </si>
  <si>
    <t>sandi.smart@alumni.uct.ac.za</t>
  </si>
  <si>
    <t>Martinez-Garcia, Alfredo/A-6244-2010; Sigman, Daniel M./IYJ-2613-2023; Stirnimann, Luca/AAV-2370-2021; Sigman, Daniel M./A-2649-2008</t>
  </si>
  <si>
    <t>Martinez-Garcia, Alfredo/0000-0002-7206-5079; Stirnimann, Luca/0000-0001-5000-1720; Sigman, Daniel M./0000-0002-7923-1973; Fawcett, Sarah/0000-0002-0878-6496; Schiebel, Ralf/0000-0002-6252-7647</t>
  </si>
  <si>
    <t>South African NRF [111090]; US NSF [0922345, 1060947, 1401489]; Max Planck Institute for Chemistry, Germany; South African National Antarctic Programme [93069, 105539, 110735]; South African NRF CSUR fund [105895]; Swiss Polar Institute Antarctic Circumnavigation Expedition Grant [12]; Directorate For Geosciences; Division Of Ocean Sciences [0922345] Funding Source: National Science Foundation; Directorate For Geosciences; Office of Polar Programs (OPP) [1401489] Funding Source: National Science Foundation; Division Of Ocean Sciences; Directorate For Geosciences [1060947] Funding Source: National Science Foundation</t>
  </si>
  <si>
    <t>South African NRF(National Research Foundation - South Africa); US NSF(National Science Foundation (NSF)); Max Planck Institute for Chemistry, Germany(Max Planck Society); South African National Antarctic Programme; South African NRF CSUR fund; Swiss Polar Institute Antarctic Circumnavigation Expedition Grant; Directorate For Geosciences; Division Of Ocean Sciences(National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t>
  </si>
  <si>
    <t>The data presented here are available online (). This work was supported by the South African NRF (Grant 111090, S. M. S.); US NSF Grants 0922345, 1060947, and 1401489 (D. M. S.); the Max Planck Institute for Chemistry, Germany (S. M. S.); the South African National Antarctic Programme (Grant 93069, A. R.; Grants 105539 and 110735, S. E. F.); the South African NRF CSUR fund (Grant 105895, S. E. F); and the Swiss Polar Institute Antarctic Circumnavigation Expedition Grant, Project 12 (S. E. F.). We are grateful to the Department of Environmental Affairs, South Africa, for providing equipment and technical support for net tow deployments, as well as the to the Captain and crew of the R/V S.A. Agulhas II for safe voyages in winter 2015 and late summer 2016. We thank the members of the Sigman Lab (Princeton; particularly E. Kast and V. Luu) and Martinez-Garcia Lab (MPIC; particularly N. Duprey and A. Foreman) for laboratory assistance and method development discussions; A. Plattner for help with creating Figure in GMT; and H. Spero for insightful discussions. S. M. S. gratefully acknowledges hosting institutions, the Department of Earth and Environmental Sciences at Fresno State and the Department of Geological Sciences at the University of Alabama.</t>
  </si>
  <si>
    <t>e2019GC008440</t>
  </si>
  <si>
    <t>10.1029/2019GC008440</t>
  </si>
  <si>
    <t>LP7DN</t>
  </si>
  <si>
    <t>WOS:000534477700009</t>
  </si>
  <si>
    <t>Suttle, MD; Folco, L</t>
  </si>
  <si>
    <t>Suttle, M. D.; Folco, L.</t>
  </si>
  <si>
    <t>The Extraterrestrial Dust Flux: Size Distribution and Mass Contribution Estimates Inferred From the Transantarctic Mountains (TAM) Micrometeorite Collection</t>
  </si>
  <si>
    <t>JOURNAL OF GEOPHYSICAL RESEARCH-PLANETS</t>
  </si>
  <si>
    <t>DEEP-SEA SPHERULES; COSMIC SPHERULES; INTERPLANETARY DUST; INTERNAL STRUCTURE; FRONTIER MOUNTAIN; ACCRETION RATE; ANTARCTIC ICE; VICTORIA LAND; EARTH; INFLUX</t>
  </si>
  <si>
    <t>This study explores the long-duration (0.8-2.3 Ma), time-averaged micrometeorite flux (mass and size distribution) reaching Earth, as recorded by the Transantarctic Mountains (TAM) micrometeorite collection. We investigate a single sediment trap (TAM65), performing an exhaustive recovery and characterization effort and identifying 1,643 micrometeorites (between 100 and 2,000 mu m). Approximately 7% of particles are unmelted or scoriaceous, of which 75% are fine-grained. Among cosmic spherules, 95.6% are silicate-dominated S-types, and further subdivided into porphyritic (16.9%), barred olivine (19.9%), cryptocrystalline (51.6%), and vitreous (7.5%). Our (rank)-size distribution is fit against a power law with a slope of -3.9 (R-2 = 0.98) over the size range 200-700 mu m. However, the distribution is also bimodal, with peaks centered at similar to 145 and similar to 250 mu m. Remarkably similar peak positions are observed in the Larkman Nunatak data. These observations suggest that the micrometeorite flux is composed of multiple dust sources with distinct size distributions. In terms of mass, the TAM65 trap contains 1.77 g of extraterrestrial dust in 15 kg of sediment (&lt;5 mm). Upscaling to a global annual estimate gives 1,555 (+/- 753) t/year-consistent with previous micrometeorite abundance estimates and almost identical to the South Pole Water Well estimate (similar to 1,600 t/year), potentially indicating minimal variation in the background cosmic dust flux over the Quaternary. The greatest uncertainty in our mass flux calculation is the accumulation window. A minimum age (0.8 Ma) is robustly inferred from the presence of Australasian microtektites, while the upper age (similar to 2.3 Ma) is loosely constrained based on 10Be exposure dating of glacial surfaces at Roberts Butte (6 km from our sample site). Plain Language Summary Each year the Earth collects large amounts of extraterrestrial material, with a significant fraction in the form of submillimeter cosmic dust, originating from asteroids and comets. This material adds elements such as nickel and sodium to the Earth's atmosphere, which effect the ionosphere. In the past, cosmic dust may have also played an important role in the origin of life as well as potentially contributing to mass extinction events. Here we examine an ancient (&gt;0.8-million-year-old) micrometeorite collection found among the Transantarctic Mountains. We estimate the quantity of cosmic dust falling to Earth over this time period to be between (approximately) 800 and 2,300 tons per year. In addition, we demonstrate that the cosmic dust flux contains at least two dominant sources with different size distributions. This could reflect the relative contributions from inner solar system asteroids and outer solar system comets.</t>
  </si>
  <si>
    <t>[Suttle, M. D.; Folco, L.] Univ Pisa, Dipartimento Sci Terra, Pisa, Italy; [Suttle, M. D.] Nat Hist Museum, Dept Earth Sci, Planetary Mat Grp, London, England; [Folco, L.] Univ Pisa, Ctr Integraz Strumentaz, Pisa, Italy</t>
  </si>
  <si>
    <t>University of Pisa; Natural History Museum London; University of Pisa</t>
  </si>
  <si>
    <t>Suttle, MD (corresponding author), Univ Pisa, Dipartimento Sci Terra, Pisa, Italy.;Suttle, MD (corresponding author), Nat Hist Museum, Dept Earth Sci, Planetary Mat Grp, London, England.</t>
  </si>
  <si>
    <t>martindavid.suttle@dst.unipi.it</t>
  </si>
  <si>
    <t>Folco, Luigi/AAB-8586-2021</t>
  </si>
  <si>
    <t>Folco, Luigi/0000-0002-7276-3483; Suttle, Martin/0000-0001-7165-2215</t>
  </si>
  <si>
    <t>grant PRIN2015 Cosmic Dust; University of Pisa [PRA_2018_19]; [MIUR: PNRA16_00029]</t>
  </si>
  <si>
    <t>grant PRIN2015 Cosmic Dust; University of Pisa;</t>
  </si>
  <si>
    <t>Micrometeorite research at Pisa University is funded through grants MIUR: PNRA16_00029 Meteoriti Antartiche and PRIN2015 Cosmic Dust. The authors declare no conflicts of interest, financial or otherwise. We also acknowledge support by the University of Pisa grant PRA_2018_19.</t>
  </si>
  <si>
    <t>2169-9097</t>
  </si>
  <si>
    <t>2169-9100</t>
  </si>
  <si>
    <t>J GEOPHYS RES-PLANET</t>
  </si>
  <si>
    <t>J. Geophys. Res.-Planets</t>
  </si>
  <si>
    <t>e2019JE006241</t>
  </si>
  <si>
    <t>10.1029/2019JE006241</t>
  </si>
  <si>
    <t>LQ8UA</t>
  </si>
  <si>
    <t>WOS:000535272500011</t>
  </si>
  <si>
    <t>Clilverd, MA; Rodger, CJ; van de Kamp, M; Verronen, PT</t>
  </si>
  <si>
    <t>Clilverd, Mark A.; Rodger, Craig J.; van de Kamp, Max; Verronen, Pekka T.</t>
  </si>
  <si>
    <t>Electron Precipitation From the Outer Radiation Belt During the St. Patrick's Day Storm 2015: Observations, Modeling, and Validation</t>
  </si>
  <si>
    <t>GEOMAGNETIC STORM; ACCELERATION; FLUXES; EVENTS; MARCH</t>
  </si>
  <si>
    <t>Recently, a model for medium-energy (30-1000 keV) radiation belt-driven electron precipitation (ApEEP) has been put forward for use in decadal to century-long climate model runs as part of the Climate Modelling Intercomparison Project, phase 6 (CMIP6). The ApEEP model is based on directly observed precipitation data spanning 2002-2012 from the constellation of low-Earth-orbiting Polar Operational Environmental Satellites (POES). Here, we test the ApEEP model's ability using its magnetic local time variant, ApEEP_MLT, to accurately represent electron precipitation fluxes from the radiation belts during a large geomagnetic storm that occurred outside of the span of the development data set. In a study of narrowband subionospheric very low frequency (VLF) transmitter data collected during March 2015, continuous phase observations have been analyzed throughout the entire St. Patrick's Day geomagnetic storm period for the first time. Using phase data from the U.K. transmitter, call-sign GVT (22.1 kHz), received in Reykjavik, Iceland, electron precipitation fluxes from L = 2.8 to 5.4 are calculated around magnetic local noon (12 MLT) and magnetic midnight (00 MLT). VLF-inferred &gt;30-keV fluxes are similar to the equivalent directly observed POES fluxes. The ApEEP_MLT &gt;30-keV fluxes for L &lt; 5.5 describe the overall St. Patrick's Day geomagnetic storm-driven flux enhancement well, although they are a factor of 1.7 (1.3) lower than POES (VLF-inferred) fluxes during the recovery phase. Such close agreement in &gt;30-keV flux levels during a large geomagnetic storm, using three different techniques, indicates this flux forcing are appropriate for decadal climate simulations for which the ApEEP model was created.</t>
  </si>
  <si>
    <t>[Clilverd, Mark A.] British Antarctic Survey UKRI NERC, Cambridge, England; [Rodger, Craig J.] Univ Otago, Dept Phys, Dunedin, New Zealand; [van de Kamp, Max; Verronen, Pekka T.] Finnish Meteorol Inst, Helsinki, Finland</t>
  </si>
  <si>
    <t>UK Research &amp; Innovation (UKRI); Natural Environment Research Council (NERC); NERC British Antarctic Survey; University of Otago; Finnish Meteorological Institute</t>
  </si>
  <si>
    <t>Clilverd, MA (corresponding author), British Antarctic Survey UKRI NERC, Cambridge, England.</t>
  </si>
  <si>
    <t>macl@bas.ac.uk</t>
  </si>
  <si>
    <t>Rodger, Craig/A-1501-2011; van de Kamp, Max/GSI-4607-2022; Verronen, Pekka T/G-6658-2014; Verronen, P. T./AIE-0203-2022</t>
  </si>
  <si>
    <t>Verronen, P. T./0000-0002-3479-9071; Rodger, Craig J./0000-0002-6770-2707</t>
  </si>
  <si>
    <t>Natural Environment Research Council, NERC Highlight Topic Grant [NE/P01738X/1]; NERC [NE/P01738X/1, bas0100031] Funding Source: UKRI</t>
  </si>
  <si>
    <t>Natural Environment Research Council, NERC Highlight Topic Grant(UK Research &amp; Innovation (UKRI)Natural Environment Research Council (NERC)); NERC(UK Research &amp; Innovation (UKRI)Natural Environment Research Council (NERC))</t>
  </si>
  <si>
    <t>MAC would like to acknowledge support for this work from the Natural Environment Research Council, NERC Highlight Topic Grant NE/P01738X/1 (Rad-Sat). The geomagnetic activity index (Ap), GOES SEM, and POES MEPED data used in this study are publicly available at NOAA's National Geophysical Data Center (https://www.ngdc.noaa.gov/stp/spaceweather.html).The VLF data are publicly available at the British Antarctic Survey Polar Data Centre (http://psddb.nerc-bas.ac.uk/data/access/coverage.php?menu= 1,7&amp;bc= 1,2,2&amp;class=232&amp;type= ULTRA&amp;year=2015). The authors are indebted to Richard Yeo for his operation and support of the VLF receiver in Reykjavik and to Claire Brown and colleagues of the British Geological Survey for their support of the VLF receiver in Eskdalemuir.</t>
  </si>
  <si>
    <t>e2019JA027725</t>
  </si>
  <si>
    <t>10.1029/2019JA027725</t>
  </si>
  <si>
    <t>LR0OI</t>
  </si>
  <si>
    <t>WOS:000535395800056</t>
  </si>
  <si>
    <t>Jin, YQ; Xiong, C</t>
  </si>
  <si>
    <t>Jin, Yaqi; Xiong, Chao</t>
  </si>
  <si>
    <t>Interhemispheric Asymmetry of Large-Scale Electron Density Gradients in the Polar Cap Ionosphere: UT and Seasonal Variations</t>
  </si>
  <si>
    <t>NORTH-SOUTH ASYMMETRIES; PATCHES; PLASMA; IRREGULARITIES; ORIGIN; TONGUE</t>
  </si>
  <si>
    <t>The high-latitude ionosphere is highly dynamical with significant irregularities and density gradients. However, the spatial and temporal distributions of density gradients and irregularities are very different between the Arctic and Antarctic. In this report, we study the interhemispheric asymmetry of the large-scale (100 km) density gradients in both polar caps. Our results show that density gradients in the Arctic are enhanced during local winter (December solstice) with a peak around 19 UT. The UT and spatial distributions in the Antarctic local winter (June solstice) are similar to the Arctic except that they are reversed by 12 hr, which indicates a mirror symmetry between hemispheres. The 12-hr difference in the peak density gradients can be explained by the displacements between the geographic and geomagnetic poles. The only asymmetry (anomaly) is the persistence of strong density gradients in the southern polar cap during local summer (December solstice).</t>
  </si>
  <si>
    <t>[Jin, Yaqi] Univ Oslo, Dept Phys, Oslo, Norway; [Xiong, Chao] GFZ German Res Ctr Geosci, Helmholtz Ctr Potsdam, Potsdam, Germany</t>
  </si>
  <si>
    <t>University of Oslo; Helmholtz Association; Helmholtz-Center Potsdam GFZ German Research Center for Geosciences</t>
  </si>
  <si>
    <t>Jin, YQ (corresponding author), Univ Oslo, Dept Phys, Oslo, Norway.</t>
  </si>
  <si>
    <t>yaqi.jin@fys.uio.no</t>
  </si>
  <si>
    <t>Xiong, Chao/IXX-1985-2023; Jin, Yaqi/AAM-8834-2020</t>
  </si>
  <si>
    <t>Xiong, Chao/0000-0002-7518-9368; Jin, Yaqi/0000-0002-0076-9579</t>
  </si>
  <si>
    <t>Research Council of Norway [275655]; 4DSpace Strategic Research Initiative at the University of Oslo</t>
  </si>
  <si>
    <t>Research Council of Norway(Research Council of Norway); 4DSpace Strategic Research Initiative at the University of Oslo</t>
  </si>
  <si>
    <t>The research is partially supported by the Research Council of Norway under grant 275655. This research is a part of the 4DSpace Strategic Research Initiative at the University of Oslo. The GPS TEC data for GPS TEC map in Figure 1 can be obtained through the Madrigal database (http://cedar.openmadrigal.org), and we acknowledge Dr. Anthea Coster for making TEC data available. The Swarm data can be obtained through the official Swarm website ftp://Swarm-diss.eo.esa.int.</t>
  </si>
  <si>
    <t>e2019JA027601</t>
  </si>
  <si>
    <t>10.1029/2019JA027601</t>
  </si>
  <si>
    <t>WOS:000535395800037</t>
  </si>
  <si>
    <t>Oimatsu, S; Nosé, M; Le, G; Fuselier, SA; Ergun, RE; Lindqvist, PA; Sormakov, D</t>
  </si>
  <si>
    <t>Oimatsu, S.; Nose, M.; Le, G.; Fuselier, S. A.; Ergun, R. E.; Lindqvist, P. -A.; Sormakov, D.</t>
  </si>
  <si>
    <t>Selective Acceleration of O+ by Drift-Bounce Resonance in the Earth's Magnetosphere: MMS Observations</t>
  </si>
  <si>
    <t>DAWN-DUSK ASYMMETRY; RING CURRENT; ULF-WAVES; INNER MAGNETOSPHERE; ION OUTFLOW; ENERGY; FIELD; PULSATIONS; ORIGIN; DEPENDENCE</t>
  </si>
  <si>
    <t>We studied O+ drift-bounce resonance using Magnetospheric Multiscale (MMS) data. A case study of an event on 17 February 2016 shows that O+ flux oscillations at similar to 10-30 keV occurred at MLT similar to 5 hr and L similar to 8-9 during a storm recovery phase. These flux oscillations were accompanied by a toroidal Pc5 wave and a high-speed solar wind (similar to 550 km/s). The azimuthal wave number (m-number) of this Pc5 wave was found to be approximately -2. The O+/H+ flux ratio was enhanced at similar to 10-30 keV corresponding to the O+ flux oscillations without any clear variations of H+ fluxes, indicating the selective acceleration of O+ ions by the drift-bounce resonance. A search for similar events in the time period from September 2015 to March 2017 yielded 12 events. These events were mainly observed in the dawn to the afternoon region at L similar to 7-12 when the solar wind speed is high, and all of them were simultaneously identified on the ground, indicating low m-number. Correlation analysis revealed that the O+/H+ energy density ratio has the highest correlation coefficient with peak power of the electric field in the azimuthal component (E-a). This statistical result supports the selective acceleration of O+ due to the N = 2 drift-bounce resonance.</t>
  </si>
  <si>
    <t>[Oimatsu, S.] Kyoto Univ, Grad Sch Sci, Kyoto, Japan; [Nose, M.] Nagoya Univ, Inst Space Earth Environm Res, Nagoya, Aichi, Japan; [Le, G.] NASA, Goddard Space Flight Ctr, Heliophys Sci Div, Greenbelt, MD USA; [Fuselier, S. A.] Southwest Res Inst, Space Sci &amp; Engn Div, San Antonio, TX USA; [Fuselier, S. A.] Univ Texas San Antonio, Dept Phys, San Antonio, TX USA; [Ergun, R. E.] Univ Colorado, Dept Astrophys &amp; Planetary Sci, Boulder, CO 80309 USA; [Lindqvist, P. -A.] Royal Inst Technol, Stockholm, Sweden; [Sormakov, D.] Arctic &amp; Antarctic Res Inst, St Petersburg, Russia</t>
  </si>
  <si>
    <t>Kyoto University; Nagoya University; National Aeronautics &amp; Space Administration (NASA); NASA Goddard Space Flight Center; Southwest Research Institute; University of Texas System; University of Texas at San Antonio (UTSA); University of Colorado System; University of Colorado Boulder; Royal Institute of Technology; Arctic &amp; Antarctic Research Institute</t>
  </si>
  <si>
    <t>Oimatsu, S (corresponding author), Kyoto Univ, Grad Sch Sci, Kyoto, Japan.</t>
  </si>
  <si>
    <t>oimatsu@kugi.kyoto-u.ac.jp</t>
  </si>
  <si>
    <t>Nose, Masahito/B-1900-2015; MMS, Science Team NASA/J-5393-2013; Nose, Masahito/ISU-3248-2023; Lindqvist, Per-Arne/G-1221-2016; Sormakov, Dmitry/K-1695-2014; Le, Guan/C-9524-2012</t>
  </si>
  <si>
    <t>Nose, Masahito/0000-0002-2789-3588; Lindqvist, Per-Arne/0000-0001-5617-9765; Sormakov, Dmitry/0000-0003-2829-5982; Le, Guan/0000-0002-9504-5214; Oimatsu, Satoshi/0000-0002-6757-6886; Fuselier, Stephen/0000-0003-4101-7901</t>
  </si>
  <si>
    <t>Canadian Space Agency; Japan Society for the Promotion of Science (JSPS) [19J14368, 17K18804, 17K05669, 16H06286]; NASA [NNG04EB99C]; Grants-in-Aid for Scientific Research [19J14368, 17K18804, 17K05669] Funding Source: KAKEN</t>
  </si>
  <si>
    <t>Canadian Space Agency(Canadian Space Agency); Japan Society for the Promotion of Science (JSPS)(Ministry of Education, Culture, Sports, Science and Technology, Japan (MEXT)Japan Society for the Promotion of Science); NASA(National Aeronautics &amp; Space Administration (NASA)); Grants-in-Aid for Scientific Research(Ministry of Education, Culture, Sports, Science and Technology, Japan (MEXT)Japan Society for the Promotion of ScienceGrants-in-Aid for Scientific Research (KAKENHI))</t>
  </si>
  <si>
    <t>We thank L. Kistler, E. Grimes, and J. M. Mctiernan for their valuable comments. MMS data are available via MMS science data center (at https://lasp.colorado.edu/mms/sdc/public/).Ground magnetic field data are provided by the CARISMA web site (http://www.carisma.ca).We thank the CARISMA team for their high-quality data. CARISMA is operated by the University of Alberta, funded by the Canadian Space Agency. Solar wind data and the F10.7 index were obtained from the OMNI database (at https://omniweb.gsfc.nasa.gov).The Dst and AE indices were provided by the World Data Center for Geomagnetism, Kyoto, and are available online (at http://wdc.kugi.kyoto-u.ac.jp).The Kp index is provided by GFZ German Research Center (https://www.gfz-potsdam.de/en/kp-index/).The magnetic field data from LRV, NAQ, KIAN, DIK, and TIK are also provided by the University of Iceland; the Technical University of Denmark; National Space Institute (DTU Space); the Geophysical Institute Magnetometer Array operated by the Geophysical Institute, University of Alaska; and the Arctic and Antarctic Research Institute, respectively. They are obtained online (from http://themis.ssl.berkeley.edu/).The Geomagnetic field from the IGRF model is calculated with GEOPACK routines developed by N. A. Tsyganenko and coded by H. Korth. This study is supported by Japan Society for the Promotion of Science (JSPS), Grant-in-Aid for JSPS Fellow (19J14368), Challenging Research (Pioneering) (17K18804), Grant-in-Aid for Scientific Research (C) (17K05669) and Grant-in-Aid for Specially promoted Research (16H06286). Research at Southwest Research Institute was supported by NASA through Prime Contract NNG04EB99C.</t>
  </si>
  <si>
    <t>e2019JA027686</t>
  </si>
  <si>
    <t>10.1029/2019JA027686</t>
  </si>
  <si>
    <t>WOS:000535395800066</t>
  </si>
  <si>
    <t>Wallace, JM; Harris, KM; Stankovich, J; Ayton, J; Bettiol, SS</t>
  </si>
  <si>
    <t>Wallace, Jan M.; Harris, Keith M.; Stankovich, Jim; Ayton, Jeff; Bettiol, Silvana S.</t>
  </si>
  <si>
    <t>Emergency first aid readiness in Antarctica: Australian Antarctic expeditioners' first aid credentials and self-efficacy</t>
  </si>
  <si>
    <t>EMERGENCY MEDICINE AUSTRALASIA</t>
  </si>
  <si>
    <t>emergency medicine; expeditioner; extreme environment; first aid training; polar health; wilderness first aid</t>
  </si>
  <si>
    <t>RESUSCITATION SKILLS; WILDERNESS; PERFORMANCE; CONFIDENCE; KNOWLEDGE; CARE</t>
  </si>
  <si>
    <t>IntroductionTo help prevent future morbidity and mortality, this study examined Australian Antarctic expeditioners' first aid credentials and self-efficacy in providing emergency first aid in extreme environments. MethodsA mixed method survey assessed Australian personnel working on Antarctic stations. Volunteer participants (n = 83) provided data on first aid training, self-confidence of first aid readiness, and first aid preparations. The Extreme Conditions First Aid Confidence Scale (EC-FACS) was developed and validated for this study. Multivariate analyses tested associations between first aid background, demographics and EC-FACS. Open-ended comments were subjected to thematic analysis. ResultsOver one-third of participants did not hold current first aid certificates at expedition commencement. Factor analysis demonstrated the EC-FACS was unidimensional, and internal consistency was high (alpha = 0.94), and showed first aid self-efficacy was moderately high, but participants' confidence decreased as first aid scenarios became more complex. Experience providing emergency first aid and level of first aid qualification were the strongest predictors of overall first aid self-efficacy. Thematic analysis revealed expeditioners support higher first aid qualifications and want Antarctic-specific wilderness first aid training. ConclusionsThese findings revealed that many Antarctic expeditioners may not be adequately prepared for first aid emergencies and have low confidence in handling complex medical situations. Based on these findings, we recommend higher first aid qualifications and training tailored to the Antarctic context. These modest steps can help prevent unnecessary and costly morbidity and mortality for extreme-condition expeditioners.</t>
  </si>
  <si>
    <t>[Wallace, Jan M.; Ayton, Jeff] Australian Antarctic Div, Polar Med Unit, Kingston, Tas, Australia; [Harris, Keith M.] Charles Sturt Univ, Sch Psychol, Port Macquarie, NSW, Australia; [Harris, Keith M.] Univ Queensland, Sch Psychol, Brisbane, Qld, Australia; [Stankovich, Jim; Bettiol, Silvana S.] Univ Tasmania, Coll Hlth &amp; Med, Sch Med, 17 Liverpool St, Hobart, Tas 7000, Australia; [Stankovich, Jim] Monash Univ, Cent Clin Sch, Dept Neurosci, Melbourne, Vic, Australia</t>
  </si>
  <si>
    <t>Australian Antarctic Division; Charles Sturt University; University of Queensland; University of Tasmania; Melbourne Genomics Health Alliance; Monash University</t>
  </si>
  <si>
    <t>Bettiol, SS (corresponding author), Univ Tasmania, Coll Hlth &amp; Med, Sch Med, 17 Liverpool St, Hobart, Tas 7000, Australia.</t>
  </si>
  <si>
    <t>s.bettiol@utas.edu.au</t>
  </si>
  <si>
    <t>Harris, Keith/K-9957-2013; bettiol, silvana/J-7606-2014</t>
  </si>
  <si>
    <t>Harris, Keith/0000-0002-1199-2856; bettiol, silvana/0000-0002-4355-4498; Stankovich, Jim/0000-0001-9344-7749</t>
  </si>
  <si>
    <t>Australian Antarctic Division Funding Source: Medline</t>
  </si>
  <si>
    <t>1742-6731</t>
  </si>
  <si>
    <t>1742-6723</t>
  </si>
  <si>
    <t>EMERG MED AUSTRALAS</t>
  </si>
  <si>
    <t>Emerg. Med. Australas.</t>
  </si>
  <si>
    <t>10.1111/1742-6723.13339</t>
  </si>
  <si>
    <t>Emergency Medicine</t>
  </si>
  <si>
    <t>LP2XE</t>
  </si>
  <si>
    <t>WOS:000534182200010</t>
  </si>
  <si>
    <t>Khan, MS; Ibrahim, SM; Adamu, AA; Rahman, MBA; Abu Bakar, MZ; Noordin, MM; Loqman, MY</t>
  </si>
  <si>
    <t>Khan, M. S.; Ibrahim, S. M.; Adamu, A. A.; Rahman, M. B. A.; Abu Bakar, M. Z.; Noordin, M. M.; Loqman, M. Y.</t>
  </si>
  <si>
    <t>Pre-grafting histological studies of skin grafts cryopreserved in a helix antarctic yeast oriented antifreeze peptide (Afp1m)</t>
  </si>
  <si>
    <t>CRYOBIOLOGY</t>
  </si>
  <si>
    <t>Antifreezepeptides; Histology; Tissue; Cryopreservation; Antarctic yeast</t>
  </si>
  <si>
    <t>ICE-BINDING PROTEIN; PRESERVATION; VIABILITY</t>
  </si>
  <si>
    <t>A number of living creatures in the Antarctic region have developed characteristic adaptation of cold weather by producing antifreeze proteins (AFP). Antifreeze peptide (Afp1m) fragment have been designed in the sequence of strings from native proteins. The objectives of this study were to assess the properties of Afp1m to cryopreserve skin graft at the temperature of -10 degrees C and -20 degrees C and to assess sub-zero injuries in Afp1m cryopreserved skin graft using light microscopic techniques. In the present study, a process was developed to cryopreserve Sprague-Dawley (SD) rat skin grafts with antifreeze peptide, Afp1m, alpha-helix peptide fragment derived from Glaciozyma antractica yeast. Its viability assessed by different microscopic techniques. This study also described the damages caused by subzero temperatures (-10 and -20 degrees C) on tissue cryopreserved in different concentrations of Afp1m (0.5, 1, 2, 5 and 10 mg/mL) for 72 h. Histological scores of epidermis, dermis and hypodermis of cryopreserved skin grafts showed highly significant difference (p &lt; 0.01) among the different concentrations at -10 and -20 degrees C. In conclusion, the integrity of cryopreserved skin grafts with lower concentrations of Afp1m (0.5, 1 and 2 mg/mL) or at -20 degrees C was not maintained. The present study attested that Afp1m is a good cryoprotective agent for the cryopreservation of skin graft. Higher Afp1m concentrations (5 and 10 mg/mL) at -10 degrees C found to be suitable for the future in vivo study using (SD) rat skin grafts.</t>
  </si>
  <si>
    <t>[Khan, M. S.; Ibrahim, S. M.; Adamu, A. A.; Loqman, M. Y.] Univ Putra, Fac Vet Med, Dept Compan Anim Med &amp; Surg, Seri Kembangan, Malaysia; [Noordin, M. M.] Univ Putra, Fac Vet Med, Dept Vet Pathol &amp; Microbiol, Seri Kembangan, Malaysia; [Abu Bakar, M. Z.] Univ Putra, Fac Vet Med, Dept Preclin Vet Studies, Seri Kembangan, Malaysia; [Rahman, M. B. A.] Univ Putra, Fac Sci, Dept Chem, Seri Kembangan, Malaysia; [Khan, M. S.] Gomal Univ, Fac Vet &amp; Anim Sci, Dept Vet Basic Sci, Dera Ismail Khan, Pakistan; [Ibrahim, S. M.] Univ Mosul, Dept Surg &amp; Theriogenol, Coll Vet Med, Mosul, Iraq</t>
  </si>
  <si>
    <t>Universiti Putra Malaysia; Universiti Putra Malaysia; Universiti Putra Malaysia; Universiti Putra Malaysia; Gomal University; University of Mosul</t>
  </si>
  <si>
    <t>Loqman, MY (corresponding author), Univ Putra, Fac Vet Med, Dept Compan Anim Med &amp; Surg, Seri Kembangan, Malaysia.</t>
  </si>
  <si>
    <t>loqman@upm.edu.my</t>
  </si>
  <si>
    <t>Ibrahim, Sahar Mohammed/D-1145-2019; khan, M.Shuaib/AAJ-4641-2020; Abubakar, Adamu Abdul/ABE-5663-2021</t>
  </si>
  <si>
    <t>Ibrahim, Sahar Mohammed/0000-0002-9953-9094; khan, M.Shuaib/0000-0003-0150-1643; Abubakar, Adamu Abdul/0000-0001-8643-4413; Mohamed Mustapha, Noordin/0000-0001-9288-797X</t>
  </si>
  <si>
    <t>Ministry of Higher Education Malaysia [02-01-13-1200FR]; Universiti Putra Malaysia [GP/2017/9567000]</t>
  </si>
  <si>
    <t>Ministry of Higher Education Malaysia(Ministry of Education, Malaysia); Universiti Putra Malaysia</t>
  </si>
  <si>
    <t>This work was supported by grant from Ministry of Higher Education Malaysia (02-01-13-1200FR) and Universiti Putra Malaysia (GP/2017/9567000).</t>
  </si>
  <si>
    <t>0011-2240</t>
  </si>
  <si>
    <t>1090-2392</t>
  </si>
  <si>
    <t>Cryobiology</t>
  </si>
  <si>
    <t>FEB 1</t>
  </si>
  <si>
    <t>10.1016/j.cryobiol.2019.09.012</t>
  </si>
  <si>
    <t>LJ2XQ</t>
  </si>
  <si>
    <t>WOS:000530033000005</t>
  </si>
  <si>
    <t>Akhoudas, C; Sallée, JB; Reverdin, G; Aloisi, G; Benetti, M; Vignes, L; Gelado, M</t>
  </si>
  <si>
    <t>Akhoudas, Camille; Sallee, Jean-Baptiste; Reverdin, Gilles; Aloisi, Giovanni; Benetti, Marion; Vignes, Lucie; Gelado, Maria</t>
  </si>
  <si>
    <t>Ice Shelf Basal Melt and Influence on Dense Water Outflow in the Southern Weddell Sea</t>
  </si>
  <si>
    <t>FILCHNER-RONNE ICE; MARINE ICE; ISOTOPE FRACTIONATION; OCEAN INTERACTION; GROUNDING LINES; OXYGEN-ISOTOPE; CIRCULATION; ANTARCTICA; SEAWATER; MODEL</t>
  </si>
  <si>
    <t>We use new observations of stable water isotopes from a research cruise in early 2017 to highlight ocean-ice interactions occurring under Filchner-Ronne Ice Shelf, the largest Antarctic ice shelf. In particular, we investigate the properties of Ice ShelfWater with temperature lower than the surface freezing point, in the Filchner Depression. We identify two main flavors of Ice ShelfWater emerging from beneath the Filchner Ice Shelf, which originate from High Salinity ShelfWater end members with distinct characteristics. Furthermore, these two High Salinity ShelfWater end members interact with areas of the ice shelves with different basal properties to produce different versions of Ice ShelfWater. These water masses are associated with different rates of basal melting and refreezing, which we quantify. Ice Shelf Water types that flow out of the ice shelf cavity are composed of 0.4% of mass from ice shelf (melt minus freeze) when sampled at the front of Filchner Ice Shelf. The slightly lighter Ice ShelfWater version mixes directly with ambient water masses as it flows northward on the continental shelf. The resulting Ice Shelf Water mixture with temperature below the surface freezing point ultimately sinks along the continental slope into the deep ocean, as a precursor of theWeddell Sea bottom waters.</t>
  </si>
  <si>
    <t>[Akhoudas, Camille; Sallee, Jean-Baptiste; Reverdin, Gilles; Vignes, Lucie] Sorbonne Univ, CNRS IRD MNHN LOCEAN UMR 7159, Paris, France; [Aloisi, Giovanni] Univ Paris Diderot, Inst Phys Globe Paris, Sorbonne Paris Cite, UMR CNRS 7154, Paris, France; [Benetti, Marion] Univ Iceland, Inst Earth Sci, Reykjavik, Iceland; [Gelado, Maria] Univ Las Palmas Gran Canaria, Chem Dept, Las Palmas Gran Canaria, Spain</t>
  </si>
  <si>
    <t>Sorbonne Universite; Museum National d'Histoire Naturelle (MNHN); Universite Paris Cite; Centre National de la Recherche Scientifique (CNRS); CNRS - National Institute for Earth Sciences &amp; Astronomy (INSU); University of Iceland; Universidad de Las Palmas de Gran Canaria</t>
  </si>
  <si>
    <t>Akhoudas, C (corresponding author), Sorbonne Univ, CNRS IRD MNHN LOCEAN UMR 7159, Paris, France.</t>
  </si>
  <si>
    <t>camille.akhoudas@locean-ipsl.upmc.fr</t>
  </si>
  <si>
    <t>Reverdin, Gilles/0000-0002-5583-8236; Aloisi, Giovanni/0000-0001-6845-4787; Akhoudas, Camille/0000-0003-4685-9948; SALLEE, Jean baptiste/0000-0002-6109-5176; Gelado-Caballero, M.D./0000-0003-4001-9673</t>
  </si>
  <si>
    <t>European Research Council (ERC) under the European Union's Horizon 2020 research and innovation program [637770]</t>
  </si>
  <si>
    <t>European Research Council (ERC) under the European Union's Horizon 2020 research and innovation program(European Research Council (ERC))</t>
  </si>
  <si>
    <t>This project has received funding from the European Research Council (ERC) under the European Union's Horizon 2020 research and innovation program (Grant Agreement 637770). The authors gratefully thank the captain and the crew of RRS James Clark Ross for their help in acquiring the 2017 data set as part of theWapiti Cruise JR16004. Thanks to N. Jourdain and M. Meredith for fruitful discussions. We are indebted to Tore Hattermann, two anonymous reviewers and the Editor Dr. Laurence Padman for their detailed comments on earlier versions of this manuscript. Oxygen isotopes, temperature, and salinity from Mackensen (2001b) can be obtained from https://doi.pangaea.de/10.1594/PANGAEA.756222 and https://doi.pangaea.de/10.1594/PANGAEA.55750; oxygen isotopes, temperature, and salinity bottle data from the 2017's Wapiti cruise are available online (https://www.seanoe.org/data/00600/71186/).</t>
  </si>
  <si>
    <t>e2019JC015710</t>
  </si>
  <si>
    <t>10.1029/2019JC015710</t>
  </si>
  <si>
    <t>LJ2UU</t>
  </si>
  <si>
    <t>WOS:000530025600025</t>
  </si>
  <si>
    <t>Thomas, M; Vancoppenolle, M; France, JL; Sturges, WT; Bakker, DCE; Kaiser, J; von Glasow, R</t>
  </si>
  <si>
    <t>Thomas, M.; Vancoppenolle, M.; France, J. L.; Sturges, W. T.; Bakker, D. C. E.; Kaiser, J.; von Glasow, R.</t>
  </si>
  <si>
    <t>Tracer Measurements in Growing Sea Ice Support Convective Gravity Drainage Parameterizations</t>
  </si>
  <si>
    <t>SALINITY; BRINE; THERMODYNAMICS; DYNAMICS; MODEL</t>
  </si>
  <si>
    <t>Gravity drainage is the dominant process redistributing solutes in growing sea ice. Modeling gravity drainage is therefore necessary to predict physical and biogeochemical variables in sea ice. We evaluate seven gravity drainage parameterizations, spanning the range of approaches in the literature, using tracer measurements in a sea ice growth experiment. Artificial sea ice is grown to around 17 cm thickness in a new experimental facility, the Roland von Glasow air-sea-ice chamber. We use NaCl (present in the water initially) and rhodamine (injected into the water after 10 cm of sea ice growth) as independent tracers of brine dynamics. We measure vertical profiles of bulk salinity in situ, as well as bulk salinity and rhodamine in discrete samples taken at the end of the experiment. Convective parameterizations that diagnose gravity drainage using Rayleigh numbers outperform a simpler convective parameterization and diffusive parameterizations when compared to observations. This study is the first to numerically model solutes decoupled from salinity using convective gravity drainage parameterizations. Our results show that (1) convective, Rayleigh number-based parameterizations are our most accurate and precise tool for predicting sea ice bulk salinity; and (2) these parameterizations can be generalized to brine dynamics parameterizations, and hence can predict the dynamics of any solute in growing sea ice. Plain Language Summary The cold atmosphere in the Arctic and Southern Oceans can cause sea water to freeze at the surface, forming sea ice. The salt present in the sea water is trapped in the newly formed sea ice, in pockets of very salty liquid, or brine. Brine is much denser than the ocean below, which causes the brine to drain into the ocean. This process is generally referred to as gravity drainage. It is critically important, affecting the ocean's circulation, the movement of greenhouse gases through sea ice, and the supply of nutrients to sea ice algae. Several authors have suggested ways to model gravity drainage. Broadly, these can be split into two approaches: convective and diffusive. Here, we use a laboratory sea ice growth experiment to test these models. We track the movement of brine using measurements of two chemicals in the sea ice and compare measured concentrations to those predicted by the models. Our results show that convective approaches are our most powerful tool for predicting the movement of brine by gravity drainage and do an excellent job.</t>
  </si>
  <si>
    <t>[Thomas, M.; France, J. L.; Sturges, W. T.; Bakker, D. C. E.; Kaiser, J.; von Glasow, R.] Univ East Anglia, Sch Environm Sci, Ctr Ocean &amp; Atmospher Sci, Norwich, Norfolk, England; [Vancoppenolle, M.] Sorbonne Univ, Lab Oceanog &amp; Climat LOCEAN, Inst Pierre Simon Laplace IPSL, CNRS,IRD,MNHN, Paris, France; [France, J. L.] British Antarctic Survey, Cambridge, England; [France, J. L.] Royal Holloway Univ London, Dept Earth Sci, Egham, Surrey, England</t>
  </si>
  <si>
    <t>University of East Anglia; Museum National d'Histoire Naturelle (MNHN); Sorbonne Universite; Centre National de la Recherche Scientifique (CNRS); Institut de Recherche pour le Developpement (IRD); UK Research &amp; Innovation (UKRI); Natural Environment Research Council (NERC); NERC British Antarctic Survey; University of London; Royal Holloway University London</t>
  </si>
  <si>
    <t>Thomas, M (corresponding author), Univ East Anglia, Sch Environm Sci, Ctr Ocean &amp; Atmospher Sci, Norwich, Norfolk, England.</t>
  </si>
  <si>
    <t>max.thomas@uea.ac.uk</t>
  </si>
  <si>
    <t>Vancoppenolle, Martin/AAA-7711-2022; France, James L/L-9719-2015; Kaiser, Jan/D-3327-2009; Vancoppenolle, Martin/B-3750-2011; Bakker, Dorothee/E-4951-2015</t>
  </si>
  <si>
    <t>Vancoppenolle, Martin/0000-0002-7573-8582; Kaiser, Jan/0000-0002-1553-4043; Vancoppenolle, Martin/0000-0002-7573-8582; Bakker, Dorothee/0000-0001-9234-5337; Thomas, Max/0000-0002-2327-3664</t>
  </si>
  <si>
    <t>BEPSII (Biogeochemical Exchange Processes at the Sea-Ice Interfaces) - Scientific Committee on Antarctic Research (SCAR); Climate and Cryosphere (CliC) project of theWorld Climate Research Programme (WCRP); Surface Ocean Lower Atmosphere Study (SOLAS); Natural Environment Research Council (NERC) PICCOLO (Processes Influencing Carbon Cycling: Observations of the Lower limb of the Antarctic Overturning) project [NE/P021395/1]; project EISPAC (NERC) part of the Changing Arctic Ocean programme - UKRI Natural Environment Research Council (NERC) [NE/R012857/1]; project EISPAC (NERC) part of the Changing Arctic Ocean programme - German Federal Ministry of Education and Research (BMBF) [NE/R012857/1]; European Research Council under the European Union's Seventh Framework Programme (FP7-2007-2013) [616938]; Horizon 2020 research and innovation program through the EUROCHAMP-2020 Infrastructure Activity [730997]; School of Environmental Sciences at UEA; NERC [NE/R012857/1, NE/P021395/1, bas0100033] Funding Source: UKRI; European Research Council (ERC) [616938] Funding Source: European Research Council (ERC)</t>
  </si>
  <si>
    <t>BEPSII (Biogeochemical Exchange Processes at the Sea-Ice Interfaces) - Scientific Committee on Antarctic Research (SCAR); Climate and Cryosphere (CliC) project of theWorld Climate Research Programme (WCRP); Surface Ocean Lower Atmosphere Study (SOLAS); Natural Environment Research Council (NERC) PICCOLO (Processes Influencing Carbon Cycling: Observations of the Lower limb of the Antarctic Overturning) project(UK Research &amp; Innovation (UKRI)Natural Environment Research Council (NERC)); project EISPAC (NERC) part of the Changing Arctic Ocean programme - UKRI Natural Environment Research Council (NERC)(UK Research &amp; Innovation (UKRI)Natural Environment Research Council (NERC)); project EISPAC (NERC) part of the Changing Arctic Ocean programme - German Federal Ministry of Education and Research (BMBF); European Research Council under the European Union's Seventh Framework Programme (FP7-2007-2013); Horizon 2020 research and innovation program through the EUROCHAMP-2020 Infrastructure Activity; School of Environmental Sciences at UEA; NERC(UK Research &amp; Innovation (UKRI)Natural Environment Research Council (NERC)); European Research Council (ERC)(European Research Council (ERC)Spanish Government)</t>
  </si>
  <si>
    <t>This article is dedicated to the memory of Professor Roland von Glasow (30.07.1971 -06.09.2015), who was the inspiration and driving force behind the development of the air-sea-ice chamber that is described here. We would like to thank Stuart Rix, Dave Blomfield, Nick Griffin, Andy Macdonald, and Gareth Flowerdue for technical support with the RvG-ASIC. Thanks also to Dirk Notz and Leif Riemenschneider for many stimulating discussions and technical help with the wireharps, to David Rees Jones and GraeWorster for assistance in setting up their parameterization, and to two anonymous reviewers for their thorough evaluations of the manuscript. This work was carried out under the auspices of BEPSII (Biogeochemical Exchange Processes at the Sea-Ice Interfaces), a network supported by the Scientific Committee on Antarctic Research (SCAR), the Climate and Cryosphere (CliC) project of theWorld Climate Research Programme (WCRP) and by the Surface Ocean Lower Atmosphere Study (SOLAS). Dorothee Bakker was funded by the Natural Environment Research Council (NERC) PICCOLO (Processes Influencing Carbon Cycling: Observations of the Lower limb of the Antarctic Overturning) project (NE/P021395/1). This work was supported by project EISPAC (NERC Grant no. NE/R012857/1), part of the Changing Arctic Ocean programme, jointly funded by the UKRI Natural Environment Research Council (NERC) and the German Federal Ministry of Education and Research (BMBF). This work received funding from the European Research Council under the European Union's Seventh Framework Programme (FP7-2007-2013, Grant Agreement 616938) and the Horizon 2020 research and innovation program through the EUROCHAMP-2020 Infrastructure Activity under Grant Agreement 730997. After R. v. G.'s death the School of Environmental Sciences at UEA kindly funded M. T.'s PhD stipend. All data, plot scripts, and model code are available at https://doi.org/10.5281/zenodo.3505780 (submission version) and https://doi.org/10.5281/zenodo.3626975 (final version).</t>
  </si>
  <si>
    <t>e2019JC015791</t>
  </si>
  <si>
    <t>10.1029/2019JC015791</t>
  </si>
  <si>
    <t>WOS:000530025600005</t>
  </si>
  <si>
    <t>Zeng, ZL; Wang, ZM; Gui, K; Yan, XY; Gao, M; Luo, M; Geng, H; Liao, TT; Li, X; An, JC; Liu, HZ; He, C; Ning, GC; Yang, YJ</t>
  </si>
  <si>
    <t>Zeng, Zhaoliang; Wang, Zemin; Gui, Ke; Yan, Xiaoyu; Gao, Meng; Luo, Ming; Geng, Hong; Liao, Tingting; Li, Xiao; An, Jiachun; Liu, Haizhi; He, Chao; Ning, Guicai; Yang, Yuanjian</t>
  </si>
  <si>
    <t>Daily Global Solar Radiation in China Estimated From High-Density Meteorological Observations: A Random Forest Model Framework</t>
  </si>
  <si>
    <t>PHOTOSYNTHETICALLY ACTIVE RADIATION; AIR-POLLUTION; IRRADIANCE FORECASTS; PREDICTION; SATELLITE; SUNSHINE; TEMPERATURE; PRODUCTS</t>
  </si>
  <si>
    <t>Accurate estimation of the spatiotemporal variations of solar radiation is crucial for assessing and utilizing solar energy, one of the fastest-growing and most important clean and renewable resources. Based on observations from 2,379 meteorological stations along with scare solar radiation observations, the random forest (RF) model is employed to construct a high-density network of daily global solar radiation (DGSR) and its spatiotemporal variations in China. The RF-estimated DGSR is in good agreement with site observations across China, with an overall correlation coefficient (R) of 0.95, root-mean-square error of 2.34 MJ/m(2), and mean bias of -0.04 MJ/m(2). The geographical distributions of R values, root-mean-square error, and mean bias values indicate that the RF model has high predictive performance in estimating DGSR under different climatic and geographic conditions across China. The RF model further reveals that daily sunshine duration, daily maximum land surface temperature, and day of year play dominant roles in determining DGSR across China. In addition, compared with other models, the RF model exhibits a more accurate estimation performance for DGSR. Using the RF model framework at the national scale allows the establishment of a high-resolution DGSR network, which can not only be used to effectively evaluate the long-term change in solar radiation but also serve as a potential resource to rationally and continually utilize solar energy.</t>
  </si>
  <si>
    <t>[Zeng, Zhaoliang; Wang, Zemin] Wuhan Univ, Chinese Antarctic Ctr Surveying &amp; Mapping, Wuhan, Peoples R China; [Gui, Ke; An, Jiachun] Chinese Acad Meteorol Sci, Inst Atmospher Composit, CMA, Beijing, Peoples R China; [Yan, Xiaoyu] Univ Exeter, Environm &amp; Sustainabil Inst, Penryn, England; [Gao, Meng] Hong Kong Baptist Univ, Dept Geog, Hong Kong, Peoples R China; [Luo, Ming] Sun Yat Sen Univ, Sch Geog &amp; Planning, Guangzhou, Peoples R China; [Luo, Ming] Sun Yat Sen Univ, Guangdong Key Lab Urbanizat &amp; Geosimulat, Guangzhou, Peoples R China; [Luo, Ming; Ning, Guicai; Yang, Yuanjian] Chinese Univ Hong Kong, Inst Environm Energy &amp; Sustainabil, Hong Kong, Peoples R China; [Geng, Hong; He, Chao] Wuhan Univ, Sch Resource &amp; Environm Sci, Wuhan, Peoples R China; [Liao, Tingting] Chengdu Univ Informat Technol, Coll Atmospher Sci, Plateau Atmospher &amp; Environm Lab Sichuan Prov, Chengdu, Peoples R China; [Li, Xiao] CPI Power Engn Co LTD, Shanghai, Peoples R China; [Liu, Haizhi] CMA, Natl Meteorol Ctr, Beijing, Peoples R China; [Yang, Yuanjian] Nanjing Univ Informat Sci &amp; Technol, Sch Atmospher Phys, Nanjing, Peoples R China; [Yang, Yuanjian] Chinese Acad Sci, Inst Earth Environm, State Key Lab Loess &amp; Quaternary Geol, Xian, Peoples R China</t>
  </si>
  <si>
    <t>Wuhan University; China Meteorological Administration; Chinese Academy of Meteorological Sciences (CAMS); University of Exeter; Hong Kong Baptist University; Sun Yat Sen University; Sun Yat Sen University; Chinese University of Hong Kong; Wuhan University; Chengdu University of Information Technology; China Meteorological Administration; Nanjing University of Information Science &amp; Technology; Chinese Academy of Sciences; Institute of Earth Environment, CAS</t>
  </si>
  <si>
    <t>Wang, ZM (corresponding author), Wuhan Univ, Chinese Antarctic Ctr Surveying &amp; Mapping, Wuhan, Peoples R China.;Yang, YJ (corresponding author), Chinese Univ Hong Kong, Inst Environm Energy &amp; Sustainabil, Hong Kong, Peoples R China.;Yang, YJ (corresponding author), Nanjing Univ Informat Sci &amp; Technol, Sch Atmospher Phys, Nanjing, Peoples R China.;Yang, YJ (corresponding author), Chinese Acad Sci, Inst Earth Environm, State Key Lab Loess &amp; Quaternary Geol, Xian, Peoples R China.</t>
  </si>
  <si>
    <t>zmwang@whu.edu.cn; yyj1985@nuist.edu.cn</t>
  </si>
  <si>
    <t>Luo, Ming/AAE-8527-2021; GAO, Meng/AAL-6653-2021; Luo, Ming/IUQ-1554-2023; Gui, Ke/F-6377-2016; An, Jiachun/ABG-4275-2020; He, Chao/IVH-1207-2023; yang, yang/GWB-9426-2022; ZeMin, Wang/AAU-3422-2020; Zeng, Zhaoliang/AAV-8359-2021; yang, yang/HGT-7999-2022; Yan, Xiaoyu/C-4178-2008</t>
  </si>
  <si>
    <t>Luo, Ming/0000-0002-5474-3892; GAO, Meng/0000-0002-8657-3541; Luo, Ming/0000-0002-5474-3892; Gui, Ke/0000-0002-8444-9547; Zeng, Zhaoliang/0000-0002-9108-8575; Yan, Xiaoyu/0000-0003-3165-5870</t>
  </si>
  <si>
    <t>National Natural Science Foundation of China [41776195, 41531069, 41871029]; open funding of State Key Laboratory of Loess and Quaternary Geology [SKLLQG1842]</t>
  </si>
  <si>
    <t>National Natural Science Foundation of China(National Natural Science Foundation of China (NSFC)); open funding of State Key Laboratory of Loess and Quaternary Geology</t>
  </si>
  <si>
    <t>This work was supported by the National Natural Science Foundation of China under Grants 41776195, 41531069, and 41871029 and the open funding of State Key Laboratory of Loess and Quaternary Geology (SKLLQG1842). http://data.cma.cn/site/index.htmlAll meteorological data input Random Forest Model were obtained from the China Meteorological Data Service Center (CMDC, http://data.cma.cn/en/?r=data/index&amp;cid= 6d1b5efbdcbf9a58), which requires an authorized log-in or via off-line data processing and product tailoring services. Specifically, hourly data can be found at http://data.cma.cn/en/?r= data/detail&amp;dataCode=A.0012.0001, and daily observations are found at http://data.cma.cn/en/?r=data/detail&amp;dataCode=SURF_CLI_CHN_ MUL_DAY_CES_V3.0.</t>
  </si>
  <si>
    <t>UNSP e2019EA001058</t>
  </si>
  <si>
    <t>10.1029/2019EA001058</t>
  </si>
  <si>
    <t>LI1HN</t>
  </si>
  <si>
    <t>WOS:000529236000017</t>
  </si>
  <si>
    <t>Dillon, ML; Hawes, I; Jungblut, AD; Mackey, TJ; Eisen, JA; Doran, PT; Sumner, DY</t>
  </si>
  <si>
    <t>Dillon, Megan L.; Hawes, Ian; Jungblut, Anne D.; Mackey, Tyler J.; Eisen, Jonathan A.; Doran, Peter T.; Sumner, Dawn Y.</t>
  </si>
  <si>
    <t>Energetic and Environmental Constraints on the Community Structure of Benthic Microbial Mats in Lake Fryxell, Antarctica</t>
  </si>
  <si>
    <t>Antarctica; microbial mat; energy; Lake Fryxell; Oxygen; Photosynthetically Active Radiation</t>
  </si>
  <si>
    <t>MCMURDO DRY VALLEYS; ANOXYGENIC PHOTOSYNTHESIS; TAYLOR VALLEY; DIVERSITY; PRODUCTIVITY; DYNAMICS; BIODIVERSITY; COMPETITION; CYANOBACTERIA; ECOSYSTEMS</t>
  </si>
  <si>
    <t>Ecological communities are regulated by the flow of energy through environments. Energy flow is typically limited by access to photosynthetically active radiation (PAR) and oxygen concentration (O-2). The microbial mats growing on the bottom of Lake Fryxell, Antarctica, have well-defined environmental gradients in PAR and (O-2). We analyzed the metagenomes of layers from these microbial mats to test the extent to which access to oxygen and light controls community structure. We found variation in the diversity and relative abundances of Archaea, Bacteria and Eukaryotes across three (O-2) and PAR conditions: high (O-2) and maximum PAR, variable (O-2) with lower maximum PAR, and low (O-2) and maximum PAR. We found distinct communities structured by the optimization of energy use on a millimeter-scale across these conditions. In mat layers where (O-2) was saturated, PAR structured the community. In contrast, (O-2) positively correlated with diversity and affected the distribution of dominant populations across the three habitats, suggesting that meter-scale diversity is structured by energy availability. Microbial communities changed across covarying gradients of PAR and (O-2). The comprehensive metagenomic analysis suggests that the benthic microbial communities in Lake Fryxell are structured by energy flow across both meter- and millimeter-scales.</t>
  </si>
  <si>
    <t>[Dillon, Megan L.] Lawrence Berkeley Natl Lab, Climate &amp; Ecosyst Sci Div, 70A-2245B,One Cyclotron Rd, Berkeley, CA 94720 USA; [Dillon, Megan L.; Sumner, Dawn Y.] Univ Calif Davis, Dept Earth &amp; Planetary Sci, One Shields Ave, Davis, CA 95616 USA; [Hawes, Ian] Univ Waikato, Coastal Marine Field Stn, 58 Cross Rd, Sulphur Point 3110, Tauranga, New Zealand; [Jungblut, Anne D.] Nat Hist Museum, Life Sci Dept, Cromwell Rd, London SW7 5BD, England; [Mackey, Tyler J.] MIT, Dept Earth Atmospher &amp; Planetary Sci, 77 Massachusetts Ave, Cambridge, MA 02139 USA; [Eisen, Jonathan A.] Univ Calif Davis, Dept Evolut &amp; Ecol, One Shields Ave Davis, Davis, CA 95616 USA; [Doran, Peter T.] Louisiana State Univ, Geol &amp; Geophys, E235 Howe Russell Kniffen, Baton Rouge, LA 70803 USA</t>
  </si>
  <si>
    <t>United States Department of Energy (DOE); Lawrence Berkeley National Laboratory; University of California System; University of California Davis; University of Waikato; Natural History Museum London; Massachusetts Institute of Technology (MIT); University of California System; University of California Davis; Louisiana State University System; Louisiana State University</t>
  </si>
  <si>
    <t>Dillon, ML (corresponding author), Lawrence Berkeley Natl Lab, Climate &amp; Ecosyst Sci Div, 70A-2245B,One Cyclotron Rd, Berkeley, CA 94720 USA.</t>
  </si>
  <si>
    <t>mldillon@lbl.gov</t>
  </si>
  <si>
    <t>Eisen, Jonathan A./H-2706-2019; Sumner, Dawn/E-8744-2011</t>
  </si>
  <si>
    <t>Eisen, Jonathan A./0000-0002-0159-2197; Sumner, Dawn/0000-0002-7343-2061; Mackey, Tyler/0000-0001-6377-3797</t>
  </si>
  <si>
    <t>National Science Foundation Division of Polar Programs through the McMurdo Long Term Ecological Research project [OPP-115245, OPP-1637708]; NASA Astrobiology [NN13AI60G]</t>
  </si>
  <si>
    <t>National Science Foundation Division of Polar Programs through the McMurdo Long Term Ecological Research project; NASA Astrobiology</t>
  </si>
  <si>
    <t>Logistic field work support was provided by the National Science Foundation Division of Polar Programs through the McMurdo Long Term Ecological Research project (Grants OPP-115245 and OPP-1637708) and Antarctic New Zealand Program. Field assistance was provided by Colin Hillmann. Support for genomics and data analysis was provided by NASA Astrobiology through Grant NN13AI60G. The authors declare no competing financial interests in relation to the work described. We thank the reviewers for their time and constructive comments on an earlier version of the manuscript.</t>
  </si>
  <si>
    <t>fiz207</t>
  </si>
  <si>
    <t>10.1093/femsec/fiz207</t>
  </si>
  <si>
    <t>LE4HD</t>
  </si>
  <si>
    <t>Green Published, Green Submitted, hybrid</t>
  </si>
  <si>
    <t>WOS:000526679400011</t>
  </si>
  <si>
    <t>Hodgson, JC; Holman, D; Terauds, A; Koh, LP; Goldsworthy, SD</t>
  </si>
  <si>
    <t>Hodgson, Jarrod C.; Holman, Dirk; Terauds, Aleks; Koh, Lian Pin; Goldsworthy, Simon D.</t>
  </si>
  <si>
    <t>Rapid condition monitoring of an endangered marine vertebrate using precise, non-invasive morphometrics</t>
  </si>
  <si>
    <t>BIOLOGICAL CONSERVATION</t>
  </si>
  <si>
    <t>Photogrammetry; Drones; Unmanned aerial vehicle; UAV; Australian sea lion; Body condition</t>
  </si>
  <si>
    <t>AUSTRALIAN SEA LIONS; BODY CONDITION; ESTIMATING FITNESS; CONDITION INDEXES; NEOPHOCA-CINEREA; ELEPHANT SEAL; MASS; PHOTOGRAMMETRY; CONSERVATION; ABUNDANCE</t>
  </si>
  <si>
    <t>Understanding causes of population change is critical for conservation. Quantifying these causes can be difficult, especially for hard to sample animals like marine vertebrates (e.g. pinnipeds). One solution is to investigate spatiotemporal differences in a species' body condition by measuring body size and mass. Collecting traditional morphological measurements is risky and labour intensive, making less invasive and more efficient techniques desirable. Using Australian sea lions (Neophoca cinerea) of known size and mass as a case study, we tested the suitability of using drone-derived photogrammetry to estimate morphological measurements and assess body condition. Drone-derived measurements were precise and without bias. Animal mass was highly correlated with the 2-dimensional and 3-dimensional measurements of simplified area and volume, explaining &gt; 77% and &gt; 84% (all P &lt; .01) of the variation in mass, depending on the age-sex class. The juvenile class exhibited the strongest associations (both 2D and 3D R-2 &gt; 0.99). Using each measurement as a proxy for mass, we calculated body condition indices for each class by standardising the variables by animal length. Photogrammetric indices ranked individuals comparably to those generated from ground-collected data (r(s) = 0.77-1, depending on age-sex class). Our technique provides a workflow for the non-invasive collection of morphometric data to quantify animal condition, which is transferrable to other pinniped species with species-specific calibration. It will also facilitate the efficient collection of morphometric data of vertebrates from remotely sensed imagery.</t>
  </si>
  <si>
    <t>[Hodgson, Jarrod C.; Koh, Lian Pin; Goldsworthy, Simon D.] Univ Adelaide, Sch Biol Sci, 311 Oliphant Bldg,North Terrace Campus, Adelaide, SA 5005, Australia; [Holman, Dirk] Dept Environm &amp; Water, Port Lincoln, SA 5606, Australia; [Terauds, Aleks] Antarctic Conservat &amp; Management, Australian Antarctic Div, Dept Environm &amp; Energy, Kingston, Tas 7050, Australia; [Koh, Lian Pin] Conservat Int, Betty &amp; Gordon Moore Ctr Sci, Arlington, VA 22202 USA; [Goldsworthy, Simon D.] Aquat Sci Ctr, South Australian Res &amp; Dev Inst, West Beach, SA 5024, Australia</t>
  </si>
  <si>
    <t>University of Adelaide; Australian Antarctic Division; Conservation International; South Australian Research &amp; Development Institute (SARDI)</t>
  </si>
  <si>
    <t>Hodgson, JC (corresponding author), Univ Adelaide, Sch Biol Sci, 311 Oliphant Bldg,North Terrace Campus, Adelaide, SA 5005, Australia.</t>
  </si>
  <si>
    <t>jarrod.hodgson@adelaide.edu.au</t>
  </si>
  <si>
    <t>Terauds, Aleks/A-4991-2010; Koh, Lian Pin/A-5794-2010</t>
  </si>
  <si>
    <t>Koh, Lian Pin/0000-0001-8152-3871; Goldsworthy, Simon/0000-0003-4988-9085; Hodgson, Jarrod/0000-0003-0481-7360; Terauds, Aleks/0000-0001-7804-6648</t>
  </si>
  <si>
    <t>Department for Environment and Water, Government of South Australia; Australian Government Research Training Program Scholarship</t>
  </si>
  <si>
    <t>Department for Environment and Water, Government of South Australia; Australian Government Research Training Program Scholarship(Australian GovernmentDepartment of Industry, Innovation and Science)</t>
  </si>
  <si>
    <t>This study received funding from the Department for Environment and Water, Government of South Australia. J.C.H. is supported by an Australian Government Research Training Program Scholarship.</t>
  </si>
  <si>
    <t>0006-3207</t>
  </si>
  <si>
    <t>1873-2917</t>
  </si>
  <si>
    <t>BIOL CONSERV</t>
  </si>
  <si>
    <t>Biol. Conserv.</t>
  </si>
  <si>
    <t>10.1016/j.biocon.2019.108402</t>
  </si>
  <si>
    <t>KR8GX</t>
  </si>
  <si>
    <t>WOS:000517855100012</t>
  </si>
  <si>
    <t>Borocci, S; Della Pelle, G; Ceccacci, F; Olivieri, C; Buonocore, F; Porcelli, F</t>
  </si>
  <si>
    <t>Borocci, Stefano; Della Pelle, Giulia; Ceccacci, Francesca; Olivieri, Cristina; Buonocore, Francesco; Porcelli, Fernando</t>
  </si>
  <si>
    <t>Structural Analysis and Design of Chionodracine-Derived Peptides Using Circular Dichroism and Molecular Dynamics Simulations</t>
  </si>
  <si>
    <t>chionodracines; antimicrobial peptides; circular dichroism; molecular dynamics; peptide-membrane interaction</t>
  </si>
  <si>
    <t>HELICAL ANTIMICROBIAL PEPTIDES; LINEAR CONSTRAINT SOLVER; RATIONAL DESIGN; FORCE-FIELD; MECHANISM; HYDROPHOBICITY; ANTIBIOTICS; PISCIDINS; LINCS; CD</t>
  </si>
  <si>
    <t>Antimicrobial peptides have been identified as one of the alternatives to the extensive use of common antibiotics as they show a broad spectrum of activity against human pathogens. Among these is Chionodracine (Cnd), a host-defense peptide isolated from the Antarctic icefish Chionodraco hamatus, which belongs to the family of Piscidins. Previously, we demonstrated that Cnd and its analogs display high antimicrobial activity against ESKAPE pathogens (Enterococcus faecium, Staphylococcus aureus, Klebsiella pneumoniae, Acinetobacter baumannii, Pseudomonas aeruginosa and Enterobacter species). Herein, we investigate the interactions with lipid membranes of Cnd and two analogs, Cnd-m3 and Cnd-m3a, showing enhanced potency. Using a combination of Circular Dichroism, fluorescence spectroscopy, and all-atom Molecular Dynamics (MD) simulations, we determined the structural basis for the different activity among these peptides. We show that all peptides are predominantly unstructured in water and fold, preferentially as alpha-helices, in the presence of lipid vesicles of various compositions. Through a series of MD simulations of 400 ns time scale, we show the effect of mutations on the structure and lipid interactions of Cnd and its analogs. By explaining the structural basis for the activity of these analogs, our findings provide structural templates to design minimalistic peptides for therapeutics.</t>
  </si>
  <si>
    <t>[Borocci, Stefano; Della Pelle, Giulia; Buonocore, Francesco; Porcelli, Fernando] Univ Tuscia, Dept Innovat Biol Agrofood &amp; Forest Syst, I-01100 Viterbo, Italy; [Borocci, Stefano] CNR, Inst Biol Syst, Via Salaria,Km 29-500, I-00015 Rome, Italy; [Ceccacci, Francesca] CNR, Inst Biol Syst, Sede Secondaria Roma Meccanismi Reaz, I-00185 Rome, Italy; [Olivieri, Cristina] Univ Minnesota, Dept Biochem Mol Biol &amp; Biophys, Minneapolis, MN 55455 USA</t>
  </si>
  <si>
    <t>Tuscia University; Consiglio Nazionale delle Ricerche (CNR); Istituto per i Sistemi Biologici (ISB-CNR); Consiglio Nazionale delle Ricerche (CNR); Istituto per i Sistemi Biologici (ISB-CNR); University of Minnesota System; University of Minnesota Twin Cities</t>
  </si>
  <si>
    <t>Porcelli, F (corresponding author), Univ Tuscia, Dept Innovat Biol Agrofood &amp; Forest Syst, I-01100 Viterbo, Italy.</t>
  </si>
  <si>
    <t>borocci@unitus.it; giulia.dellapelle@studenti.unitus.it; francesca.ceccacci@cnr.it; colivier@umn.edu; fbuono@unitus.it; porcelli@unitus.it</t>
  </si>
  <si>
    <t>Della Pelle, Giulia/AAM-1023-2020; Ceccacci, Francesca/AAE-9125-2022; Porcelli, Fernando/AAA-5242-2020; Olivieri, Cristina/HNJ-5505-2023; Porcelli, Fernando/GSN-6338-2022; Sanguinetti, Maurizio/A-1453-2019</t>
  </si>
  <si>
    <t>Della Pelle, Giulia/0000-0002-8110-1932; Porcelli, Fernando/0000-0003-3209-0074; Olivieri, Cristina/0000-0001-6957-6743; Porcelli, Fernando/0000-0003-3209-0074; Sanguinetti, Maurizio/0000-0002-9780-7059; Buonocore, Francesco/0000-0001-8045-5651</t>
  </si>
  <si>
    <t>Departments of Excellence 2018 Program (Dipartimenti di Eccellenza) of the Italian ministry of Education, University and Research, DIBAF-Department of University of Tuscia</t>
  </si>
  <si>
    <t>This research was supported by the Departments of Excellence 2018 Program (Dipartimenti di Eccellenza) of the Italian ministry of Education, University and Research, DIBAF-Department of University of Tuscia, Project Landscape 4.0-food, wellbeing and environment.</t>
  </si>
  <si>
    <t>10.3390/ijms21041401</t>
  </si>
  <si>
    <t>KY4FE</t>
  </si>
  <si>
    <t>WOS:000522524400228</t>
  </si>
  <si>
    <t>He, N; Liu, ZW; Sun, X; Wang, SY; Liu, WJ; Sun, D; Duan, SS</t>
  </si>
  <si>
    <t>He, Ning; Liu, Zhiwei; Sun, Xian; Wang, Shuangyao; Liu, Weijie; Sun, Dong; Duan, Shunshan</t>
  </si>
  <si>
    <t>Phytotoxicity, Bioaccumulation, and Degradation of Nonylphenol in Different Microalgal Species without Bacterial Influences</t>
  </si>
  <si>
    <t>nonylphenol; microalgae; photosynthetic activities; antioxidant enzyme; biodegradation</t>
  </si>
  <si>
    <t>OXIDATIVE STRESS; CHLOROPHYLL FLUORESCENCE; BISPHENOL-A; TOXICITY; BIODEGRADATION; RESPONSES; WATER; 4-NONYLPHENOL; ALGAE; 4-N-NONYLPHENOL</t>
  </si>
  <si>
    <t>Nonylphenol (NP) is a contaminant that has negative impacts on aquatic organisms. To investigate its phytotoxicity, bioaccumulation, and degradation in algae without associated bacteria, six freshwater microalgae-Ankistrodesmus acicularis, Chlorella vulgaris, Chroococcus minutus, Scenedesmus obliquus, Scenedesmus quadricauda, and Selenastrum bibraianum-in bacteria-free cultures were studied. When exposed to 0.5-3.0 mg L-1 NP for 4 days, cell growth and photosynthesis, including maximal photochemistry (Fv/Fm), were suppressed progressively. The antioxidant responses of superoxide dismutase (SOD), catalase (CAT), and peroxidase (POD) showed species differences. While the antioxidant enzymes in C. vulgaris and S. obliquus were more active with the increase of NP (0-3 mg L-1), they dropped in the other four algae at concentrations of 1 and 1.5 mg L-1. Therefore, C. vulgaris and S. obliquus were designated as NP-tolerant species and showed more conspicuous and faster changes of antioxidant reactions compared with the four NP-sensitive species. All six species degraded NP, but A. acicularis was more reactive at low NP concentrations (&lt;1 mg L-1), suggesting its possible application in sewage treatment for its potential for effective NP removal from water bodies in a suitable scope. Therefore, the conclusion is that biodegradation of NP by algae is species specific.</t>
  </si>
  <si>
    <t>[He, Ning] Yichun Univ, Coll Life Sci &amp; Resources &amp; Environm, Yichun 336000, Peoples R China; [Liu, Zhiwei] South China Univ Technol, Sch Environm &amp; Energy, Guangzhou 510006, Peoples R China; [Sun, Xian] Sun Yat Sen Univ, Sch Marine Sci, Southern Marine Sci &amp; Engn Guangdong Lab Zhuhai, Zhuhai Key Lab Marine Bioresources &amp; Environm,Gua, Guangzhou 510275, Peoples R China; [Wang, Shuangyao] Univ Tasmania, Inst Marine &amp; Antarctic Studies, Private Bag 49, Hobart, Tas 7001, Australia; [Liu, Weijie] Minist Ecol &amp; Environm, South China Inst Environm Sci, 18 Ruihe RD, Guangzhou 510535, Peoples R China; [Sun, Dong; Duan, Shunshan] Jinan Univ, Inst Hydrobiol, Guangzhou 510632, Peoples R China</t>
  </si>
  <si>
    <t>Yichun University; South China University of Technology; Sun Yat Sen University; Southern Marine Science &amp; Engineering Guangdong Laboratory; Southern Marine Science &amp; Engineering Guangdong Laboratory (Zhuhai); University of Tasmania; Jinan University; Chinese Academy of Sciences</t>
  </si>
  <si>
    <t>Sun, X (corresponding author), Sun Yat Sen Univ, Sch Marine Sci, Southern Marine Sci &amp; Engn Guangdong Lab Zhuhai, Zhuhai Key Lab Marine Bioresources &amp; Environm,Gua, Guangzhou 510275, Peoples R China.</t>
  </si>
  <si>
    <t>hening2010@163.com; zwliumost@126.com; sunx27@mail.sysu.edu.cn; shuangyaowang1314@outlook.com; liuweijie@scies.org; jnu_sundong@163.com; tssduan@jnu.edu.cn</t>
  </si>
  <si>
    <t>Wang, Shuangyao/JNT-4380-2023; Xian, Sun/KBB-6620-2024</t>
  </si>
  <si>
    <t>Wang, Shuangyao/0000-0003-1074-011X; Sun, Xian/0000-0002-1203-5281; He, Ning/0000-0001-9207-088X</t>
  </si>
  <si>
    <t>Natural Science Foundation of China [41676099]; Science and Technology Research Project of Jiangxi Provincial Department of Education [GJJ170916]</t>
  </si>
  <si>
    <t>Natural Science Foundation of China(National Natural Science Foundation of China (NSFC)); Science and Technology Research Project of Jiangxi Provincial Department of Education</t>
  </si>
  <si>
    <t>This work was funded by the Natural Science Foundation of China (No. 41676099) and the Science and Technology Research Project of Jiangxi Provincial Department of Education (No. GJJ170916).</t>
  </si>
  <si>
    <t>10.3390/ijms21041338</t>
  </si>
  <si>
    <t>WOS:000522524400165</t>
  </si>
  <si>
    <t>Han, SS; Ren, F; Du, QY; Gui, DW</t>
  </si>
  <si>
    <t>Han, Shanshan; Ren, Fu; Du, Qingyun; Gui, Dawei</t>
  </si>
  <si>
    <t>Extracting Representative Images of Tourist Attractions from Flickr by Combining an Improved Cluster Method and Multiple Deep Learning Models</t>
  </si>
  <si>
    <t>ISPRS INTERNATIONAL JOURNAL OF GEO-INFORMATION</t>
  </si>
  <si>
    <t>tourist attractions; representative images; geotagged photos; Word2Vec; convolutional networks</t>
  </si>
  <si>
    <t>Extracting representative images of tourist attractions from geotagged photos is beneficial to many fields in tourist management, such as applications in touristic information systems. This task usually begins with clustering to extract tourist attractions from raw coordinates in geotagged photos. However, most existing cluster methods are limited in the accuracy and granularity of the places of interest, as well as in detecting distinct tags, due to its primary consideration of spatial relationships. After clustering, the challenge still exists for the task of extracting representative images within the geotagged base image data, because of the existence of noisy photos occupied by a large area proportion of humans and unrelated objects. In this paper, we propose a framework containing an improved cluster method and multiple neural network models to extract representative images of tourist attractions. We first propose a novel time- and user-constrained density-joinable cluster method (TU-DJ-Cluster), specific to photos with similar geotags to detect place-relevant tags. Then we merge and extend the clusters according to the similarity between pairs of tag embeddings, as trained fromWord2Vec. Based on the clustering result, we filter noise images with Multilayer Perceptron and a single-shot multibox detector model, and further select representative images with the deep ranking model. We select Beijing as the study area. The quantitative and qualitative analysis, as well as the questionnaire results obtained from real-life tourists, demonstrate the effectiveness of this framework.</t>
  </si>
  <si>
    <t>[Han, Shanshan; Ren, Fu; Du, Qingyun] Wuhan Univ, Sch Resource &amp; Environm Sci, Wuhan 430079, Peoples R China; [Ren, Fu; Du, Qingyun] Wuhan Univ, Key Lab Geog Informat Syst, Minist Educ, Wuhan 430079, Peoples R China; [Ren, Fu; Du, Qingyun] Wuhan Univ, Key Lab Digital Mapping &amp; Land Informat Applicat, Natl Adm Surveying Mapping &amp; Geoinformat, Wuhan 430079, Peoples R China; [Du, Qingyun] Wuhan Univ, Collaborat Innovat Ctr Geospatial Technol, Wuhan 430079, Peoples R China; [Gui, Dawei] Wuhan Univ, Chinese Antarctic Ctr Surveying &amp; Mapping, Wuhan 430079, Peoples R China</t>
  </si>
  <si>
    <t>Wuhan University; Wuhan University; Wuhan University; Wuhan University; Wuhan University</t>
  </si>
  <si>
    <t>Du, QY (corresponding author), Wuhan Univ, Sch Resource &amp; Environm Sci, Wuhan 430079, Peoples R China.;Du, QY (corresponding author), Wuhan Univ, Key Lab Geog Informat Syst, Minist Educ, Wuhan 430079, Peoples R China.;Du, QY (corresponding author), Wuhan Univ, Key Lab Digital Mapping &amp; Land Informat Applicat, Natl Adm Surveying Mapping &amp; Geoinformat, Wuhan 430079, Peoples R China.;Du, QY (corresponding author), Wuhan Univ, Collaborat Innovat Ctr Geospatial Technol, Wuhan 430079, Peoples R China.;Gui, DW (corresponding author), Wuhan Univ, Chinese Antarctic Ctr Surveying &amp; Mapping, Wuhan 430079, Peoples R China.</t>
  </si>
  <si>
    <t>hanshanshan@whu.edu.cn; renfu@whu.edu.cn; qydu@whu.edu.cn; guidawei@pric.org.cn</t>
  </si>
  <si>
    <t>Han, Shanshan/0000-0002-1133-3295; Gui, Dawei/0000-0002-9176-8415; Du, Qingyun/0000-0003-4615-2029</t>
  </si>
  <si>
    <t>National Key Research and Development Program of China [2016YFC0803106]; National Natural Science Foundation of China [41571438]</t>
  </si>
  <si>
    <t>National Key Research and Development Program of China; National Natural Science Foundation of China(National Natural Science Foundation of China (NSFC))</t>
  </si>
  <si>
    <t>This research was funded by the National Key Research and Development Program of China, grant number 2016YFC0803106, and the National Natural Science Foundation of China, grant number No. 41571438.</t>
  </si>
  <si>
    <t>2220-9964</t>
  </si>
  <si>
    <t>ISPRS INT J GEO-INF</t>
  </si>
  <si>
    <t>ISPRS Int. J. Geo-Inf.</t>
  </si>
  <si>
    <t>10.3390/ijgi9020081</t>
  </si>
  <si>
    <t>Computer Science, Information Systems; Geography, Physical; Remote Sensing</t>
  </si>
  <si>
    <t>Computer Science; Physical Geography; Remote Sensing</t>
  </si>
  <si>
    <t>KY3CX</t>
  </si>
  <si>
    <t>WOS:000522449700021</t>
  </si>
  <si>
    <t>Sadaiappan, B; Kannan, S; Palaniappan, S; Manikkam, R; Ramasamy, B; Anilkumar, N; Subramanian, M</t>
  </si>
  <si>
    <t>Sadaiappan, Balamurugan; Kannan, Sivakumar; Palaniappan, Sivasankar; Manikkam, Radhakrishnan; Ramasamy, Balagurunathan; Anilkumar, N.; Subramanian, Mahendran</t>
  </si>
  <si>
    <t>Metagenomic 16S rDNA amplicon data of microbial diversity and its predicted metabolic functions in the Southern Ocean (Antarctic)</t>
  </si>
  <si>
    <t>DATA IN BRIEF</t>
  </si>
  <si>
    <t>Microbial diversity; Southern ocean; Metabolic functions; Proteobacteria</t>
  </si>
  <si>
    <t>Antarctica holds about 70% of all the freshwater on the planet in the form of ice. The seawater, it chills, affect the currents and temperature everywhere. Global warming risks the melting of the icecaps as it has already increased the ocean temperature by 1 degrees C to the West Antarctic peninsula since 1955. A better understanding of the microbial community in this extreme environment of utmost importance is of interest to the scientific community. Herein, we document our metagenomics analysis of the microbial diversity and abundance in the Southern Ocean [Lat 5500 330 396 S; Lon 5500 310 448 E] using Next Generation Sequencing (NGS), QIIME 1.9.1, Silvangs and a naive Bayesian classifier. Suchmetagenomics data hold the potential to aid predictive analysis, which is critical to our understanding of the dynamics of the microbial communities and their role in the Southern Ocean at present and in the future. (C) 2019 The Authors. Published by Elsevier Inc.</t>
  </si>
  <si>
    <t>[Sadaiappan, Balamurugan] Natl Inst Oceanog, CSIR, Plankton Ecol Lab, Panaji, Goa, India; [Kannan, Sivakumar] Annamalai Univ, Ctr Adv Study Marine Biol, Annamalainagar, Tamil Nadu, India; [Palaniappan, Sivasankar; Ramasamy, Balagurunathan] Periyar Univ, Dept Microbiol, Salem, India; [Manikkam, Radhakrishnan] Sathyabama Inst Sci &amp; Technol, Ctr Drug Discovery &amp; Dev, Chennai, Tamil Nadu, India; [Anilkumar, N.] Natl Ctr Antarctic &amp; Ocean Res, Vasco Da Gama, Goa, India; [Subramanian, Mahendran] Imperial Coll London, Dept Bioengn, London, England; [Subramanian, Mahendran] Imperial Coll London, Dept Comp, London, England</t>
  </si>
  <si>
    <t>Council of Scientific &amp; Industrial Research (CSIR) - India; CSIR - National Institute of Oceanography (NIO); Annamalai University; Periyar University; Sathyabama Institute of Science &amp; Technology; Ministry of Earth Sciences (MoES) - India; National Centre for Polar and Ocean Research (NCPOR); Imperial College London; Imperial College London</t>
  </si>
  <si>
    <t>Subramanian, M (corresponding author), Imperial Coll London, Dept Bioengn, London, England.;Subramanian, M (corresponding author), Imperial Coll London, Dept Comp, London, England.</t>
  </si>
  <si>
    <t>m.subramanian@imperial.ac.uk</t>
  </si>
  <si>
    <t>Rama, Balagurunathan/G-9013-2011; Discovery and Development, Centre for Drug/AAV-1336-2021; Palaniappan, Sivasankar/D-6526-2013</t>
  </si>
  <si>
    <t>Rama, Balagurunathan/0000-0001-6655-5090; Discovery and Development, Centre for Drug/0000-0002-8709-4585; Palaniappan, Sivasankar/0000-0002-1930-7657; Subramanian, Mahendran/0000-0003-2447-8693; Sadaiappan, Balamurugan/0000-0002-4501-3003</t>
  </si>
  <si>
    <t>Department of Biotechnology, Government of India, New Delhi; EPSRC; Imperial College London [EP/N509486/1: 1,979,819]; EPSRC [1979819] Funding Source: UKRI</t>
  </si>
  <si>
    <t>Department of Biotechnology, Government of India, New Delhi(Department of Biotechnology (DBT) India); EPSRC(UK Research &amp; Innovation (UKRI)Engineering &amp; Physical Sciences Research Council (EPSRC)); Imperial College London; EPSRC(UK Research &amp; Innovation (UKRI)Engineering &amp; Physical Sciences Research Council (EPSRC))</t>
  </si>
  <si>
    <t>Authors received financial assistance to carry out this work from the Department of Biotechnology, Government of India, New Delhi. Currently, MS is funded by the EPSRC and Imperial College London (EP/N509486/1: 1,979,819). Authors thank their funders for the successful completion of this work.</t>
  </si>
  <si>
    <t>2352-3409</t>
  </si>
  <si>
    <t>DATA BRIEF</t>
  </si>
  <si>
    <t>Data Brief</t>
  </si>
  <si>
    <t>10.1016/j.dib.2019.104876</t>
  </si>
  <si>
    <t>KV3SE</t>
  </si>
  <si>
    <t>WOS:000520402100068</t>
  </si>
  <si>
    <t>Rego, A; Sousa, AGG; Santos, JP; Pascoal, F; Canário, J; Leao, PN; Magalhaes, C</t>
  </si>
  <si>
    <t>Rego, Adriana; Sousa, Antonio G. G.; Santos, Joao P.; Pascoal, Francisco; Canario, Joao; Leao, Pedro N.; Magalhaes, Catarina</t>
  </si>
  <si>
    <t>Diversity of Bacterial Biosynthetic Genes in Maritime Antarctica</t>
  </si>
  <si>
    <t>Antarctica; polyketides (PKs); non-ribosomal peptides (NRPs); biosynthetic genes; computational bioprospection; ketosynthase (KS); adenylation (AD); natural products (NPs)</t>
  </si>
  <si>
    <t>STREPTOMYCES-GRISEUS STRAIN; TRACE-ELEMENT CONTAMINATION; KING GEORGE ISLAND; POLYKETIDE SYNTHASES; NONRIBOSOMAL PEPTIDE; SECONDARY METABOLISM; FILDES PENINSULA; ANTIBIOTICS; DISCOVERY; REVEALS</t>
  </si>
  <si>
    <t>Bacterial natural products (NPs) are still a major source of new drug leads. Polyketides (PKs) and non-ribosomal peptides (NRP) are two pharmaceutically important families of NPs and recent studies have revealed Antarctica to harbor endemic polyketide synthase (PKS) and non-ribosomal peptide synthetase (NRPS) genes, likely to be involved in the production of novel metabolites. Despite this, the diversity of secondary metabolites genes in Antarctica is still poorly explored. In this study, a computational bioprospection approach was employed to study the diversity and identity of PKS and NRPS genes to one of the most biodiverse areas in maritime Antarctica Maxwell Bay. Amplicon sequencing of soil samples targeting ketosynthase (KS) and adenylation (AD) domains of PKS and NRPS genes, respectively, revealed abundant and unexplored chemical diversity in this peninsula. About 20% of AD domain sequences were only distantly related to characterized biosynthetic genes. Several PKS and NRPS genes were found to be closely associated to recently described metabolites including those from uncultured and candidate phyla. The combination of new approaches in computational biology and new culture-dependent and -independent strategies is thus critical for the recovery of the potential novel chemistry encoded in Antarctica microorganisms.</t>
  </si>
  <si>
    <t>[Rego, Adriana; Sousa, Antonio G. G.; Santos, Joao P.; Pascoal, Francisco; Leao, Pedro N.; Magalhaes, Catarina] Univ Porto, Interdisciplinary Ctr Marine &amp; Environm Res CIIMA, P-4450208 Matosinhos, Portugal; [Rego, Adriana] Univ Porto, Inst Biomed Sci Abel Salazar ICBAS, P-4050313 Porto, Portugal; [Santos, Joao P.] Univ Geneva, Inst FA Forel, Earth &amp; Environm Sci, Fac Sci, 66 Blvd Carl Vogt, CH-12114 Geneva 4, Switzerland; [Canario, Joao] Univ Lisbon, Inst Super Tecn, Ctr Quim Estrutural, Ave Rovisco Pais, P-1049001 Lisbon, Portugal; [Magalhaes, Catarina] Univ Porto, Fac Sci, P-4150179 Porto, Portugal; [Magalhaes, Catarina] Univ Waikato, Sch Sci, Hamilton 3216, New Zealand</t>
  </si>
  <si>
    <t>Universidade do Porto; Universidade do Porto; University of Geneva; Universidade de Lisboa; Universidade do Porto; University of Waikato</t>
  </si>
  <si>
    <t>Magalhaes, C (corresponding author), Univ Porto, Interdisciplinary Ctr Marine &amp; Environm Res CIIMA, P-4450208 Matosinhos, Portugal.;Magalhaes, C (corresponding author), Univ Porto, Fac Sci, P-4150179 Porto, Portugal.;Magalhaes, C (corresponding author), Univ Waikato, Sch Sci, Hamilton 3216, New Zealand.</t>
  </si>
  <si>
    <t>adriana.rego@ciimar.up.pt; antonio.sousa@ciimar.up.pt; joaofs21@gmail.com; fpascoa11996@gmail.com; joao.canario@tecnico.ulisboa.pt; pleao@ciimar.up.pt; cmagalhaes@ciimar.up.pt</t>
  </si>
  <si>
    <t>Rego, Adriana/KBD-3225-2024; Leão, Pedro N./E-1630-2011; REGO, ADRIANA/AAT-8017-2020; Santos, João/AAC-8867-2020; Magalhães, Catarina Maria/A-6836-2016; Canário, João/O-7189-2019; Canário, João/B-1193-2008</t>
  </si>
  <si>
    <t>Rego, Adriana/0000-0001-9647-1197; Leão, Pedro N./0000-0001-5064-9164; REGO, ADRIANA/0000-0002-2494-030X; Santos, João/0000-0002-1899-2226; Canário, João/0000-0002-5190-446X; Canário, João/0000-0002-5190-446X; Pascoal, Francisco/0000-0003-2315-358X; Sousa, Antonio/0000-0003-4779-6459</t>
  </si>
  <si>
    <t>Fundacao para a Ciencia e a Tecnologia (FCT) [PTDC/CTAAMB/30997/2017]; IF research contract [IF/01358/2014, SFRH/BD/140567/2018, UIDB/04423/2020, UIDP/04423/2020]; Portuguese Polar Program (PROPOLAR); Chilean Antarctic Institute (INACH)</t>
  </si>
  <si>
    <t>Fundacao para a Ciencia e a Tecnologia (FCT)(Fundacao para a Ciencia e a Tecnologia (FCT)); IF research contract; Portuguese Polar Program (PROPOLAR); Chilean Antarctic Institute (INACH)</t>
  </si>
  <si>
    <t>Fundacao para a Ciencia e a Tecnologia (FCT) funded this study through the grant PTDC/CTAAMB/30997/2017 to CM, the IF research contract IF/01358/2014 to PNL, a PhD scholarship to AR (SFRH/BD/140567/2018) and within the scope of UIDB/04423/2020 and UIDP/04423/2020. The authors acknowledge the Portuguese Polar Program (PROPOLAR) and the Chilean Antarctic Institute (INACH) for providing logistics and traveling financial support during CONTANTARC-3 campaign in Maxwell Bay/King George Island.</t>
  </si>
  <si>
    <t>10.3390/microorganisms8020279</t>
  </si>
  <si>
    <t>KU3NP</t>
  </si>
  <si>
    <t>WOS:000519618200135</t>
  </si>
  <si>
    <t>Vrbovská, V; Sedlácek, I; Zeman, M; Svec, P; Kovarovic, V; Sedo, O; Laichmanová, M; Doskar, J; Pantucek, R</t>
  </si>
  <si>
    <t>Vrbovska, Veronika; Sedlacek, Ivo; Zeman, Michal; Svec, Pavel; Kovarovic, Vojtech; Sedo, Ondrej; Laichmanova, Monika; Doskar, Jiri; Pantucek, Roman</t>
  </si>
  <si>
    <t>Characterization of Staphylococcus intermedius Group Isolates Associated with Animals from Antarctica and Emended Description of Staphylococcus delphini</t>
  </si>
  <si>
    <t>Staphylococcus delphini; Staphylococcus pseudintermedius; Antarctica; mobile genetic elements; surface proteins; exfoliative toxin; Adelie penguin; Weddell seal</t>
  </si>
  <si>
    <t>SP-NOV.; PSEUDINTERMEDIUS; IDENTIFICATION; RESISTANT; BACTERIA; AUREUS; EMERGENCE; CLASSIFICATION; INFECTION; PYODERMA</t>
  </si>
  <si>
    <t>Members of the genus Staphylococcus are widespread in nature and occupy a variety of niches, however, staphylococcal colonization of animals in the Antarctic environment has not been adequately studied. Here, we describe the first isolation and characterization of two Staphylococcus intermedius group (SIG) members, Staphylococcus delphini and Staphylococcus pseudintermedius, in Antarctic wildlife. Staphylococcus delphini were found exclusively in Adelie penguins. The report of S. pseudintermedius from Weddell seals confirmed its occurrence in all families of the suborder Caniformia. Partial RNA polymerase beta-subunit (rpoB) gene sequencing, repetitive PCR fingerprinting with the (GTG)5 primer, and matrix-assisted laser-desorption/ionization time-of-flight mass spectrometry gave consistent identification results and proved to be suitable for identifying SIG members. Comparative genomics of S. delphini isolates revealed variable genomic elements, including new prophages, a novel phage-inducible chromosomal island, and numerous putative virulence factors. Surface and extracellular protein distribution were compared between genomes and showed strain-specific profiles. The pathogenic potential of S. delphini was enhanced by a novel type of exfoliative toxin, trypsin-like serine protease cluster, and enterotoxin C. Detailed analysis of phenotypic characteristics performed on six Antarctic isolates of S. delphini and eight reference strains from different animal sources enabled us to emend the species description of S. delphini.</t>
  </si>
  <si>
    <t>[Vrbovska, Veronika; Zeman, Michal; Kovarovic, Vojtech; Doskar, Jiri; Pantucek, Roman] Masaryk Univ, Fac Sci, Dept Expt Biol, Div Genet &amp; Mol Biol, Kotlarska 2, CS-61137 Brno, Czech Republic; [Sedlacek, Ivo; Zeman, Michal; Svec, Pavel; Laichmanova, Monika] Masaryk Univ, Fac Sci, Dept Expt Biol, Czech Collect Microorganisms, Kamenice 5, Brno 62500, Czech Republic; [Sedo, Ondrej] Masaryk Univ, Cent European Inst Technol, Kamenice 5, Brno 62500, Czech Republic</t>
  </si>
  <si>
    <t>Masaryk University Brno; Masaryk University Brno; Masaryk University Brno</t>
  </si>
  <si>
    <t>Pantucek, R (corresponding author), Masaryk Univ, Fac Sci, Dept Expt Biol, Div Genet &amp; Mol Biol, Kotlarska 2, CS-61137 Brno, Czech Republic.</t>
  </si>
  <si>
    <t>veronika.vrbovska@gmail.com; ivo@sci.muni.cz; michal.zeman91@gmail.com; mpavel@sci.muni.cz; 408266@mail.muni.cz; sedo@sci.muni.cz; monikadr@sci.muni.cz; doskar@sci.muni.cz; pantucek@sci.muni.cz</t>
  </si>
  <si>
    <t>Kovařovic, Vojtěch/JRX-4609-2023; Laichmanova, Monika/P-3700-2017; Svec, Pavel/B-1209-2008; Šedo, Ondrej/D-9868-2012; Pantůček, Roman/P-6758-2014; Doskar, Jiri/O-1038-2017; Sedlacek, Ivo/IWU-8828-2023; Vrbovska, Veronika/J-7445-2017</t>
  </si>
  <si>
    <t>Svec, Pavel/0000-0002-1051-5177; Pantůček, Roman/0000-0002-3950-675X; Doskar, Jiri/0000-0001-5216-9586; Vrbovska, Veronika/0000-0003-2863-6812; Zeman, Michal/0000-0002-0714-9831</t>
  </si>
  <si>
    <t>Ministry of Education, Youth and Sports of the Czech Republic (MEYS CR) [LM2015078]; Ministry of Health of the Czech Republic [16-29916A]; MEYS CR [LM2018127, LM2015091, LQ1601]; Grant Agency of Masaryk University [MUNI/A/1127/2019]</t>
  </si>
  <si>
    <t>Ministry of Education, Youth and Sports of the Czech Republic (MEYS CR); Ministry of Health of the Czech Republic(Ministry of Health, Czech Republic); MEYS CR; Grant Agency of Masaryk University</t>
  </si>
  <si>
    <t>This work was supported by the Ministry of Education, Youth and Sports of the Czech Republic (MEYS CR) (grant number LM2015078) and by the Ministry of Health of the Czech Republic (grant number 16-29916A to R.P.). The CIISB research infrastructure project (LM2018127), the NCMG research infrastructure project (LM2015091) and the project CEITEC 2020 (LQ1601) funded by MEYS CR, are gratefully acknowledged for the financial support of the MALDI-TOF MS measurements at the Proteomics Core Facility and whole-genome sequencing at the Genomics Core Facility of CEITEC. Students participating in this work were supported by the Grant Agency of Masaryk University (MUNI/A/1127/2019 to J.D.).</t>
  </si>
  <si>
    <t>10.3390/microorganisms8020204</t>
  </si>
  <si>
    <t>WOS:000519618200060</t>
  </si>
  <si>
    <t>Hanna, E; Pattyn, F; Navarro, F; Favier, V; Goelzer, H; van den Broeke, MR; Vizcaino, M; Whitehouse, PL; Ritz, C; Bulthuis, K; Smith, B</t>
  </si>
  <si>
    <t>Hanna, Edward; Pattyn, Frank; Navarro, Francisco; Favier, Vincent; Goelzer, Heiko; van den Broeke, Michiel R.; Vizcaino, Miren; Whitehouse, Pippa L.; Ritz, Catherine; Bulthuis, Kevin; Smith, Ben</t>
  </si>
  <si>
    <t>Mass balance of the ice sheets and glaciers - Progress since AR5 and challenges</t>
  </si>
  <si>
    <t>SEA-LEVEL RISE; MODEL INTERCOMPARISON PROJECT; RAPID BEDROCK UPLIFT; SNOW ACCUMULATION; REGIONAL CLIMATE; WEST ANTARCTICA; ISOSTATIC-ADJUSTMENT; THWAITES GLACIER; RECONCILED ESTIMATE; GREENLAND SURFACE</t>
  </si>
  <si>
    <t>Recent research shows increasing decadal ice mass losses from the Greenland and Antarctic Ice Sheets and more generally from glaciers worldwide in the light of continued global warming. Here, in an update of our previous ISMASS paper (Hanna et al., 2013), we review recent observational estimates of ice sheet and glacier mass balance, and their related uncertainties, first briefly considering relevant monitoring methods. Focusing on the response to climate change during 1992-2018, and especially the post-IPCC AR5 period, we discuss recent changes in the relative contributions of ice sheets and glaciers to sea-level change. We assess recent advances in understanding of the relative importance of surface mass balance and ice dynamics in overall ice-sheet mass change. We also consider recent improvements in ice-sheet modelling, highlighting data-model linkages and the use of updated observational datasets in ice-sheet models. Finally, by identifying key deficiencies in the observations and models that hamper current understanding and limit reliability of future ice-sheet projections, we make recommendations to the research community for reducing these knowledge gaps. Our synthesis aims to provide a critical and timely review of the current state of the science in advance of the next Intergovernmental Panel on Climate Change Assessment Report that is due in 2021.</t>
  </si>
  <si>
    <t>[Hanna, Edward] Univ Lincoln, Sch Geog, Lincoln, England; [Hanna, Edward] Univ Lincoln, Lincoln Ctr Water &amp; Planetary Hlth, Lincoln, England; [Pattyn, Frank; Goelzer, Heiko; Bulthuis, Kevin] Univ Libre Bruxelles, Lab Glaciol, Brussels, Belgium; [Navarro, Francisco] Univ Politecn Madrid, Dept Matemat Aplicada Tecnol Informat &amp; Commun, Madrid, Spain; [Favier, Vincent; Ritz, Catherine] Univ Grenoble Alpes, CNRS, IGE, F-38000 Grenoble, France; [Goelzer, Heiko; van den Broeke, Michiel R.] Univ Utrecht, Inst Marine &amp; Atmospher Res, Utrecht, Netherlands; [Vizcaino, Miren] Delft Univ Technol, Dept Geosci &amp; Remote Sensing, Delft, Netherlands; [Whitehouse, Pippa L.] Univ Durham, Dept Geog, Durham, England; [Bulthuis, Kevin] Univ Liege, Computat &amp; Stochast Modeling, Aerosp &amp; Mech Engn, Liege, Belgium; [Smith, Ben] Univ Washington, Appl Phys Lab, Polar Sci Ctr, Seattle, WA 98105 USA</t>
  </si>
  <si>
    <t>University of Lincoln; University of Lincoln; Universite Libre de Bruxelles; Universidad Politecnica de Madrid; Communaute Universite Grenoble Alpes; Universite Grenoble Alpes (UGA); Centre National de la Recherche Scientifique (CNRS); Utrecht University; Delft University of Technology; Durham University; University of Liege; University of Washington; University of Washington Seattle</t>
  </si>
  <si>
    <t>Hanna, E (corresponding author), Univ Lincoln, Sch Geog, Lincoln, England.;Hanna, E (corresponding author), Univ Lincoln, Lincoln Ctr Water &amp; Planetary Hlth, Lincoln, England.</t>
  </si>
  <si>
    <t>ehanna@lincoln.ac.uk</t>
  </si>
  <si>
    <t>Hanna, Edward/W-5927-2019; Navarro, Francisco/L-2941-2014; Bulthuis, Kevin/HLQ-7042-2023; Van den Broeke, Michiel R./F-7867-2011; Pattyn, Frank/AAA-9640-2019; Goelzer, Heiko/M-2367-2016; Vizcaino, Miren/D-4443-2013; Favier, Vincent/T-1936-2017</t>
  </si>
  <si>
    <t>Hanna, Edward/0000-0002-8683-182X; Navarro, Francisco/0000-0002-5147-0067; Van den Broeke, Michiel R./0000-0003-4662-7565; Pattyn, Frank/0000-0003-4805-5636; Goelzer, Heiko/0000-0002-5878-9599; Favier, Vincent/0000-0001-6024-9498; Ritz, Catherine/0000-0003-0785-8571; Bulthuis, Kevin/0000-0001-8706-0062</t>
  </si>
  <si>
    <t>WCRP CliC; SCAR; IASC; Spanish State Plan for RD [CTM2017-84441-R]; Fonds de la Recherche Scientifique de Belgique (F.R.S.-FNRS); programme of the Netherlands Earth System Science Centre (NESSC); Dutch Ministry of Education, Culture and Science (OCW) [024.002.001]; European Research Council [ERC-StG-678145-CoupledlceClim]</t>
  </si>
  <si>
    <t>WCRP CliC; SCAR; IASC; Spanish State Plan for RD; Fonds de la Recherche Scientifique de Belgique (F.R.S.-FNRS)(Fonds de la Recherche Scientifique - FNRS); programme of the Netherlands Earth System Science Centre (NESSC); Dutch Ministry of Education, Culture and Science (OCW); European Research Council(European Research Council (ERC))</t>
  </si>
  <si>
    <t>The authors are grateful to WCRP CliC, SCAR and IASC for sponsoring the ISMASS workshop in Davos, Switzerland, on 15 June 2018 that led to this paper. FN received funding from grant CTM2017-84441-R of the Spanish State Plan for R&amp;D. KB acknowledges support from the Fonds de la Recherche Scientifique de Belgique (F.R.S.-FNRS). HG received funding from the programme of the Netherlands Earth System Science Centre (NESSC), financially supported by the Dutch Ministry of Education, Culture and Science (OCW) under grant no. 024.002.001. MV acknowledges support from the European Research Council ERC-StG-678145-CoupledlceClim. EH thanks Jay Zwally for permission to reproduce Fig. 1, Eric Rignot for help with Fig. 3, and Holly Garner for help with final checking.</t>
  </si>
  <si>
    <t>10.1016/j.earscirev.2019.102976</t>
  </si>
  <si>
    <t>KW1RX</t>
  </si>
  <si>
    <t>Green Submitted, Green Accepted, Green Published</t>
  </si>
  <si>
    <t>WOS:000520949700005</t>
  </si>
  <si>
    <t>Mulder, JA; Everard, JL; Cumming, G; Meffre, S; Bottrill, RS; Merdith, AS; Halpin, JA; McNeill, AW; Cawood, PA</t>
  </si>
  <si>
    <t>Mulder, Jacob A.; Everard, John L.; Cumming, Grace; Meffre, Sebastien; Bottrill, Ralph S.; Merdith, Andrew S.; Halpin, Jacqueline A.; McNeill, Andrew W.; Cawood, Peter A.</t>
  </si>
  <si>
    <t>Neoproterozoic opening of the Pacific Ocean recorded by multi-stage rifting in Tasmania, Australia</t>
  </si>
  <si>
    <t>U-TH-PB; KING ISLAND; BREAK-UP; WESTERN TASMANIA; EAST ANTARCTICA; PASSIVE MARGIN; TRACE-ELEMENT; SOUTHEASTERN AUSTRALIA; WINDERMERE SUPERGROUP; LAURENTIA CONNECTION</t>
  </si>
  <si>
    <t>The Tonian to Ediacaran geology of Tasmania, Australia preserves an extensive record of continental rifting related to the Neoproterozoic opening of the Pacific Ocean. We integrate new and previously published structural, stratigraphic, sedimentary provenance, age, and geochemical data to establish four tectonostratigraphic stages in Tasmania that formed during three episodes of Neoproterozoic rifting. Rift Event 1 initiated with Tonian (780-750 Ma) intraplate magmatism and clastic sedimentation and was followed by deposition of an eastward thickening and deepening succession of &lt;= 780 Ma-730 Ma locally sourced siliciclastic strata and carbonate (tectonostratigraphic stage 1). Cryogenian glaciogenic strata and thick successions of mafic volcaniclastic turbidites (tectonostratigraphic stage 2) contain unimodal 670-640 Ma detrital zircon age populations and may record a second rift event (Rift Event 2). Final rifting (Rift Event 3) involved voluminous ca. 580 Ma basaltic volcanism and active extensional faulting (tectonostratigraphic stage 3) and was followed by latest Ediacaran to early Cambrian sag-phase deposition (tectonostratigraphic stage 4). Neoproterozoic rifting in Tasmania is broadly contemporaneous with punctuated Tonian to Ediacaran rifting along the paleo-margins of the Pacific Ocean in southeast Australia, East Antarctica, and western Laurentia. Rift Event 1 in Tasmania may record the rifting of Australia-Antarctica from western Laurentia to form the nascent Pacific Ocean. Geological correlations are consistent with models in which Tasmania remained attached to either eastern Australia-Antarctica or western Laurentia during the late Tonian and Cryogenian before being isolated as a microcontinent in the late Ediacaran during Rift Event 3.</t>
  </si>
  <si>
    <t>[Mulder, Jacob A.; Cawood, Peter A.] Monash Univ, Sch Earth Atmosphere &amp; Environm, Clayton, Vic 3800, Australia; [Everard, John L.; Cumming, Grace; Bottrill, Ralph S.; McNeill, Andrew W.] Mineral Resources Tasmania, POB 56, Rosny Pk, Tas 7018, Australia; [Meffre, Sebastien] Univ Tasmania, Sch Nat Sci, ARC Ctr Excellence Ore Deposits CODES, Hobart, Tas 7001, Australia; [Merdith, Andrew S.] Univ Claude Bernard Lyon 1, Lab Geol Lyon, F-69622 Lyon, France; [Halpin, Jacqueline A.] Univ Tasmania, Inst Marine &amp; Antarctic Studies, Hobart, Tas 7001, Australia</t>
  </si>
  <si>
    <t>Monash University; University of Tasmania; Universite Claude Bernard Lyon 1; Ecole Normale Superieure de Lyon (ENS de LYON); University of Tasmania</t>
  </si>
  <si>
    <t>Mulder, JA (corresponding author), Monash Univ, Sch Earth Atmosphere &amp; Environm, Clayton, Vic 3800, Australia.</t>
  </si>
  <si>
    <t>jack.mulder@monash.edu</t>
  </si>
  <si>
    <t>Cawood, Peter A/JOZ-4033-2023; Meffre, Sebastien/J-8700-2014</t>
  </si>
  <si>
    <t>Cawood, Peter A/0000-0003-1200-3826; Merdith, Andrew/0000-0002-7564-8149; Meffre, Sebastien/0000-0003-2741-6076; Mulder, Jacob/0000-0001-6197-0439</t>
  </si>
  <si>
    <t>ARC [FL160100168, LP160100483]; Centre of Excellence in Ore Deposits (CODES); Australian Research Council [LP160100483] Funding Source: Australian Research Council</t>
  </si>
  <si>
    <t>ARC(Australian Research Council); Centre of Excellence in Ore Deposits (CODES); Australian Research Council</t>
  </si>
  <si>
    <t>John Everard, Grace Cumming, Ralph Bottrill, and Andrew McNeill publish with the permission of the Director of Mines Tasmania. Jay Thompson, Karsten Goemann, and Sandrin Feig (University of Tasmania) are thanked for analytical assistance. Sean Johnson and Ryan Mcmann analysed zircons from drill hole SY106. Thought-provoking discussions on the Neoproterozoic geology of Tasmania were provided by Ron Berry, Mike Hall, and David Moore, who are also thanked for their comments on an earlier draft of the manuscript. Two anonymous reviewers are thanked for constructive comments. This research was supported by ARC grants FL160100168 and LP160100483, and the Centre of Excellence in Ore Deposits (CODES). This is a contribution to IGCP 648.</t>
  </si>
  <si>
    <t>10.1016/j.earscirev.2019.103041</t>
  </si>
  <si>
    <t>WOS:000520949700007</t>
  </si>
  <si>
    <t>Below, AA; Cheptsov, VS; Manucharova, NA; Ezhelev, ZS</t>
  </si>
  <si>
    <t>Below, Andrey A.; Cheptsov, Vladimir S.; Manucharova, Natalia A.; Ezhelev, Zakhar S.</t>
  </si>
  <si>
    <t>Bacterial Communities of Novaya Zemlya Archipelago Ice and Permafrost</t>
  </si>
  <si>
    <t>culturable bacterial communities; physiological profiling; metabolic activity; 16S rRNA sequencing; stress tolerance; antibiotic resistance</t>
  </si>
  <si>
    <t>ANCIENT SIBERIAN PERMAFROST; SP NOV.; MICROBIAL ECOLOGY; LOW-TEMPERATURE; ANTARCTIC PERMAFROST; COLD DESERT; ARCTIC ICE; DIVERSITY; LIFE; SOIL</t>
  </si>
  <si>
    <t>The study of bacterial communities associated with extreme ecosystems is one of the most important tasks in modern microbial ecology. Despite a large number of studies being performed, the ecosystems that have not been sufficiently explored from the microbiological point of view still exist. Such research is needed for improving the understanding of the limits and mechanisms of bacterial survival under extreme conditions, and for revealing previously undescribed species and their role in global biospheric processes and their functional specifics. The results of the complex microbiological characteristics of permafrost and ice-collected on the Severniy Island in the northern part of the Novaya Zemlya archipelago-which have not previously been described from microbiological point of view, are presented in this article. The analysis included both culture-independent and culture-dependent methods, in particular, the spectra of metabolic activity range analysis in vitro under different temperature, pH and salinity conditions. High values for the total number of prokaryotes in situ (1.9 x 10(8)-3.5 x 10(8) cells/g), a significant part of which was able to return to a metabolically active state after thawing, and moderate numbers of culturable bacteria (3.3 x 10(6)-7.8 x 10(7) CFU/g) were revealed. Representatives of Proteobacteria, Actinobacteria, and Bacteroidetes were dominant in situ; Actinobacteria, Firmicutes, Proteobacteria, and Bacteroidetes were the most abundant phyla in vitro. Physiological assays revealed the mesophilic and neutrophilic optima of temperature and pH of culturing conditions, respectively, and wide temperature and pH ranges of culturable communities' reproduction activity. Isolated strains were characterized by moderate halotolerant properties and antibiotic resistance, including multiple antibiotic resistance. It was found that almost all cultured bacterial diversity revealed (not just a few resistant species) had extremotolerant properties regarding a number of stress factors. This indicates the high adaptive potential of the studied microbial communities and their high sustainability and capability to retain functional activity under changing environmental (including climatic) conditions in wide ranges.</t>
  </si>
  <si>
    <t>[Below, Andrey A.; Cheptsov, Vladimir S.; Manucharova, Natalia A.; Ezhelev, Zakhar S.] Lomonosov Moscow State Univ, Soil Sci Fac, Moscow 119991, Russia; [Below, Andrey A.; Cheptsov, Vladimir S.] Network Researchers Chem Evolut Life CEL, Leeds 01924, W Yorkshire, England; [Cheptsov, Vladimir S.] Russian Acad Sci, Space Res Inst, Moscow 119991, Russia</t>
  </si>
  <si>
    <t>Lomonosov Moscow State University; Russian Academy of Sciences; Space Research Institute of the Russian Academy of Sciences</t>
  </si>
  <si>
    <t>Below, AA (corresponding author), Lomonosov Moscow State Univ, Soil Sci Fac, Moscow 119991, Russia.;Below, AA (corresponding author), Network Researchers Chem Evolut Life CEL, Leeds 01924, W Yorkshire, England.</t>
  </si>
  <si>
    <t>and.ant.be@gmail.com; cheptcov.vladimir@gmail.com; manucharova@mail.ru; ejelevsoil@gmail.com</t>
  </si>
  <si>
    <t>Manucharova, Natalia A./R-9951-2016; Ezhelev, Zakhar/ABB-7760-2020; Belov, Andrey/V-2998-2019; Cheptsov, Vladimir/I-7843-2018</t>
  </si>
  <si>
    <t>Belov, Andrey/0000-0002-4617-7237; Cheptsov, Vladimir/0000-0002-2547-2931; Ezelev, Zahar/0000-0003-4577-4694</t>
  </si>
  <si>
    <t>Russian Foundation for Basic Research [18-34-00331]</t>
  </si>
  <si>
    <t>Russian Foundation for Basic Research(Russian Foundation for Basic Research (RFBR)Spanish Government)</t>
  </si>
  <si>
    <t>This research was funded by Russian Foundation for Basic Research according to the research project No 18-34-00331.</t>
  </si>
  <si>
    <t>10.3390/geosciences10020067</t>
  </si>
  <si>
    <t>KU3PL</t>
  </si>
  <si>
    <t>WOS:000519623600047</t>
  </si>
  <si>
    <t>Wohlrab, S; John, U; Klemm, K; Eberlein, T; Grivogiannis, AMF; Krock, B; Frickenhaus, S; Bach, LT; Rost, B; Riebesell, U; Van de Waal, DB</t>
  </si>
  <si>
    <t>Wohlrab, Sylke; John, Uwe; Klemm, Kerstin; Eberlein, Tim; Grivogiannis, Anna Maria Forsberg; Krock, Bernd; Frickenhaus, Stephan; Bach, Lennart T.; Rost, Bjoern; Riebesell, Ulf; Van de Waal, Dedmer B.</t>
  </si>
  <si>
    <t>Ocean acidification increases domoic acid contents during a spring to summer succession of coastal phytoplankton</t>
  </si>
  <si>
    <t>Mesocosm; Pseudo-nitzschia; Future ocean; Elevated pCO(2); Amnesic shellfish poisoning</t>
  </si>
  <si>
    <t>HARMFUL ALGAL BLOOMS; ALEXANDRIUM-OSTENFELDII DINOPHYCEAE; PSEUDO-NITZSCHIA BACILLARIOPHYCEAE; CARBON-CONCENTRATING MECHANISMS; MARINE-PHYTOPLANKTON; CLIMATE-CHANGE; ACQUISITION; DIATOMS; PH; EUTROPHICATION</t>
  </si>
  <si>
    <t>Enrichment of the oceans with CO2 may be beneficial for some marine phytoplankton, including harmful algae. Numerous laboratory experiments provided valuable insights into the effects of elevated pCO(2) on the growth and physiology of harmful algal species, including the production of phycotoxins. Experiments close to natural conditions are the next step to improve predictions, as they consider the complex interplay between biotic and abiotic factors that can confound the direct effects of ocean acidification. We therefore investigated the effect of ocean acidification on the occurrence and abundance of phycotoxins in bulk plankton samples during a long-term mesocosm experiment in the Gullmar Fjord, Sweden, an area frequently experiencing harmful algal blooms. During the experimental period, a total of seven phycotoxin-producing harmful algal genera were identified in the fjord, and in accordance, six toxin classes were detected. However, within the mesocosms, only domoic acid and the corresponding producer Pseudo-nitzschia spp. was observed. Despite high variation within treatments, significantly higher particulate domoic acid contents were measured in the mesocosms with elevated pCO(2). Higher particulate domoic acid contents were additionally associated with macronutrient limitation. The risks associated with potentially higher phycotoxin levels in the future ocean warrants attention and should be considered in prospective monitoring strategies for coastal marine waters.</t>
  </si>
  <si>
    <t>[Wohlrab, Sylke; John, Uwe] Helmholtz Inst Funct Marine Biodivers, Ammerlander Heersstr 231, D-26129 Oldenburg, Germany; [Wohlrab, Sylke; John, Uwe; Klemm, Kerstin; Eberlein, Tim; Krock, Bernd; Frickenhaus, Stephan; Rost, Bjoern] Helmholtz Ctr Polar &amp; Marine Res, Alfred Wegener Inst, Handelshafen 12, D-27570 Bremerhaven, Germany; [Grivogiannis, Anna Maria Forsberg] Gothenburg Univ, Sven Loven Ctr Marine Sci, S-45034 Fiskebackskil, Sweden; [Bach, Lennart T.] Univ Tasmania, Inst Marine &amp; Antarctic Studies, 20 Castray Esplanade, Battery Point, Tas 7004, Australia; [Bach, Lennart T.; Riebesell, Ulf] GEOMAR Helmholtz Ctr Ocean Res Kiel, Dusternbrooker Weg 20, D-24105 Kiel, Germany; [Rost, Bjoern] Univ Bremen, FB2,Leobener Str, D-28334 Bremen, Germany; [Van de Waal, Dedmer B.] Netherlands Inst Ecol, Droevendaalsesteeg 10, NL-6708 PB Wageningen, Netherlands</t>
  </si>
  <si>
    <t>Helmholtz Association; Alfred Wegener Institute, Helmholtz Centre for Polar &amp; Marine Research; University of Gothenburg; University of Tasmania; Helmholtz Association; GEOMAR Helmholtz Center for Ocean Research Kiel; University of Bremen; Royal Netherlands Academy of Arts &amp; Sciences; Netherlands Institute of Ecology (NIOO-KNAW)</t>
  </si>
  <si>
    <t>Wohlrab, S; John, U (corresponding author), Helmholtz Inst Funct Marine Biodivers, Ammerlander Heersstr 231, D-26129 Oldenburg, Germany.</t>
  </si>
  <si>
    <t>Sylke.Wohlrab@hifmb.de; Uwe.John@awi.de</t>
  </si>
  <si>
    <t>Wohlrab, Sylke/R-7435-2016; john, uwe/S-3009-2016; Van de Waal, Dedmer B/B-8002-2012; Rost, Bjoern/B-4447-2015; Krock, Bernd/ABB-7541-2020</t>
  </si>
  <si>
    <t>Rost, Bjoern/0000-0001-5452-5505; Bach, Lennart/0000-0003-0202-3671; Wohlrab, Sylke/0000-0003-3190-0880; Van de Waal, Dedmer/0000-0001-8803-1247</t>
  </si>
  <si>
    <t>German Federal Ministry of Science and Education (BMBF) [FKZ 03F0655A]; EU FP7 research infrastructure initiative 'Association of European Marine Biological Laboratories' (ASSEMBLE) [227799]; Royal Swedish Academy of Sciences; PACES research program of the Alfred Wegener Institute, Helmholtz Centre for Polar and Marine Research</t>
  </si>
  <si>
    <t>German Federal Ministry of Science and Education (BMBF)(Federal Ministry of Education &amp; Research (BMBF)); EU FP7 research infrastructure initiative 'Association of European Marine Biological Laboratories' (ASSEMBLE); Royal Swedish Academy of Sciences; PACES research program of the Alfred Wegener Institute, Helmholtz Centre for Polar and Marine Research</t>
  </si>
  <si>
    <t>Funding for this project was provided by the German Federal Ministry of Science and Education (BMBF) in the framework of the BIOACID II project (grant no. FKZ 03F0655A). SW, TE and DBvdW received support from the EU FP7 research infrastructure initiative `Association of European Marine Biological Laboratories' (ASSEMBLE, grant no. 227799), and SW from the Royal Swedish Academy of Sciences. Additional financial support was provided by the PACES research program of the Alfred Wegener Institute, Helmholtz Centre for Polar and Marine Research.</t>
  </si>
  <si>
    <t>10.1016/j.hal.2019.101697</t>
  </si>
  <si>
    <t>KT9MI</t>
  </si>
  <si>
    <t>WOS:000519335700019</t>
  </si>
  <si>
    <t>Dabski, M; Zmarz, A; Rodzewicz, M; Korczak-Abshire, M; Karsznia, I; Lach, K; Rachlewicz, G; Chwedorzewska, K</t>
  </si>
  <si>
    <t>Dabski, Maciej; Zmarz, Anna; Rodzewicz, Miroslaw; Korczak-Abshire, Malgorzata; Karsznia, Izabela; Lach, Katarzyna; Rachlewicz, Grzegorz; Chwedorzewska, Katarzyna</t>
  </si>
  <si>
    <t>Mapping Glacier Forelands Based on UAV BVLOS Operation in Antarctica</t>
  </si>
  <si>
    <t>unmanned aerial vehicle; BVLOS operations; photointerpretation; geomorphological mapping; glacial forelands; glacial landforms; Western Antarctica; King George Island</t>
  </si>
  <si>
    <t>KING-GEORGE-ISLAND; SOUTH-SHETLAND ISLANDS; TEMPERATE GLACIER; CLIMATE-CHANGE; ICE CAP; PENINSULA; FLOW; LANDFORMS; LANDSYSTEM; MORAINES</t>
  </si>
  <si>
    <t>The aim of this article is to show geomorphological mapping of remote Antarctic locations using images taken by a fixed-wing unmanned aerial vehicle (UAV) during the Beyond Visual Line of Sight (BVLOS) operations. We mapped landform assemblages developed in forelands of Ecology Glacier (EGF), Sphinx Glacier (SGF) and Baranowski Glacier (BGF) in Antarctic Specially Protected Area No. 128 (ASPA 128) on King George Island (South Shetland Islands) and inferred about glacial dynamics. The orthophoto and digital elevation model allowed for geomorphological mapping of glacial forelands, including (i) glacial depositional landforms, (ii) fluvial and fluvioglacial landforms, (iii) littoral and lacustrine landforms, (iv) bodies of water, and (v) other. The largest area is occupied by ground moraine and glacial lagoons on EGF and BGF. The most profound features of EGF are the large latero-frontal moraine ridges from Little Ice Age and the first half of the 20th century. Large areas of ground moraine, frequently fluted and marked with large recessional moraine ridges, dominate on SGF. A significant percentage of bedrock outcrops and end moraine complexes characterize BGF. The landform assemblages are typical for discontinuous fast ice flow of tidewater glaciers over a deformable bed. It is inferred that ice flow velocity decreased as a result of recession from the sea coast, resulting in a significant decrease in the length of ice cliffs and decrease in calving rate. Image acquisition during the fixed-wing UAV BVLOS operation proved to be a very robust technique in harsh polar conditions of King George Island.</t>
  </si>
  <si>
    <t>[Dabski, Maciej; Lach, Katarzyna] Univ Warsaw, Fac Geog &amp; Reg Studies, Dept Geomorphol, Krakowskie Przedmiescie 30, PL-00927 Warsaw, Poland; [Zmarz, Anna; Karsznia, Izabela] Univ Warsaw, Fac Geog &amp; Reg Studies, Dept Geoinformat Cartog &amp; Remote Sensing, Krakowskie Przedmiescie 30, PL-00927 Warsaw, Poland; [Rodzewicz, Miroslaw] Warsaw Univ Technol, Fac Power &amp; Aeronaut Engn, Inst Aeronaut &amp; Appl Mech, Nowowiejska 24, PL-00665 Warsaw, Poland; [Korczak-Abshire, Malgorzata] Polish Acad Sci, Inst Biochem &amp; Biophys, Pawinskiego 5a, PL-02106 Warsaw, Poland; [Rachlewicz, Grzegorz] Xian Jiaotong Liverpool Univ, Dept Hlth &amp; Environm Sci, Renai Rd 111, Suzhou 215028, Peoples R China; [Chwedorzewska, Katarzyna] Warsaw Univ Life Sci SGGW, Dept Agron, Nowoursynowska 166, PL-02787 Warsaw, Poland</t>
  </si>
  <si>
    <t>University of Warsaw; University of Warsaw; Warsaw University of Technology; Polish Academy of Sciences; Institute of Biochemistry &amp; Biophysics - Polish Academy of Sciences; Xi'an Jiaotong-Liverpool University; Warsaw University of Life Sciences</t>
  </si>
  <si>
    <t>Zmarz, A (corresponding author), Univ Warsaw, Fac Geog &amp; Reg Studies, Dept Geoinformat Cartog &amp; Remote Sensing, Krakowskie Przedmiescie 30, PL-00927 Warsaw, Poland.</t>
  </si>
  <si>
    <t>mfdabski@uw.edu.pl; azmarz@uw.edu.pl; miro@meil.pw.edu.pl; mka@ibb.waw.pl; i.karsznia@uw.edu.pl; katarzyna.m.lach@gmail.com; grzegorz.rachlewicz@xjtlu.edu.cn; kchwedorzewska@o2.pl</t>
  </si>
  <si>
    <t>Karsznia, Izabela/W-8042-2019; Rodzewicz, Miroslaw/ABD-7241-2020; Korczak-Abshire, Malgorzata/AAA-1563-2020; Chwedorzewska, Katarzyna J/A-9480-2008; Chwedorzewska, Katarzyna/M-9721-2019; Dąbski, Maciej/AAY-7184-2020; Zmarz, Anna/T-9548-2018</t>
  </si>
  <si>
    <t>Rodzewicz, Miroslaw/0000-0003-1424-8624; Korczak-Abshire, Malgorzata/0000-0001-7695-0588; Chwedorzewska, Katarzyna/0000-0001-6860-3666; Zmarz, Anna/0000-0001-5846-4017; Dabski, Maciej/0000-0003-1018-9639; Karsznia, Izabela/0000-0001-5510-8770</t>
  </si>
  <si>
    <t>Polish-Norwegian Research Programme [197810]; European Union [734687]; Polish resources for science; NCN [OPUS 2013/11/B/ST10/00283]; Marie Curie Actions (MSCA) [734687] Funding Source: Marie Curie Actions (MSCA)</t>
  </si>
  <si>
    <t>Polish-Norwegian Research Programme; European Union(European Union (EU)); Polish resources for science; NCN; Marie Curie Actions (MSCA)(Marie Curie Actions)</t>
  </si>
  <si>
    <t>The research leading to these results has received funding from (1) the Polish-Norwegian Research Programme operated by the National Centre for Research and Development under the Norwegian Financial Mechanism 2009-2014 in the frame of Project Contract No 197810; (2) project innoVation in geOspatiaL and 3D daTA (VOLTA) financed by the European Union's Horizon 2020 research and innovation programme under grant agreement No 734687, further co-funded from Polish resources for science in the period 2017-2020 awarded for the implementation of an international co-financed project; (3) grant NCN OPUS 2013/11/B/ST10/00283 (supporting fieldwork of Grzegorz Rachlewicz).</t>
  </si>
  <si>
    <t>10.3390/rs12040630</t>
  </si>
  <si>
    <t>KU2UY</t>
  </si>
  <si>
    <t>WOS:000519564600041</t>
  </si>
  <si>
    <t>Misiuk, B; Brown, CJ; Robert, K; Lacharité, M</t>
  </si>
  <si>
    <t>Misiuk, Benjamin; Brown, Craig J.; Robert, Katleen; Lacharite, Myriam</t>
  </si>
  <si>
    <t>Harmonizing Multi-Source Sonar Backscatter Datasets for Seabed Mapping Using Bulk Shift Approaches</t>
  </si>
  <si>
    <t>backscatter; multispectral; multibeam; echosounder; seabed mapping; benthic; habitat mapping</t>
  </si>
  <si>
    <t>IMAGE-ANALYSIS; MULTIBEAM; CLASSIFICATION; ROUGHNESS</t>
  </si>
  <si>
    <t>The development of multibeam echosounders (MBES) as a seabed mapping tool has resulted in the widespread uptake of backscatter intensity as an indicator of seabed substrate properties. Though increasingly common, the lack of standard calibration and the characteristics of individual sonars generally produce backscatter measurements that are relative to a given survey, presenting major challenges for seabed mapping in areas that comprise multiple MBES surveys. Here, we explore methods for backscatter dataset harmonization that leverage areas of mutual overlap between surveys for relative statistical calibration-referred to as bulk shift approaches. We use three multispectral MBES datasets to simulate the harmonization of backscatter collected over multiple years, and using multiple operating frequencies. Results suggest that relatively simple statistical models are adequate for bulk shift harmonization procedures, and that more flexible approaches may produce inconsistent results that risk statistical overfitting. While harmonizing datasets collected using the same operating frequency from separate surveys is generally feasible given reasonable temporal limitations, results suggest that the success at harmonizing datasets of different operating frequencies partly depends on the extent to which the frequencies differ. We recommend approaches and diagnostics for ensuring the quality of harmonized backscatter mosaics, and provide an R function for implementing the methods presented here.</t>
  </si>
  <si>
    <t>[Misiuk, Benjamin; Robert, Katleen] Mem Univ Newfoundland, Fisheries &amp; Marine Inst, Sch Ocean Technol, St John, NF A1C 5R3, Canada; [Brown, Craig J.] Dalhousie Univ, Dept Oceanog, Halifax, NS B5H 4R2, Canada; [Lacharite, Myriam] Univ Tasmania, Inst Marine &amp; Antarctic Studies, Hobart, Tas 7053, Australia</t>
  </si>
  <si>
    <t>Memorial University Newfoundland; Dalhousie University; University of Tasmania</t>
  </si>
  <si>
    <t>Misiuk, B (corresponding author), Mem Univ Newfoundland, Fisheries &amp; Marine Inst, Sch Ocean Technol, St John, NF A1C 5R3, Canada.</t>
  </si>
  <si>
    <t>bmisiuk@mun.ca; craig.brown@dal.ca; katleen.robert@mi.mun.ca; myriam.lacharite@utas.edu.au</t>
  </si>
  <si>
    <t>Brown, Craig J/N-7364-2013</t>
  </si>
  <si>
    <t>Brown, Craig/0000-0002-5125-978X; Misiuk, Benjamin/0000-0001-5822-4574</t>
  </si>
  <si>
    <t>Canada Research Chair in Ocean Mapping; Department of Fisheries and Oceans Freshwater Science Contribution Program; NSERC [CIRC472115-14]</t>
  </si>
  <si>
    <t>Canada Research Chair in Ocean Mapping; Department of Fisheries and Oceans Freshwater Science Contribution Program; NSERC(Natural Sciences and Engineering Research Council of Canada (NSERC))</t>
  </si>
  <si>
    <t>B.M. was supported by post-doctoral funding through a Canada Research Chair in Ocean Mapping and the Department of Fisheries and Oceans Freshwater Science Contribution Program. Data acquisition was supported by NSERC grant CIRC472115-14.</t>
  </si>
  <si>
    <t>10.3390/rs12040601</t>
  </si>
  <si>
    <t>WOS:000519564600012</t>
  </si>
  <si>
    <t>Vargin, PN; Nikiforova, MP; Zvyagintsev, AM</t>
  </si>
  <si>
    <t>Vargin, P. N.; Nikiforova, M. P.; Zvyagintsev, A. M.</t>
  </si>
  <si>
    <t>Variability of the Antarctic Ozone Anomaly in 2011-2018</t>
  </si>
  <si>
    <t>Antarctic ozone anomaly; stratospheric polar vortex; polar stratospheric clouds; vertical distribution of ozone</t>
  </si>
  <si>
    <t>LAYER; STRATOSPHERE; TEMPERATURE; DECLINE; RUSSIA</t>
  </si>
  <si>
    <t>The variability of parameters of the Antarctic ozone anomaly is studied using data of the TOMS/OMI satellite monitoring of the ozone layer, MERRA-2 reanalysis, and balloon sounding of the vertical distribution of ozone and temperature at the South Pole. The dynamic processes in the Antarctic stratosphere which define conditions for the significant ozone layer destruction are analyzed. Despite the decrease in the concentration of ozone-depleting substances, the significant ozone loss in the recent 8 years was observed in the Antarctic in 2011 and 2015.</t>
  </si>
  <si>
    <t>[Vargin, P. N.] Cent Aerol Observ, Ul Pervomaiskaya 3, Dolgoprudnyi 141700, Moscow Oblast, Russia; [Nikiforova, M. P.] Vernadsky Crimean Fed Univ, Pr Akad Vernadskogo 4, Simferopol 295007, Russia</t>
  </si>
  <si>
    <t>VI Vernadsky Crimean Federal University</t>
  </si>
  <si>
    <t>Vargin, PN (corresponding author), Cent Aerol Observ, Ul Pervomaiskaya 3, Dolgoprudnyi 141700, Moscow Oblast, Russia.</t>
  </si>
  <si>
    <t>p_vargin@mail.ru</t>
  </si>
  <si>
    <t>Vargin, Pavel N./R-1154-2018</t>
  </si>
  <si>
    <t>Russian Foundation for Basic Research [19-05-00370]</t>
  </si>
  <si>
    <t>The research was supported by the Russian Foundation for Basic Research (grant 19-05-00370).</t>
  </si>
  <si>
    <t>10.3103/S1068373920020016</t>
  </si>
  <si>
    <t>KV9YL</t>
  </si>
  <si>
    <t>WOS:000520830500001</t>
  </si>
  <si>
    <t>Radionov, VF; Rusina, EN; Sibir, EE</t>
  </si>
  <si>
    <t>Radionov, V. F.; Rusina, E. N.; Sibir, E. E.</t>
  </si>
  <si>
    <t>Long-term Variability of Integral and Spectral Transparency of the Atmosphere at Mirny Observatory, Antarctica</t>
  </si>
  <si>
    <t>Antarctica; atmosphere; solar radiation; aerosol extinction; transparency</t>
  </si>
  <si>
    <t>SOLAR-RADIATION; AEROSOL; TRENDS</t>
  </si>
  <si>
    <t>The aerosol optical depth of the atmosphere obtained from spectral sun photometer measurements and the integral optical depth determined from standard actinometric observations of direct solar radiation are the parameters of the optical state of the atmosphere. The quantitative estimates of the integral transparency and aerosol optical depth of the atmosphere in Antarctica are presented, their long-term variability over the entire period of observations is analyzed. The comparison of obtained data with the estimates for other natural regions and conditions revealed that during the periods without the impact of volcanic eruptions, the levels of atmospheric aerosol turbidity in Antarctica over the recent decades are minimal on the planet and can be considered as global background characteristics.</t>
  </si>
  <si>
    <t>[Radionov, V. F.; Rusina, E. N.; Sibir, E. E.] Arctic &amp; Antarctic Res Inst, Ul Beringa 38, St Petersburg 199397, Russia</t>
  </si>
  <si>
    <t>Radionov, VF (corresponding author), Arctic &amp; Antarctic Res Inst, Ul Beringa 38, St Petersburg 199397, Russia.</t>
  </si>
  <si>
    <t>vradion@aari.ru</t>
  </si>
  <si>
    <t>Radionov, Vladimir F./O-3038-2017</t>
  </si>
  <si>
    <t>10.3103/S1068373920020028</t>
  </si>
  <si>
    <t>WOS:000520830500002</t>
  </si>
  <si>
    <t>Repina, IA; Artamonov, AY</t>
  </si>
  <si>
    <t>Repina, I. A.; Artamonov, A. Yu</t>
  </si>
  <si>
    <t>Air-Surface Turbulent Heat Exchange in the Antarctic Coastal Zone Derived from Instrumental Observations</t>
  </si>
  <si>
    <t>Antarctic Peninsula; turbulent energy exchange; heat and momentum fluxes; Monin-Obukhov similarity theory</t>
  </si>
  <si>
    <t>The results of direct measurements of turbulent fluxes at Bellingshausen station (the Antarctic) in the summer of 2002, 2003, 2007, and 2009 are considered. The features of energy exchange are studied for these seasons. The interannual and intraseasonal variability of energy exchange characteristics is investigated. It is found that heat fluxes depend on the surface state and on the wind direction. Also, as a rule, they have a clear diurnal course with negative or near-zero values at night and with positive values in the daytime, when intensive convective fluxes are observed over open ground. The momentum flux is defined by the wind direction and wind speed and by stratification conditions. The main factors affecting energy exchange between the atmosphere and the surface in the Antarctic coastal zone are synoptic conditions and the surface state (snowless season duration and moss cover presence).</t>
  </si>
  <si>
    <t>[Repina, I. A.; Artamonov, A. Yu] Russian Acad Sci, Obukhov Inst Atmospher Phys, Pyzhevskii Per 3, Moscow 119017, Russia; [Repina, I. A.] Lomonosov Moscow State Univ, GSP 1, Moscow 119991, Russia</t>
  </si>
  <si>
    <t>Russian Academy of Sciences; Obukhov Institute of Atmospheric Physics of Russian Academy of Sciences; Lomonosov Moscow State University</t>
  </si>
  <si>
    <t>Repina, IA (corresponding author), Russian Acad Sci, Obukhov Inst Atmospher Phys, Pyzhevskii Per 3, Moscow 119017, Russia.;Repina, IA (corresponding author), Lomonosov Moscow State Univ, GSP 1, Moscow 119991, Russia.</t>
  </si>
  <si>
    <t>repina@ifaran.ru</t>
  </si>
  <si>
    <t>Repina, Irina A/H-3530-2016</t>
  </si>
  <si>
    <t>Russian Foundation for Basic Research [17-05-01221]</t>
  </si>
  <si>
    <t>The research was supported by the Russian Foundation for Basic Research (grant 17-05-01221).</t>
  </si>
  <si>
    <t>10.3103/S106837392002003X</t>
  </si>
  <si>
    <t>WOS:000520830500003</t>
  </si>
  <si>
    <t>Artamonov, YV; Skripaleva, EA; Artamonov, AY; Shutov, SA</t>
  </si>
  <si>
    <t>Artamonov, Yu, V; Skripaleva, E. A.; Artamonov, A. Yu; Shutov, S. A.</t>
  </si>
  <si>
    <t>Thermohaline Structure of Water in Antarctic Coastal Areas in March-April 2019 Derived from the 64th Russian Antarctic Expedition Measurements</t>
  </si>
  <si>
    <t>Antarctica; hydrological sounding; water temperature and salinity; wind speed; wind direction; air temperature; tides; intradaily and interdaily variability</t>
  </si>
  <si>
    <t>The thermohaline structure of water in the Antarctic coastal areas adjoining Molodezhnaya, Novolazarevskaya, and Bellingshausen stations is analyzed using many-hour soundings carried out in March-April 2019 during the 64th Russian Antarctic Expedition on the Akademik Fedorov research vessel. Water masses typical of the Antarctic zone (Antarctic surface, Antarctic shelf, Antarctic winter, upper circumpolar deep water, Bransfield Strait surface water) are identified, and the features of their temporal variability are described. It is shown that intradaily and interdaily variations in water temperature and salinity were observed during the measurement period. The changes in the water structure in the area of Molodezhnaya, Novolazarevskaya, and Bellingshausen stations occurred under changes in synoptic atmospheric conditions, and their frequency was close to that of tidal processes.</t>
  </si>
  <si>
    <t>[Artamonov, Yu, V; Skripaleva, E. A.; Shutov, S. A.] Russian Acad Sci, Marine Hydrophys Inst, Ul Kapitanskaya 2, Sevastopol 299011, Russia; [Artamonov, A. Yu] Russian Acad Sci, Obukhov Inst Atmospher Phys, Pyzhevskii Per 3, Moscow 119017, Russia</t>
  </si>
  <si>
    <t>Russian Academy of Sciences; Marine Hydrophysical Institute of RAS; Russian Academy of Sciences; Obukhov Institute of Atmospheric Physics of Russian Academy of Sciences</t>
  </si>
  <si>
    <t>Artamonov, YV (corresponding author), Russian Acad Sci, Marine Hydrophys Inst, Ul Kapitanskaya 2, Sevastopol 299011, Russia.</t>
  </si>
  <si>
    <t>artam-ant@yandex.ru</t>
  </si>
  <si>
    <t>A., Shutov S./AAN-6071-2020</t>
  </si>
  <si>
    <t>Artamonov, Yuriy/0000-0003-2669-7304; Shutov, Sergey/0009-0004-4743-687X</t>
  </si>
  <si>
    <t>Russian Academy of Sciences [0827-2019-0003, 0555-2019-0003]</t>
  </si>
  <si>
    <t>Russian Academy of Sciences(Russian Academy of Sciences)</t>
  </si>
  <si>
    <t>The research was performed in the framework of themes of the governmental assignment of Marine Hydrophysical Institute of Russian Academy of Sciences 0827-2019-0003 Oceanological Processes and 0555-2019-0003 The Antarctic.</t>
  </si>
  <si>
    <t>10.3103/S1068373920020041</t>
  </si>
  <si>
    <t>WOS:000520830500004</t>
  </si>
  <si>
    <t>Nemirovskaya, IA</t>
  </si>
  <si>
    <t>Nemirovskaya, I. A.</t>
  </si>
  <si>
    <t>Organic Compounds in the Antarctic Coastal Ecosystem</t>
  </si>
  <si>
    <t>Aerosol; organic matter; hydrocarbons (aliphatic and polycyclic aromatic); lipids; suspended matter; soil; snow; moss; Antarctic</t>
  </si>
  <si>
    <t>PETROLEUM-HYDROCARBONS; MCMURDO STATION; SURFACE WATERS; SOUTHERN; SPILLS; MATTER; SOILS</t>
  </si>
  <si>
    <t>The paper presents the results of studying the granulometric composition of aerosol in the suspended matter of the surface water layer, and organic compounds (hydrocarbons, lipids, suspended organic carbon, chlorophyll a) in surface water at the sublatitudinal section near the Antarctica coast obtained in 2019 (the 64th Russian Antarctic Expedition). Snow, soil, and moss in the region of Antarctic stations Molodezhnaya, Novolazarevskaya, and Bellingshausen were also investigated. The results were compared with earlier data.</t>
  </si>
  <si>
    <t>[Nemirovskaya, I. A.] Russian Acad Sci, Shirshov Inst Oceanol, Nakhimovskii Pr 36, Moscow 117997, Russia</t>
  </si>
  <si>
    <t>Russian Academy of Sciences; Shirshov Institute of Oceanology</t>
  </si>
  <si>
    <t>Nemirovskaya, IA (corresponding author), Russian Acad Sci, Shirshov Inst Oceanol, Nakhimovskii Pr 36, Moscow 117997, Russia.</t>
  </si>
  <si>
    <t>nemir44@mail.ru</t>
  </si>
  <si>
    <t>Russian Antarctic Expedition [0128-2019-0011]; [19-17-00234]; Russian Science Foundation [19-17-00234] Funding Source: Russian Science Foundation</t>
  </si>
  <si>
    <t>Russian Antarctic Expedition; ; Russian Science Foundation(Russian Science Foundation (RSF))</t>
  </si>
  <si>
    <t>The results of the studies were obtained in the framework of the governmental assignment (theme 0128-2019-0011), the sampling was supported by the Russian Antarctic Expedition, the generalization of results and the paper composition were supported by the Russian Science Foundation (grant 19-17-00234).</t>
  </si>
  <si>
    <t>10.3103/S1068373920020065</t>
  </si>
  <si>
    <t>WOS:000520830500006</t>
  </si>
  <si>
    <t>Pryakhina, GV; Boronina, AS; Popov, SV; Chetverova, AA</t>
  </si>
  <si>
    <t>Pryakhina, G., V; Boronina, A. S.; Popov, S., V; Chetverova, A. A.</t>
  </si>
  <si>
    <t>Hydrological Studies of Lake Outbursts in the Antarctic Oases</t>
  </si>
  <si>
    <t>East Antarctica; hydrology; lake outbursts; mathematical modeling</t>
  </si>
  <si>
    <t>The results of a detailed hydrological study of the Larsemann Hills Oases (East Antarctica) during field seasons of 2017 to 2019 are presented. The study investigates a variety of lakes' hydrological regime and the characteristics of outburst floods resulting from the lakes' water flowing through tunnels in the snow-ice dams. The hydrographs calculated by the mathematical modeling do not generally contradict the physical essence of the process of outburst flood formation.</t>
  </si>
  <si>
    <t>[Pryakhina, G., V; Boronina, A. S.; Popov, S., V; Chetverova, A. A.] St Petersburg Univ, Univ Skaya Nab 7-9, St Petersburg 199034, Russia; [Popov, S., V] Polar Marine Geosurvey Expedit, Ul Pobedy 24, St Petersburg 198412, Russia; [Chetverova, A. A.] Arctic &amp; Antarctic Res Inst, Ul Beringa 38, St Petersburg 199397, Russia</t>
  </si>
  <si>
    <t>Saint Petersburg State University; Arctic &amp; Antarctic Research Institute</t>
  </si>
  <si>
    <t>Pryakhina, GV (corresponding author), St Petersburg Univ, Univ Skaya Nab 7-9, St Petersburg 199034, Russia.</t>
  </si>
  <si>
    <t>g65@mail.ru</t>
  </si>
  <si>
    <t>Popov, Sergey V./I-2319-2013; Popov, Sergey/IYJ-2371-2023; Cheterova, Antonina/N-1019-2013</t>
  </si>
  <si>
    <t>Popov, Sergey V./0000-0002-1830-8658; Popov, Sergey/0000-0002-1830-8658; Cheterova, Antonina/0000-0001-7461-3617; Prahina, Galina/0000-0003-3684-4638; Boronina, Alina/0000-0002-3486-5243</t>
  </si>
  <si>
    <t>Russian Foundation for Basic Research [18-05-00421]</t>
  </si>
  <si>
    <t>The research was supported by the Russian Foundation for Basic Research (No. 18-05-00421).</t>
  </si>
  <si>
    <t>10.3103/S1068373920020077</t>
  </si>
  <si>
    <t>WOS:000520830500007</t>
  </si>
  <si>
    <t>Osokin, NI; Sosnovskii, AV; Mavlyudov, BR</t>
  </si>
  <si>
    <t>Osokin, N., I; Sosnovskii, A., V; Mavlyudov, B. R.</t>
  </si>
  <si>
    <t>Glaciation and Permafrost Dynamics on the Antarctic Peninsula in the 21st Century</t>
  </si>
  <si>
    <t>Antarctic; climate change; glacier; ice mass balance; permafrost; active layer</t>
  </si>
  <si>
    <t>The results of mass balance observations of the ice dome and measurements of the active layer thickness on the Fildes Peninsula, King George (Waterloo) Island, Western Antarctica are presented for the period of 2007 to 2019. The dynamics of the main meteorological parameters affecting the active layer thickness is determined. The numerical experiments based on the mathematical model are performed to determine the effects of various parameters on the active layer thickness. The calculated and measured values of the active layer thickness are compared. The thermal instability of permafrost in the study area in some years with high (above the means) summer air temperature is demonstrated. The climate cooling which started in the region in the recent years has increased the number of years with the positive ice mass balance. However, the positive ice mass balance has not yet become a dominant factor against a background of the negative balance in the previous years.</t>
  </si>
  <si>
    <t>[Osokin, N., I; Sosnovskii, A., V; Mavlyudov, B. R.] Russian Acad Sci, Inst Geog, Staromonetnyi Per 29, Moscow 119017, Russia</t>
  </si>
  <si>
    <t>Russian Academy of Sciences; Institute of Geography, Russian Academy of Sciences</t>
  </si>
  <si>
    <t>Osokin, NI (corresponding author), Russian Acad Sci, Inst Geog, Staromonetnyi Per 29, Moscow 119017, Russia.</t>
  </si>
  <si>
    <t>osokin@igras.ru</t>
  </si>
  <si>
    <t>Sosnovskiy, Alexandr/JXB-6959-2024; Мавлюдов, Булат/AAF-9461-2021</t>
  </si>
  <si>
    <t>Мавлюдов, Булат/0000-0002-1576-7920</t>
  </si>
  <si>
    <t>IAEA project (2014-2019) [INT5153]; [0148-2019-0004 (AAAA-A19-119022190172-5)]</t>
  </si>
  <si>
    <t>IAEA project (2014-2019);</t>
  </si>
  <si>
    <t>The studies were performed in the framework of the Governmental Assignment 0148-2019-0004 (AAAA-A19-119022190172-5) Glaciation and Related Natural Processes under Climate Change. The present study is also directly linked to the INT5153 IAEA project (2014-2019).</t>
  </si>
  <si>
    <t>10.3103/S1068373920020089</t>
  </si>
  <si>
    <t>WOS:000520830500008</t>
  </si>
  <si>
    <t>Ekaykin, AA; Teben'kova, NA; Lipenkov, VY; Tchikhatchev, KB; Veres, AN; Richter, A</t>
  </si>
  <si>
    <t>Ekaykin, A. A.; Teben'kova, N. A.; Lipenkov, V. Ya; Tchikhatchev, K. B.; Veres, A. N.; Richter, A.</t>
  </si>
  <si>
    <t>Underestimation of Snow Accumulation Rate in Central Antarctica (Vostok Station) Derived from Stake Measurements</t>
  </si>
  <si>
    <t>Antarctica; mass balance; snow measurements; Vostok station; snow compaction</t>
  </si>
  <si>
    <t>It is shown that the snow stake measurements in central Antarctica systematically underestimate the value of the snow build-up. Two methods for the calculation of the corresponding correction to the snow stake measurements at Vostok station are developed to take this underestimation into account. The first method is based on the Sorge's law to calculate the rate of compaction of snow layers using the vertical profile of snow density. The second method is based on the direct field measurements of this compaction. Two independent methods for the estimation of the snow accumulation rate in the vicinity of Vostok station are also considered: geodetic data on the rate of snow layer sinking and glaciological data from snow pits. The most reliable estimate of the snow accumulation rate in this region is 2.26 +/- 0.10 g/cm(2) per year, that is 8 +/- 4% higher than uncorrected values from snow accumulation measurements.</t>
  </si>
  <si>
    <t>[Ekaykin, A. A.; Teben'kova, N. A.; Lipenkov, V. Ya; Tchikhatchev, K. B.; Veres, A. N.] Arctic &amp; Antarctic Res Inst, Ul Beringa 38, St Petersburg 199397, Russia; [Ekaykin, A. A.; Teben'kova, N. A.; Veres, A. N.] St Petersburg State Univ, Inst Earth Sci, Univ Skaya Nab 7-9, St Petersburg 199034, Russia; [Richter, A.] Tech Univ Dresden, Inst Planetary Geodesy, Hebnholtzstr 10, D-01069 Dresden, Germany</t>
  </si>
  <si>
    <t>Arctic &amp; Antarctic Research Institute; Saint Petersburg State University; Technische Universitat Dresden</t>
  </si>
  <si>
    <t>Ekaykin, AA (corresponding author), Arctic &amp; Antarctic Res Inst, Ul Beringa 38, St Petersburg 199397, Russia.</t>
  </si>
  <si>
    <t>ekaykin@aari.ru</t>
  </si>
  <si>
    <t>Ekaykin, Alexey A./K-9894-2015; Richter, Andreas/A-1572-2008; Veres, Arina/HJY-8317-2023</t>
  </si>
  <si>
    <t>Richter, Andreas/0000-0002-8588-9755</t>
  </si>
  <si>
    <t>Russian Foundation for Basic Research [17-05-01168]</t>
  </si>
  <si>
    <t>The research was supported by the Russian Foundation for Basic Research (grant 17-05-01168).</t>
  </si>
  <si>
    <t>10.3103/S1068373920020090</t>
  </si>
  <si>
    <t>WOS:000520830500009</t>
  </si>
  <si>
    <t>Clark, SC; Granger, J; Mastorakis, A; Aguilar-Islas, A; Hastings, MG</t>
  </si>
  <si>
    <t>Clark, S. C.; Granger, J.; Mastorakis, A.; Aguilar-Islas, A.; Hastings, M. G.</t>
  </si>
  <si>
    <t>An Investigation Into the Origin of Nitrate in Arctic Sea Ice</t>
  </si>
  <si>
    <t>NITROGEN ISOTOPE FRACTIONATION; ATMOSPHERIC NITRATE; STABLE-ISOTOPES; OXYGEN ISOTOPES; AMMONIUM UPTAKE; REACTIVE NITROGEN; ORGANIC-MATTER; SNOW; PHYTOPLANKTON; SALINITY</t>
  </si>
  <si>
    <t>Atmospheric deposition has been suggested to be an important source of reactive nitrogen stored in Northern Hemisphere land-fast ice, in contrast to Antarctic sea ice, where bulk nutrients originate predominantly from underlying seawater. A paucity of sea ice studies in the open Arctic Ocean limits our understanding of the potential for melting ice to contribute to primary production in N-deplete waters of the Arctic. As part of the U.S. western Arctic GEOTRACES 2015 expedition, samples of pack ice, overlying snow, atmospheric aerosols, and underlying seawater were collected between 82 degrees N and 89 degrees N. To identify the provenance of N in sea ice, we measured a suite of tracers including the isotopic composition of nitrate, ammonium, water, and particulate N. Relatively low concentrations of nitrate and ammonium were detected in sea ice (0.1-8.2 and 0.6-1.2 mu mol L-1, respectively), and in atmospheric samples (1.1-3.7 and 0.8-1.2 mu mol L-1, respectively). Atmospheric nitrate in snow had characteristically high Delta O-17 and delta O-18 (Delta O-17(NO3) = delta O-17 - 0.52 x delta O-18 = 27.1-33.5% versus Vienna Standard Mean Ocean Water (VSMOW); delta O-18(NO3) = 70.8-87.8%), and low delta N-15(NO3) (-5.9-2% versus N-2). In contrast to the atmospheric samples, the sea ice delta N-15(NO3) was typically higher (-0.3-15.0%) and the delta O-17(NO3) and delta O-18(NO3) much lower (Delta O-17(NO3) = 0-12.4%; delta O-18(NO3) = 23.3-67.5%). The presence of Delta O-17(NO3) in the sea ice indicated that 0-40% of the nitrate is sourced from the atmosphere, while the majority of the nitrate is non-atmospheric (Delta O-17(NO3) = 0%). Based upon concentration, isotopic observations, and dynamic box modeling with atmospheric deposition and biological processes, we find that the majority of nitrate can be explained by in-situ biological nitrate production.</t>
  </si>
  <si>
    <t>[Clark, S. C.; Hastings, M. G.] Brown Univ, Dept Earth Environm &amp; Planetary Sci, Providence, RI 02912 USA; [Clark, S. C.; Hastings, M. G.] Brown Univ, Inst Brown Environm &amp; Soc, Providence, RI 02912 USA; [Granger, J.] Univ Connecticut, Dept Marine Sci, Groton, CT 06340 USA; [Mastorakis, A.] Brown Univ, Dept Chem, Providence, RI 02912 USA; [Aguilar-Islas, A.] Univ Alaska Fairbanks, Coll Fisheries &amp; Ocean Sci, Fairbanks, AK USA</t>
  </si>
  <si>
    <t>Brown University; Brown University; University of Connecticut; Brown University; University of Alaska System; University of Alaska Fairbanks</t>
  </si>
  <si>
    <t>Clark, SC (corresponding author), Brown Univ, Dept Earth Environm &amp; Planetary Sci, Providence, RI 02912 USA.;Clark, SC (corresponding author), Brown Univ, Inst Brown Environm &amp; Soc, Providence, RI 02912 USA.</t>
  </si>
  <si>
    <t>sydney_clark1@brown.edu</t>
  </si>
  <si>
    <t>; Hastings, Meredith/C-6199-2008</t>
  </si>
  <si>
    <t>Granger, Julie/0000-0001-9985-9242; Hastings, Meredith/0000-0001-6716-6783</t>
  </si>
  <si>
    <t>National Science Foundation [OCE-1433989, OCE-1435002, OCE-1433717]; Institute at Brown for Environment and Society; Brown Graduate School; Brown University</t>
  </si>
  <si>
    <t>National Science Foundation(National Science Foundation (NSF)); Institute at Brown for Environment and Society; Brown Graduate School; Brown University</t>
  </si>
  <si>
    <t>The authors report no conflicts of interest. This work was funded by the National Science Foundation (grant OCE-1433989 to M.H., OCE-1435002 to J.G., and OCE-1433717 to A.A.-I.), the Institute at Brown for Environment and Society (Graduate Research and Travel Grant to S.C.C.), the Brown Graduate School (International Research Travel Grant to S.C.C.), and Brown University's Teaching and Research Awards (to A.M.). Clifton Buck (NSF OCE 1438047), William Landing (NSF-OCE 1427266 and NSF-OCE 1355833), and Christopher Marsay provided the atmospheric aerosol samples. We thank the efforts of Phoebe Lam and Yang Xiang for the isotopic analyses of delta15NPN from the cruise, and the following people for their efforts with cruise logistics, sea ice station sampling, and analytical support: David Kadko, Kyle Dilliplaine, Rob Rember, Ruby Ho, Dorothy Fibiger, Joseph Orchardo, David Murray, Richard Vachula, the USCGC Healy crew, GEOTRACES community, Andrew Schauer, and the UW Isolab. Finally, we thank Francois Fripiat and an anonymous reviewer for their insightful feedback on this manuscript. As part of the GEOTRACES team, data are accessible through the BCO-DMO repository and can be found at https://www.bco-dmo.org/project/638812.</t>
  </si>
  <si>
    <t>e2019GB006279</t>
  </si>
  <si>
    <t>10.1029/2019GB006279</t>
  </si>
  <si>
    <t>KV1BJ</t>
  </si>
  <si>
    <t>WOS:000520158900008</t>
  </si>
  <si>
    <t>Catania, GA; Stearns, LA; Moon, TA; Enderlin, EM; Jackson, RH</t>
  </si>
  <si>
    <t>Catania, G. A.; Stearns, L. A.; Moon, T. A.; Enderlin, E. M.; Jackson, R. H.</t>
  </si>
  <si>
    <t>Future Evolution of Greenland's Marine-Terminating Outlet Glaciers</t>
  </si>
  <si>
    <t>SURFACE MASS-BALANCE; PINE ISLAND GLACIER; SEA-LEVEL RISE; OCEANS MELTING GREENLAND; ANTARCTIC ICE-SHEET; WEST GREENLAND; JAKOBSHAVN ISBRAE; SUBMARINE MELT; SUBGLACIAL DISCHARGE; TIDEWATER GLACIER</t>
  </si>
  <si>
    <t>Mass loss from the Greenland ice sheet (GrIS) has increased over the last two decades in response to changes in global climate, motivating the scientific community to question how the GrIS will contribute to sea-level rise on timescales that are relevant to coastal communities. Observations also indicate that the impact of a melting GrIS extends beyond sea-level rise, including changes to ocean properties and circulation, nutrient and sediment cycling, and ecosystem function. Unfortunately, despite the rapid growth of interest in GrIS mass loss and its impacts, we still lack the ability to confidently predict the rate of future mass loss and the full impacts of this mass loss on the globe. Uncertainty in GrIS mass loss projections in part stems from the nonlinear response of the ice sheet to climate forcing, with many processes at play that influence how mass is lost. This is particularly true for outlet glaciers in Greenland that terminate in the ocean because their flow is strongly controlled by multiple processes that alter their boundary conditions at the ice-atmosphere, ice-ocean, and ice-bed interfaces. Many of these processes change on a range of overlapping timescales and are challenging to observe, making them difficult to understand and thus missing in prognostic ice sheet/climate models. For example, recent (beginning in the late 1990s) mass loss via outlet glaciers has been attributed primarily to changing ice-ocean interactions, driven by both oceanic and atmospheric warming, but the exact mechanisms controlling the onset of glacier retreat and the processes that regulate the amount of retreat remain uncertain. Here we review the progress in understanding GrIS outlet glacier sensitivity to climate change, how mass loss has changed over time, and how our understanding has evolved as observational capacity expanded. Although many processes are far better understood than they were even a decade ago, fundamental gaps in our understanding of certain processes remain. These gaps impede our ability to understand past changes in dynamics and to make more accurate mass loss projections under future climate change. As such, there is a pressing need for (1) improved, long-term observations at the ice-ocean and ice-bed boundaries, (2) more observationally constrained numerical ice flow models that are coupled to atmosphere and ocean models, and (3) continued development of a collaborative and interdisciplinary scientific community. Plain Language Summary Increasing mass loss from the Greenland ice sheet (GrIS) in response to changes in global climate has motivated the scientific community to understand how much sea level rise will happen in the coming decades. Observations now indicate that the impact of a melting GrIS are more widespread than just sea-level rise and include changes to ocean properties and circulation, nutrient and sediment cycling, and ecosystem function. Major uncertainties still hamper accurate predictions of these impacts, particularly for outlet glaciers in Greenland that terminate in the ocean because their flow is strongly controlled by multiple processes that alter their boundary conditions at the ice-atmosphere, ice-ocean, and ice-bed interfaces. Many of these processes change on a range of overlapping timescales and are challenging to observe. Here we review the scientific progress in understanding how GrIS outlet glaciers respond to climate and how our understanding has changed over time as observations have increased. We conclude with recommendations for (1) improved, long-term observations at the ice- ocean and ice-bed boundaries, (2) more observationally-constrained ice flow models that are linked to atmosphere and ocean models, and (3) continued development of a collaborative and interdisciplinary scientific community.</t>
  </si>
  <si>
    <t>[Catania, G. A.] Univ Texas Austin, Inst Geophys, Austin, TX 78712 USA; [Catania, G. A.] Univ Texas Austin, Dept Geol Sci, Austin, TX 78712 USA; [Stearns, L. A.] Univ Kansas, Dept Geol, Lawrence, KS 66045 USA; [Moon, T. A.] Univ Colorado, Natl Snow &amp; Ice Data Ctr, Boulder, CO 80309 USA; [Moon, T. A.] Univ Colorado, Cooperat Inst Res Environm Sci, Boulder, CO 80309 USA; [Enderlin, E. M.] Boise State Univ, Dept Geosci, Boise, ID 83725 USA; [Jackson, R. H.] Rutgers State Univ, Dept Marine &amp; Coastal Sci, New Brunswick, NJ USA</t>
  </si>
  <si>
    <t>University of Texas System; University of Texas Austin; University of Texas System; University of Texas Austin; University of Kansas; University of Colorado System; University of Colorado Boulder; University of Colorado System; University of Colorado Boulder; Idaho; Boise State University; Rutgers University System; Rutgers University New Brunswick</t>
  </si>
  <si>
    <t>Catania, GA (corresponding author), Univ Texas Austin, Inst Geophys, Austin, TX 78712 USA.;Catania, GA (corresponding author), Univ Texas Austin, Dept Geol Sci, Austin, TX 78712 USA.</t>
  </si>
  <si>
    <t>gcatania@ig.utexas.edu</t>
  </si>
  <si>
    <t>Moon, Twila/AAZ-9302-2021; Catania, Ginny/B-9787-2008</t>
  </si>
  <si>
    <t>Enderlin, Ellyn/0000-0002-8266-7719; Moon, Twila/0000-0003-0968-7008; Stearns, Leigh/0000-0001-7358-7015</t>
  </si>
  <si>
    <t>NASA; NSF</t>
  </si>
  <si>
    <t>NASA(National Aeronautics &amp; Space Administration (NASA)); NSF(National Science Foundation (NSF))</t>
  </si>
  <si>
    <t>Acknowledgments We thank Bryn Hubbard for providing the opportunity and guidance for this review. We would like to acknowledge funding from NASA and NSF to to all of the manuscripts authors over their careers as well as the efforts of their students, postdocs, and collaborators who have contributed indirectly to the knowledge in this review. We also thank Mathieu Morlighem for critical comments that improved the manuscript prior to submission. Finally, we appreciate the thorough and thoughtful reviews by three anonymous reviewers for providing critical suggestions that improved the overall manuscript. No data are presented in this manuscript.</t>
  </si>
  <si>
    <t>e2018JF004873</t>
  </si>
  <si>
    <t>10.1029/2018JF004873</t>
  </si>
  <si>
    <t>KU4ZM</t>
  </si>
  <si>
    <t>WOS:000519719500008</t>
  </si>
  <si>
    <t>Turner, RJ; Gal, M; Hemer, MA; Reading, AM</t>
  </si>
  <si>
    <t>Turner, Ross J.; Gal, Martin; Hemer, Mark A.; Reading, Anya M.</t>
  </si>
  <si>
    <t>Impacts of the Cryosphere and Atmosphere on Observed Microseisms Generated in the Southern Ocean</t>
  </si>
  <si>
    <t>WAVE POWER VARIABILITY; ANNULAR MODE; TRENDS; CLIMATE; MODULATION; HEMISPHERE; SIGNATURES</t>
  </si>
  <si>
    <t>The Southern Ocean (in the region 60-180 degrees E) south of the Indian Ocean, Australia, and the West Pacific is noted for the frequent occurrence and severity of its storms. These storms give rise to high-amplitude secondary microseisms from sources, including the deep ocean regions, and primary microseisms where the swells impinge on submarine topographic features. A better understanding of the varying microseism wavefield enables improvements to seismic imaging and development of proxy observables to complement sparse in situ wave observations and hindcast models of the global ocean wave climate. We analyze 12-26 years of seismic data from 11 seismic stations either on the East Antarctic coast or sited in the Indian Ocean, Australia, and New Zealand. The power spectral density of the seismic wavefield is calculated to explore how the time-changing microseism intensity varies with (i) sea ice coverage surrounding Antarctica and (ii) the Southern Annular Mode (SAM) climate index. Variations in sea ice extent are found to be the dominant control on the microseism intensity at Antarctic stations, which exhibit a seasonal pattern phase-shifted by 4-5 months compared to stations in other continents. Peaks in extremal intensity at East Antarctic stations occur in March-April, with the highest peaks for secondary microseisms occurring during negative SAM events. This relationship between microseism intensity and the SAM index is opposite to that observed on the Antarctic Peninsula. This work informs the complexity of microseism amplitudes in the Southern Hemisphere and assists ongoing interdisciplinary investigations of interannual variability and long-term trends.</t>
  </si>
  <si>
    <t>[Turner, Ross J.; Gal, Martin; Reading, Anya M.] Univ Tasmania, Sch Nat Sci, Hobart, Tas, Australia; [Turner, Ross J.; Reading, Anya M.] Univ Tasmania, Inst Marine &amp; Antarctic Studies, Hobart, Tas, Australia; [Gal, Martin] Inst Mine Seismol, Huntingfield, Tas, Australia; [Hemer, Mark A.] CSIRO Oceans &amp; Atmosphere Flagship, Hobart, Tas, Australia</t>
  </si>
  <si>
    <t>University of Tasmania; University of Tasmania; Commonwealth Scientific &amp; Industrial Research Organisation (CSIRO)</t>
  </si>
  <si>
    <t>Turner, RJ (corresponding author), Univ Tasmania, Sch Nat Sci, Hobart, Tas, Australia.;Turner, RJ (corresponding author), Univ Tasmania, Inst Marine &amp; Antarctic Studies, Hobart, Tas, Australia.</t>
  </si>
  <si>
    <t>turner.rj@icloud.com</t>
  </si>
  <si>
    <t>Reading, Anya M/E-6728-2012; Turner, Ross/AAQ-8301-2020; Turner, Ross/JPL-4110-2023; Gal, Martin/D-7127-2016; Hemer, Mark/M-1905-2013</t>
  </si>
  <si>
    <t>Reading, Anya M/0000-0002-9316-7605; Turner, Ross/0000-0002-4376-5455; Turner, Ross/0000-0002-4376-5455; Gal, Martin/0000-0001-6767-8017; Hemer, Mark/0000-0002-7725-3474</t>
  </si>
  <si>
    <t>Australian Research Council [DP150101005]; Special Research Initiative for Antarctic Gateway Partnership [SR140300001]; Seismological Facilities for the Advancement of Geoscience and EarthScope (SAGE) Proposal of the National Science Foundation [EAR-1261681]</t>
  </si>
  <si>
    <t>Australian Research Council(Australian Research Council); Special Research Initiative for Antarctic Gateway Partnership; Seismological Facilities for the Advancement of Geoscience and EarthScope (SAGE) Proposal of the National Science Foundation(National Science Foundation (NSF)NSF - Directorate for Geosciences (GEO))</t>
  </si>
  <si>
    <t>This research was supported by the Australian Research Council through the Discovery Program (Project DP150101005) and the Special Research Initiative for Antarctic Gateway Partnership (Project SR140300001). We thank Rob Anthony and an anonymous reviewer for their helpful and constructive feedback that has improved this manuscript. The facilities of the IRIS Data Management Center were used for access to waveforms and related metadata, used in this study. IRIS Data Services are funded through the Seismological Facilities for the Advancement of Geoscience and EarthScope (SAGE) Proposal of the National Science Foundation under Cooperative Agreement EAR-1261681. This work included data from the AU, G, II, and IU seismic networks obtained from the IRIS data center (https://doi.org/10.18715/GEOSCOPE.G, https://doi.org/10.7914/SN/II, and https://doi.org/10.7914/SN/IU).</t>
  </si>
  <si>
    <t>e2019JF005354</t>
  </si>
  <si>
    <t>10.1029/2019JF005354</t>
  </si>
  <si>
    <t>WOS:000519719500010</t>
  </si>
  <si>
    <t>Federwisch, L; Janussen, D; Richter, C</t>
  </si>
  <si>
    <t>Federwisch, Luisa; Janussen, Dorte; Richter, Claudio</t>
  </si>
  <si>
    <t>Macroscopic characteristics facilitate identification of common Antarctic glass sponges (Porifera, Hexactinellida, Rossellidae)</t>
  </si>
  <si>
    <t>Anoxycalyx joubini; Rossella; Weddell Sea; Species identification; Image analysis</t>
  </si>
  <si>
    <t>WEDDELL SEA; COMMUNITIES; SHELF; OCEAN</t>
  </si>
  <si>
    <t>Glass sponges (Porifera, Hexactinellida) are conspicuous habitat-forming members of many Antarctic shelf communities. Despite their ecological importance, in-situ species identification remains problematic as it is traditionally based on microscopic analysis of spicules. External morphological features, in contrast, have largely been disregarded, so that different species have been mislabeled or lumped together when their identification was based on image material. In this paper, we provide a straight-forward guideline for in-situ identification of the most common rossellid sponges of the Antarctic shelf based on macroscopic characteristics. To determine diagnostic macroscopic characteristics of Anoxycalyx (Scolymastra) joubini and eight Rossella species, we combined examination of trawl-collected specimens, previous species descriptions and in-situ image material from the eastern Weddell Sea. Our study revealed that the smooth-walled species A. joubini, R. nuda and R. vanhoeffeni, previously often mixed up, can be distinguished by the form of their basal spicule tuft, their surface structure and their overall body form. The previously synonymized species R. racovitzae and R. podagrosa can be distinguished by their markedly different habitus. Based on our results, the so-called 'R. racovitzae budding type' in fact refers to R. podagrosa which occurs regularly in the eastern Weddell Sea. The species R. villosa, R. levis, R. fibulata and R. antarctica can be distinguished by the appearance of their conules, protruding spicules and overall body form. We conclude that macroscopic characteristics are helpful means for identification of Antarctic rossellid sponge species. This approach enables species-specific quantitative studies of Antarctic glass sponge grounds based on increasingly used non-invasive imaging technology.</t>
  </si>
  <si>
    <t>[Federwisch, Luisa; Richter, Claudio] Alfred Wegener Inst Helmholtz Zentrum Polar &amp; Mee, Handelshafen 12, D-27570 Bremerhaven, Germany; [Federwisch, Luisa; Richter, Claudio] Univ Bremen, Fac Biol Chem 2, D-28334 Bremen, Germany; [Janussen, Dorte] Forschungsinst, Senckenberganlage 25, D-60325 Frankfurt, Germany; [Janussen, Dorte] Nat Museum Senckenberg, Senckenberganlage 25, D-60325 Frankfurt, Germany</t>
  </si>
  <si>
    <t>Helmholtz Association; Alfred Wegener Institute, Helmholtz Centre for Polar &amp; Marine Research; University of Bremen; Senckenberg Gesellschaft fur Naturforschung (SGN)</t>
  </si>
  <si>
    <t>Federwisch, L (corresponding author), Alfred Wegener Inst Helmholtz Zentrum Polar &amp; Mee, Handelshafen 12, D-27570 Bremerhaven, Germany.;Federwisch, L (corresponding author), Univ Bremen, Fac Biol Chem 2, D-28334 Bremen, Germany.</t>
  </si>
  <si>
    <t>luisa.federwisch@awi.de</t>
  </si>
  <si>
    <t>Richter, Claudio/AAT-1212-2020</t>
  </si>
  <si>
    <t>Richter, Claudio/0000-0002-8182-6896; Federwisch, Luisa/0000-0002-4815-475X</t>
  </si>
  <si>
    <t>10.1007/s00300-019-02612-2</t>
  </si>
  <si>
    <t>KU8SA</t>
  </si>
  <si>
    <t>WOS:000519980900003</t>
  </si>
  <si>
    <t>Schrimpf, MB; Che-Castaldo, C; Lynch, HJ</t>
  </si>
  <si>
    <t>Schrimpf, Michael B.; Che-Castaldo, Christian; Lynch, Heather J.</t>
  </si>
  <si>
    <t>Regional breeding bird assessment of the Antarctic Peninsula</t>
  </si>
  <si>
    <t>Occupancy; Species distributions; Important bird areas; Antarctic specially protected areas</t>
  </si>
  <si>
    <t>PENGUIN POPULATIONS; BIODIVERSITY; DYNAMICS; ISLANDS; SIZE</t>
  </si>
  <si>
    <t>Conservation of seabirds in remote polar regions requires accurate information on the location of breeding sites, which is often limited by logistical constraints of surveying large areas. On the Antarctic Peninsula, many seabird colonies are visited briefly but regularly by commercial cruise vessels, a platform from which we were able to collect presence/absence data on the entire community of seabirds. We used a multistate occupancy model, accounting for limited detection during surveys, to estimate the probability of presence and breeding of all 16 species native to the area. Our results provide a much clearer view than that was previously available of how avian diversity is distributed across the region's network of multi-species colonies and reveals species-specific differences in the effect of sea-ice concentration and site fidelity on breeding probability. Several breeding sites host an unusually large number of breeding species, but these known richness hotspots are scattered throughout the region and we were unable to identify any clear gradients in species richness that might explain why some sites are so species rich. While accounting for detection failure accelerates the pace of reliable inference on species occupancy, we find that as many as ten years of repeated visits are often required to fully catalog the seabird richness at bare rock sites along the Antarctic Peninsula. This work highlights the challenges of identifying high priority sites for special protection or management and the importance for continued surveys, even at nominally well-studied locations.</t>
  </si>
  <si>
    <t>[Schrimpf, Michael B.; Che-Castaldo, Christian; Lynch, Heather J.] SUNY Stony Brook, Dept Ecol &amp; Evolut, 650 Life Sci Bldg, Stony Brook, NY 11794 USA; [Che-Castaldo, Christian] Mt St Helens Inst, Amboy, WA 98601 USA; [Lynch, Heather J.] SUNY Stony Brook, Inst Adv Computat Sci, Mailstop 5250, Stony Brook, NY 11794 USA</t>
  </si>
  <si>
    <t>State University of New York (SUNY) System; State University of New York (SUNY) Stony Brook; State University of New York (SUNY) System; State University of New York (SUNY) Stony Brook</t>
  </si>
  <si>
    <t>Schrimpf, MB (corresponding author), SUNY Stony Brook, Dept Ecol &amp; Evolut, 650 Life Sci Bldg, Stony Brook, NY 11794 USA.</t>
  </si>
  <si>
    <t>michael.schrimpf@stonybrook.edu</t>
  </si>
  <si>
    <t>Schrimpf, Michael/JJC-8063-2023</t>
  </si>
  <si>
    <t>Schrimpf, Michael/0000-0001-7001-1440; Che-Castaldo, Christian/0000-0002-7670-2178; Lynch, Heather/0000-0002-9026-1612</t>
  </si>
  <si>
    <t>10.1007/s00300-019-02613-1</t>
  </si>
  <si>
    <t>WOS:000519980900004</t>
  </si>
  <si>
    <t>Juares, MA; Casaux, R; Negrete, J; Rios, A; Castillo, M; Coria, NR; Santos, MM</t>
  </si>
  <si>
    <t>Juares, Mariana A.; Casaux, Ricardo; Negrete, Javier; Rios, Ayelen; Castillo, Martin; Coria, Nestor R.; Santos, Mercedes M.</t>
  </si>
  <si>
    <t>Update of the population size and breeding performance of gentoo penguins (Pygoscelis papua) at Stranger Point/Cabo Funes, South Shetland Islands</t>
  </si>
  <si>
    <t>Pygoscelis papua; Breeding pairs; Chicks creched; Long-term trends; Antarctica</t>
  </si>
  <si>
    <t>ANTARCTIC TOURIST SITE; GOUDIER ISLAND; PENINSULA; VARIABILITY</t>
  </si>
  <si>
    <t>The plasticity in the trophic ecology, the breeding phenology, and the low nesting site fidelity would be the reasons why most of the gentoo penguin (Pygoscelis papua) populations breeding in the western Antarctic Peninsula and islands of Scotia Arc remained stable or increasing, despite the changing environmental conditions. Regardless of the overall trend, recent studies revealed a decline in the abundance of some gentoo penguin populations at those regions. Therefore, it is highly valuable to update the population size of each colony in order to confirm the current trends of individual colonies and generate a comprehensive overview of the population status. We report the abundance and breeding performance of gentoo penguins at the Stranger Point/Cabo Funes colony from 2000/2001 to 2018/2019. During the last season, 5383 breeding pairs and 5545 chicks in creche were counted. Despite there were considerable inter-annual fluctuations over the study period, the total number of gentoo penguin breeding pairs increased by 74.6% (+ 3.1% per annum), while the number of chicks creched increased by 60.0% (+ 2.6% per annum). However, the index of breeding success remained relatively constant over time, varying between 0.74 and 1.23 chicks in creche/breeding pairs. Gentoo penguins have life-history strategies that are advantageous to face the environmental variability, allowing the species to maintain their breeding performance stable over time and enhance their resilience, which can favour the population growth at Stranger Point.</t>
  </si>
  <si>
    <t>[Juares, Mariana A.; Casaux, Ricardo; Negrete, Javier; Coria, Nestor R.; Santos, Mercedes M.] Inst Antartico Argentino, Dept Biol Predadores Tope, 25 Mayo 1143,B1650CSP, Buenos Aires, DF, Argentina; [Juares, Mariana A.] Consejo Nacl Invest Cient &amp; Tecn, Godoy Cruz 2290,C1425FQB, Buenos Aires, DF, Argentina; [Juares, Mariana A.; Negrete, Javier; Rios, Ayelen; Castillo, Martin; Santos, Mercedes M.] Univ Nacl La Plata, Lab Anexos, Fac Ciencias Nat &amp; Museo, Calle 64 3,B1904AMA, Buenos Aires, DF, Argentina; [Casaux, Ricardo] UNPSJB, Ctr Invest Esquel Montana &amp; Estepa Patagon, CONICET, Roca 780, RA-9200 Esquel, Chubut, Argentina; [Juares, Mariana A.] UNLP, CONICET, Fac Ciencias Nat &amp; Museo, Inst Antartico Argentino, Calle 64 3,B1904AMA, Buenos Aires, DF, Argentina</t>
  </si>
  <si>
    <t>Instituto Antartico Argentino; Consejo Nacional de Investigaciones Cientificas y Tecnicas (CONICET); National University of La Plata; Consejo Nacional de Investigaciones Cientificas y Tecnicas (CONICET); Instituto Antartico Argentino; National University of La Plata; Consejo Nacional de Investigaciones Cientificas y Tecnicas (CONICET)</t>
  </si>
  <si>
    <t>Juares, MA (corresponding author), Inst Antartico Argentino, Dept Biol Predadores Tope, 25 Mayo 1143,B1650CSP, Buenos Aires, DF, Argentina.;Juares, MA (corresponding author), Consejo Nacl Invest Cient &amp; Tecn, Godoy Cruz 2290,C1425FQB, Buenos Aires, DF, Argentina.;Juares, MA (corresponding author), Univ Nacl La Plata, Lab Anexos, Fac Ciencias Nat &amp; Museo, Calle 64 3,B1904AMA, Buenos Aires, DF, Argentina.;Juares, MA (corresponding author), UNLP, CONICET, Fac Ciencias Nat &amp; Museo, Inst Antartico Argentino, Calle 64 3,B1904AMA, Buenos Aires, DF, Argentina.</t>
  </si>
  <si>
    <t>marianajuares@hotmail.com</t>
  </si>
  <si>
    <t>Negrete, Javier/0000-0001-6853-8307; Juares, Mariana A./0000-0002-6763-0416</t>
  </si>
  <si>
    <t>10.1007/s00300-019-02614-0</t>
  </si>
  <si>
    <t>WOS:000519980900005</t>
  </si>
  <si>
    <t>Lomovasky, BJ; de Aranzamendi, MC; Abele, D</t>
  </si>
  <si>
    <t>Lomovasky, Betina J.; de Aranzamendi, M. Carla; Abele, Doris</t>
  </si>
  <si>
    <t>Shorter but thicker: analysis of internal growth bands in shells of intertidal vs. subtidal Antarctic limpets, Nacella concinna, reflects their environmental adaptation</t>
  </si>
  <si>
    <t>Gastropoda; Age; Morphotypes; Tidal zones; Shell growth pattern</t>
  </si>
  <si>
    <t>COMPETITION; STREBEL; ECOLOGY; DIFFERENTIATION; REPRODUCTION; TEMPERATURES; MORPHOTYPES; MORPHOLOGY; SELECTION; ECOSYSTEM</t>
  </si>
  <si>
    <t>The limpet Nacella concinna is a dominant macroinvertebrate along the coastal Antarctic Peninsula with two ecotypes inhabiting intertidal and subtidal areas, respectively. The ecological aim of the study was to understand whether higher stress competence and migratory energy expenses in intertidal Antarctic limpets shorten their lifetime and limit the shell growth rate compared to their sublittoral conspecific. We evaluated shell morphometry, age and internal shell growth bands in a large number of intertidal and subtidal N. concinna shells in Potter Cove, South Shetland Islands. Comparisons of their morphometrics showed that intertidal limpets are relatively shorter and less wide, and have higher shell mass, i.e. at common shell height, intertidal shells are relatively thicker and heavier than those of subtidal specimens. Internal shell growth bands showed alternating wide opaque (faster growth in summer) and thin translucent bands (slow growth in winter). The maximum age read was close to 20 years for both groups. Comparisons of von Bertalanffy growth curves showed for shell length and shell width lower growth rate k in intertidal animals than in subtidal ones associated to a great variability, with no differences in other growth parameters. However, when shell height vs. age is considered, no differences were observed for any growth parameter. Curtailed variability of growth rates in the intertidal population reflects either a limitation of the food reserves or feeding time, or an energy gap for shell growth due to the costs for migratory movements and stress defense.</t>
  </si>
  <si>
    <t>[Lomovasky, Betina J.] Univ Nacl Mar Plata UNMDP, CONICET, Inst Invest Marinas &amp; Costeras IIMyC, FCEyN, CC 1260 Correo Cent,B7600WAG, Buenos Aires, DF, Argentina; [de Aranzamendi, M. Carla] Univ Nacl Cordoba, Fac Ciencias Exactas Fisicas &amp; Nat, Ave Velez Sarsfield 299, Cordoba, Argentina; [de Aranzamendi, M. Carla] Consejo Nacl Invest Cient &amp; Tecn, IDEA, Ave Velez Sarsfield 299, Cordoba, Argentina; [Abele, Doris] Helmholtz Ctr Polar &amp; Marine Res, Dept Funct Ecol, Alfred Wegener Inst, Bremerhaven, Germany</t>
  </si>
  <si>
    <t>Consejo Nacional de Investigaciones Cientificas y Tecnicas (CONICET); National University of Cordoba; Consejo Nacional de Investigaciones Cientificas y Tecnicas (CONICET); Helmholtz Association; Alfred Wegener Institute, Helmholtz Centre for Polar &amp; Marine Research</t>
  </si>
  <si>
    <t>Lomovasky, BJ (corresponding author), Univ Nacl Mar Plata UNMDP, CONICET, Inst Invest Marinas &amp; Costeras IIMyC, FCEyN, CC 1260 Correo Cent,B7600WAG, Buenos Aires, DF, Argentina.</t>
  </si>
  <si>
    <t>lomovask@mdp.edu.ar</t>
  </si>
  <si>
    <t>de Aranzamendi, Maria Carla/0000-0003-4442-0384; Abele, Doris/0000-0002-5766-5017; Lomovasky, Betina/0000-0002-0879-8403</t>
  </si>
  <si>
    <t>10.1007/s00300-019-02615-z</t>
  </si>
  <si>
    <t>WOS:000519980900006</t>
  </si>
  <si>
    <t>Oosthuizen, WC; Kruger, L; Jouanneau, W; Lowther, AD</t>
  </si>
  <si>
    <t>Oosthuizen, W. Chris; Kruger, Lucas; Jouanneau, William; Lowther, Andrew D.</t>
  </si>
  <si>
    <t>Unmanned aerial vehicle (UAV) survey of the Antarctic shag (Leucocarbo bransfieldensis) breeding colony at Harmony Point, Nelson Island, South Shetland Islands</t>
  </si>
  <si>
    <t>Drone; Monitoring; Population count; Population size; Seabird; Spatial ecology</t>
  </si>
  <si>
    <t>AIRCRAFT SYSTEMS; DRONES</t>
  </si>
  <si>
    <t>Monitored seabird populations-useful sentinels of marine ecosystem health-have been declining worldwide at a rapid pace. Yet, lack of reliable long-term monitoring data constrains assessment of the conservation status of many seabird populations. Unmanned aerial vehicles (UAVs) have the potential to increase survey efficiency and count precision of seabird populations, especially where time constraints or inaccessible terrain, such as sea stacks, limit meaningful ground-based surveys. Furthermore, tremendous potential exists to combine fine-scale spatially integrated habitat mapping obtained from UAV images with occupancy to unravel how abiotic factors such as topography affect animal populations. In late December 2018, we used an UAV to create a georeferenced orthomosaic image and digital elevation model (DEM) from which we determined the size of the Antarctic shag (Leucocarbo bransfieldensis) breeding colony at Harmony Point, Nelson Island, South Shetland Islands. Our population estimate of 69 breeding pairs is approximately double that reported for the early 2000s and the highest count since the late 1980s. Most nests were located 10 to 20 m above sea level, on relatively shallow gradients that predominantly faced southeast. While it is difficult to compare historical ground-based counts with the UAV-derived estimates presented here, our new data provide robust baseline information for future monitoring of the colony population size using comparable survey methods. Our basic mapping of the topography of the breeding colony also highlights how UAV-derived habitat information can facilitate our understanding of the influence of landscape structure on animal population dynamics.</t>
  </si>
  <si>
    <t>[Oosthuizen, W. Chris] Univ Pretoria, Dept Zool &amp; Entomol, Mammal Res Inst, Private Bag X20, ZA-0028 Hatfield, South Africa; [Kruger, Lucas] INACH Inst Antartico Chileno, Plaza Munoz Gamero, Punta Arenas 1055, Chile; [Jouanneau, William] Univ La Rochelle, Ctr Etud Biol Chize, UMR 7372, CNRS, Villiers En Bois, France; [Lowther, Andrew D.] Norwegian Polar Res Inst, Framsenteret, Tromso, Norway</t>
  </si>
  <si>
    <t>University of Pretoria; La Rochelle Universite; Centre National de la Recherche Scientifique (CNRS); CNRS - Institute of Ecology &amp; Environment (INEE); Norwegian Polar Institute</t>
  </si>
  <si>
    <t>Oosthuizen, WC (corresponding author), Univ Pretoria, Dept Zool &amp; Entomol, Mammal Res Inst, Private Bag X20, ZA-0028 Hatfield, South Africa.</t>
  </si>
  <si>
    <t>wcoosthuizen@zoology.up.ac.za</t>
  </si>
  <si>
    <t>Krüger, Lucas/O-8912-2015; Jouanneau, William/GSE-2264-2022; Oosthuizen, W. Chris/I-2947-2016</t>
  </si>
  <si>
    <t>Krüger, Lucas/0000-0003-4637-5302; Oosthuizen, W. Chris/0000-0003-2905-6297; Lowther, Andrew/0000-0003-4294-3157</t>
  </si>
  <si>
    <t>10.1007/s00300-019-02616-y</t>
  </si>
  <si>
    <t>WOS:000519980900010</t>
  </si>
  <si>
    <t>Klekociuk, AR; Ottaway, DJ; MacKinnon, AD; Reid, IM; Twigger, LV; Alexander, SP</t>
  </si>
  <si>
    <t>Klekociuk, Andrew R.; Ottaway, David J.; MacKinnon, Andrew D.; Reid, Iain M.; Twigger, Liam V.; Alexander, Simon P.</t>
  </si>
  <si>
    <t>Australian Lidar Measurements of Aerosol Layers Associated with the 2015 Calbuco Eruption</t>
  </si>
  <si>
    <t>ATMOSPHERE</t>
  </si>
  <si>
    <t>stratosphere; volcanic aerosol; lidar</t>
  </si>
  <si>
    <t>VOLCANIC-ASH; CIRRUS CLOUD; EYJAFJALLAJOKULL ERUPTION; DEPOLARIZATION RATIO; SYSTEM; INVERSION; PARTICLES; TRANSMISSION; CALIBRATION; WAVELENGTH</t>
  </si>
  <si>
    <t>The Calbuco volcano in southern Chile (41.3 degrees S, 72.6 degrees W) underwent three separate eruptions on 22-23 April 2015. Following the eruptions, distinct layers of enhanced lidar backscatter at 532 nm were observed in the lower stratosphere above Buckland Park, South Australia (34.6 degrees S, 138.5 degrees E), and Kingston, Tasmania (43.0 degrees S, 147.3 degrees E), during a small set of observations in April-May 2015. Using atmospheric trajectory modelling and measurements from the Cloud-Aerosol Lidar with Orthogonal Polarization (CALIOP) space-borne lidar and the Ozone Mapping Profiler Suite (OMPS) instrument on the Suomi National Polar-orbiting Partnership (NPP) satellite, we show that these layers were associated with the Calbuco eruptions. Buckland Park measurements on 30 April and 3 May detected discrete aerosol layers at and slightly above the tropopause, where the relative humidity was well below saturation. Stratospheric aerosol layers likely associated with the eruptions were observed at Kingston on 17 and 22 May in narrow discrete layers accompanied by weaker and more vertically extended backscatter. The measurements on 22 May provided a mean value of the particle linear depolarisation ratio within the main observed volcanic aerosol layer of 18.0 +/- 3.0%, which was consistent with contemporaneous CALIOP measurements. The depolarisation measurements indicated that this layer consisted of a filament dominated by ash backscatter residing above a main region having likely more sulfate backscatter. Layer-average optical depths were estimated from the measurements. The mean lidar ratio for the volcanic aerosols on 22 May of 86 +/- 37 sr is consistent with but generally higher than the mean for ground-based measurements for other volcanic events. The inferred optical depth for the main volcanic layer on 17 May was consistent with a value obtained from OMPS measurements, but a large difference on 22 May likely reflected the spatial inhomogeneity of the volcanic plume. Short-lived enhancements of backscatter near the tropopause of 17 May likely represented the formation cirrus that was aided by the presence of associated volcanic aerosols. We also provide evidence that gravity waves potentially influenced the layers, particularly in regard to the vertical motion observed in the strong layer on 22 May. Overall, these observations provide additional information on the dispersal and characteristics of the Calbuco aerosol plumes at higher southern latitudes than previously reported for ground-based lidar measurements.</t>
  </si>
  <si>
    <t>[Klekociuk, Andrew R.; Alexander, Simon P.] Antarctica &amp; Global Syst, Environm &amp; Energy Dept, Australian Antarctic Div, Kingston, Tas 7050, Australia; [Klekociuk, Andrew R.; Ottaway, David J.; MacKinnon, Andrew D.; Reid, Iain M.; Twigger, Liam V.] Univ Adelaide, Sch Chem &amp; Phys, Adelaide, SA 5005, Australia; [Reid, Iain M.] ATRAD Pty Ltd, 20 Phillips St, Thebarton, SA 5031, Australia</t>
  </si>
  <si>
    <t>Australian Antarctic Division; University of Adelaide; ATRAD Pty Ltd.</t>
  </si>
  <si>
    <t>Reid, IM (corresponding author), Univ Adelaide, Sch Chem &amp; Phys, Adelaide, SA 5005, Australia.;Reid, IM (corresponding author), ATRAD Pty Ltd, 20 Phillips St, Thebarton, SA 5031, Australia.</t>
  </si>
  <si>
    <t>andrew.klekociuk@aad.gov.au; david.ottaway@adelaide.edu.au; andrew.mackinnon@adelaide.edu.au; iain.reid@adelaide.edu.au; liam.twigger@protonmail.com; simon.alexander@aad.gov.au</t>
  </si>
  <si>
    <t>Reid, Iain/B-5681-2012; Klekociuk, Andrew/A-4498-2015</t>
  </si>
  <si>
    <t>Reid, Iain/0000-0003-2340-9047; Ottaway, David/0000-0001-6794-1591; Klekociuk, Andrew/0000-0003-3335-0034; Alexander, Simon/0000-0001-6823-8857</t>
  </si>
  <si>
    <t>Australian Research Council (ARC) [DP0450787, LE0560872, DP0878144]; University of Adelaide ARC; Australian Postgraduate Research Award; ATRAD Pty Ltd.; Australian Antarctic Science [AAS-737, AAS-4292]; Australian Research Council [DP0450787, LE0560872] Funding Source: Australian Research Council</t>
  </si>
  <si>
    <t>Australian Research Council (ARC)(Australian Research Council); University of Adelaide ARC; Australian Postgraduate Research Award; ATRAD Pty Ltd.; Australian Antarctic Science; Australian Research Council(Australian Research Council)</t>
  </si>
  <si>
    <t>This research is supported by the Australian Research Council (ARC) under grants DP0450787, LE0560872 and DP0878144 and by the University of Adelaide ARC Small Grants Scheme. L.V.T. was supported by an Australian Postgraduate Research Award. The involvement of I.M.R. was supported by ATRAD Pty Ltd. This work was also supported by Australian Antarctic Science projects AAS-737 and AAS-4292.</t>
  </si>
  <si>
    <t>2073-4433</t>
  </si>
  <si>
    <t>ATMOSPHERE-BASEL</t>
  </si>
  <si>
    <t>Atmosphere</t>
  </si>
  <si>
    <t>10.3390/atmos11020124</t>
  </si>
  <si>
    <t>KT8CF</t>
  </si>
  <si>
    <t>WOS:000519238800064</t>
  </si>
  <si>
    <t>Liu, K; Lin, HS; He, XB; Huang, YQ; Li, Z; Lin, JH; Mou, JF; Zhang, SY; Wang, JJ; Sun, J</t>
  </si>
  <si>
    <t>Liu, Kun; Lin, Heshan; He, Xuebao; Huang, Yaqin; Li, Zhong; Lin, Junhui; Mou, Jianfeng; Zhang, Shuyi; Wang, Jianjun; Sun, Jun</t>
  </si>
  <si>
    <t>Macrobenthic communities on the continental shelf of the Prydz Bay, East Antarctica</t>
  </si>
  <si>
    <t>ACTA OCEANOLOGICA SINICA</t>
  </si>
  <si>
    <t>macrobenthic communities; functional feeding groups; environmental factors; Antarctica; Prydz Bay</t>
  </si>
  <si>
    <t>ROSS SEA SHELF; SOUTH SHETLAND ISLANDS; KING GEORGE ISLAND; BENTHIC COMMUNITIES; DIVERSITY PATTERNS; CLIMATE-CHANGE; ABUNDANCE; ASSEMBLAGES; PENINSULA; DYNAMICS</t>
  </si>
  <si>
    <t>To explore the spatial pattern of macrobenthic communities and their response to environmental factors in the Prydz Bay, samples were collected using a 0.25-m(2) box corer at 10 stations from November 2012 to April 2013. A total of 50 species of macrobenthos belonging to 8 phyla and 33 families were identified, of which polychaetes (e.g., Maldane sarsi) and sponges (e.g., Halichondria sp. and Leucosolenia sp.) were the most prominent groups. The macrobenthos in study area were categorized into five functional groups based on the feeding type, and the detritivorous group represented by polychaetes showed the highest average abundance, while the planktophagous group represented by sponges showed the highest average biomass. Macrobenthos abundance (0-592 ind./m(2)) and biomass (0-1 155.5 g/m(2)) in the Prydz Bay were relatively lower than those of other Antarctic shelf soft-bottom waters, although the compositions of the dominant species and functional feeding groups were similar. The results of the Spearman rank correlation analysis indicated that the average biomass of the macrobenthos and the biomass of the planktophagous group in the study area were negatively correlated with the water depth, sediment grain size and silt percentage. However, these variables were clearly not strong determinants of macrobenthos assemblage structure. Many factors not measured in the study, e.g., sediment organic matter and iceberg interference, have probably influenced the spatial distribution of macrobenthic community structure in the Prydz Bay.</t>
  </si>
  <si>
    <t>[Liu, Kun; Sun, Jun] Tianjin Univ Sci &amp; Technol, Coll Biotechnol, Tianjin 300457, Peoples R China; [Liu, Kun; Lin, Heshan; He, Xuebao; Huang, Yaqin; Li, Zhong; Lin, Junhui; Mou, Jianfeng; Zhang, Shuyi; Wang, Jianjun] Minist Nat Resources, Inst Oceanog 3, Lab Marine Biol &amp; Ecol, Xiamen 361005, Peoples R China; [Lin, Heshan; Huang, Yaqin] Jimei Univ, Fisheries Coll, Xiamen 361021, Peoples R China</t>
  </si>
  <si>
    <t>Tianjin University Science &amp; Technology; Third Institute of Oceanography, Ministry of Natural Resources; Ministry of Natural Resources of the People's Republic of China; Jimei University</t>
  </si>
  <si>
    <t>Sun, J (corresponding author), Tianjin Univ Sci &amp; Technol, Coll Biotechnol, Tianjin 300457, Peoples R China.;Wang, JJ (corresponding author), Minist Nat Resources, Inst Oceanog 3, Lab Marine Biol &amp; Ecol, Xiamen 361005, Peoples R China.</t>
  </si>
  <si>
    <t>wangjianjun220@tio.org.cn; phytoplankton@163.com</t>
  </si>
  <si>
    <t>He, Xue-Bao/E-6716-2011; Huang, YQ/JOK-7580-2023; Sun, Jun/A-5254-2009; Huang, Yu/KDM-9182-2024; zhang, jinlu/KEE-9374-2024</t>
  </si>
  <si>
    <t>Sun, Jun/0000-0001-7369-7871;</t>
  </si>
  <si>
    <t>0253-505X</t>
  </si>
  <si>
    <t>1869-1099</t>
  </si>
  <si>
    <t>ACTA OCEANOL SIN</t>
  </si>
  <si>
    <t>Acta Oceanol. Sin.</t>
  </si>
  <si>
    <t>10.1007/s13131-018-1280-7</t>
  </si>
  <si>
    <t>KU0ND</t>
  </si>
  <si>
    <t>WOS:000519407700005</t>
  </si>
  <si>
    <t>Della Pelle, G; Pera, G; Belardinelli, MC; Gerdol, M; Felli, M; Crognale, S; Scapigliati, G; Ceccacci, F; Buonocore, F; Porcelli, F</t>
  </si>
  <si>
    <t>Della Pelle, Giulia; Pera, Giulia; Belardinelli, Maria Cristina; Gerdol, Marco; Felli, Martina; Crognale, Silvia; Scapigliati, Giuseppe; Ceccacci, Francesca; Buonocore, Francesco; Porcelli, Fernando</t>
  </si>
  <si>
    <t>Trematocine, a Novel Antimicrobial Peptide from the Antarctic Fish Trematomus bernacchii: Identification and Biological Activity</t>
  </si>
  <si>
    <t>ANTIBIOTICS-BASEL</t>
  </si>
  <si>
    <t>antimicrobial peptides; model membranes; fish immune system; Antarctica</t>
  </si>
  <si>
    <t>EPIDERMAL MUCUS; MEMBRANE; INNATE; FLUORESCENCE; DESIGN; MECHANISM; BILAYER; CHIONODRACINE; PERSPECTIVES; EXPRESSION</t>
  </si>
  <si>
    <t>Antimicrobial peptides (AMPs) are short peptides active against a wide range of pathogens and, therefore, they are considered a useful alternative to conventional antibiotics. We have identified a new AMP in a transcriptome derived from the Antarctic fish Trematomus bernacchii. This peptide, named Trematocine, has been investigated for its expression both at the basal level and after in vivo immunization with an endemic Antarctic bacterium (Psychrobacter sp. TAD1). Results agree with the expected behavior of a fish innate immune component, therefore we decided to synthesize the putative mature sequence of Trematocine to determine the structure, the interaction with biological membranes, and the biological activity. We showed that Trematocine folds into a alpha-helical structure in the presence of both zwitterionic and anionic charged vesicles. We demonstrated that Trematocine has a highly specific interaction with anionic charged vesicles and that it can kill Gram-negative bacteria, possibly via a carpet like mechanism. Moreover, Trematocine showed minimum inhibitory concentration (MIC) and minimum bactericidal concentration (MBC) values against selected Gram-positive and Gram-negative bacteria similar to other AMPs isolated from Antarctic fishes. The peptide is a possible candidate for a new drug as it does not show any haemolytic or cytotoxic activity against mammalian cells at the concentration needed to kill the tested bacteria.</t>
  </si>
  <si>
    <t>[Della Pelle, Giulia; Pera, Giulia; Belardinelli, Maria Cristina; Felli, Martina; Crognale, Silvia; Scapigliati, Giuseppe; Buonocore, Francesco; Porcelli, Fernando] Univ Tuscia, Dept Innovat Biol Agrofood &amp; Forest Syst, I-01100 Viterbo, Italy; [Gerdol, Marco] Univ Trieste, Dept Life Sci, I-34128 Trieste, Italy; [Ceccacci, Francesca] CNR, Sede Secondaria Roma Meccanismi Reaz, Inst Biol Syst, I-00185 Rome, Italy</t>
  </si>
  <si>
    <t>Tuscia University; University of Trieste; Consiglio Nazionale delle Ricerche (CNR); Istituto per i Sistemi Biologici (ISB-CNR)</t>
  </si>
  <si>
    <t>Buonocore, F (corresponding author), Univ Tuscia, Dept Innovat Biol Agrofood &amp; Forest Syst, I-01100 Viterbo, Italy.</t>
  </si>
  <si>
    <t>g.dellapelle@unitus.it; giulia.p193@gmail.com; belardinelli@unitus.it; marco.gerdol@gmail.com; martinafelli@live.it; crognale@unitus.it; scapigg@unitus.it; francesca.ceccacci@cnr.it; fbuono@unitus.it; porcelli@unitus.it</t>
  </si>
  <si>
    <t>Sanguinetti, Maurizio/A-1453-2019; Porcelli, Fernando/AAA-5242-2020; Porcelli, Fernando/GSN-6338-2022; Gerdol, Marco/D-2115-2013; Ceccacci, Francesca/AAE-9125-2022; Pallavicini, Alberto/J-4158-2012; Della Pelle, Giulia/AAM-1023-2020</t>
  </si>
  <si>
    <t>Sanguinetti, Maurizio/0000-0002-9780-7059; Porcelli, Fernando/0000-0003-3209-0074; Porcelli, Fernando/0000-0003-3209-0074; Gerdol, Marco/0000-0001-6411-0813; Della Pelle, Giulia/0000-0002-8110-1932; Felli, Martina/0000-0002-7340-4634; Buonocore, Francesco/0000-0001-8045-5651</t>
  </si>
  <si>
    <t>PRONAT project - CNCCS s.c.s.r.l.; Department of Excellence-2018 Program (Dipartimenti di Eccellenza) of the Italian Ministry of Education, University and Research; Italian Program of Antarctic Research [PNRA18_00077]; DIBAF-Department of University of Tuscia</t>
  </si>
  <si>
    <t>PRONAT project - CNCCS s.c.s.r.l.; Department of Excellence-2018 Program (Dipartimenti di Eccellenza) of the Italian Ministry of Education, University and Research; Italian Program of Antarctic Research; DIBAF-Department of University of Tuscia</t>
  </si>
  <si>
    <t>This research was partially funded by the PRONAT project supported by CNCCS s.c.s.r.l., by the Department of Excellence-2018 Program (Dipartimenti di Eccellenza) of the Italian Ministry of Education, University and Research, DIBAF-Department of University of Tuscia, and by the Italian Program of Antarctic Research (Project PNRA18_00077).</t>
  </si>
  <si>
    <t>2079-6382</t>
  </si>
  <si>
    <t>Antibiotics-Basel</t>
  </si>
  <si>
    <t>10.3390/antibiotics9020066</t>
  </si>
  <si>
    <t>Infectious Diseases; Pharmacology &amp; Pharmacy</t>
  </si>
  <si>
    <t>KT8DM</t>
  </si>
  <si>
    <t>WOS:000519242200048</t>
  </si>
  <si>
    <t>Rendoll-Cárcamo, J; Contador, T; Convey, P; Kennedy, J</t>
  </si>
  <si>
    <t>Rendoll-Carcamo, Javier; Contador, Tamara; Convey, Peter; Kennedy, James</t>
  </si>
  <si>
    <t>Sub-Antarctic Freshwater Invertebrate Thermal Tolerances: An Assessment of Critical Thermal Limits and Behavioral Responses</t>
  </si>
  <si>
    <t>critical thermal limits; ecophysiology; elevation; freshwater macroinvertebrates; restricted distribution</t>
  </si>
  <si>
    <t>LETHAL HIGH-TEMPERATURE; HORN BIOSPHERE RESERVE; MOUNTAIN PASSES; CLIMATE-CHANGE; ACCLIMATION; RANGE; ECOSYSTEMS; HYPOTHESIS; GRADIENTS; PATTERNS</t>
  </si>
  <si>
    <t>Physiological thermal limits of organisms are linked to their geographic distribution. The assessment of such limits can provide valuable insights when monitoring for environmental thermal alterations. Using the dynamic critical thermal method (CTM), we assessed the upper (CTmax) and lower (CTmin) thermal limits of three freshwater macroinvertebrate taxa with restricted low elevation distribution (20 m a.s.l.) and three taxa restricted to upper elevations (480 and 700 m a.s.l.) in the Magellanic sub-Antarctic ecoregion of southern Chile. In general terms, macroinvertebrates restricted to lower altitudinal ranges possess a broader thermal tolerance than those restricted to higher elevations. Upper and lower thermal limits are significantly different between taxa throughout the altitudinal gradient. Data presented here suggest that freshwater macroinvertebrates restricted to upper altitudinal ranges may be useful indicators of thermal alteration in their habitats, due to their relatively low tolerance to increasing temperatures and the ease with which behavioral responses can be detected.</t>
  </si>
  <si>
    <t>[Rendoll-Carcamo, Javier; Contador, Tamara; Kennedy, James] Univ Magallanes, Subantarctic Biocultural Conservat Program, Wankara Subantarctic &amp; Antarctic Freshwater Ecosy, Puerto Williams 166, Teniente Munoz, Chile; [Rendoll-Carcamo, Javier; Contador, Tamara] Univ Chile, Inst Ecol &amp; Biodivers, Santiago 3425, Las Palmeras, Chile; [Rendoll-Carcamo, Javier] Univ Magallanes, Antarctic &amp; Subantarctic Sci PhD Program, Ave Bulnes, Punta Arenas 01855, Chile; [Contador, Tamara; Kennedy, James] INVASAL, Nucleo Milenio Salmonidos Invasores, ICM, Nucleo Cient Milenio, Casilla 160-C, Concepcion, Chile; [Convey, Peter] British Antarctic Survey, NERC, Cambridge CB3 0ET, England; [Kennedy, James] Univ North Texas, Dept Biol Sci, 1511W Sycamore, Denton, TX 76201 USA</t>
  </si>
  <si>
    <t>Universidad de Magallanes; Universidad de Chile; Universidad de Magallanes; UK Research &amp; Innovation (UKRI); Natural Environment Research Council (NERC); NERC British Antarctic Survey; University of North Texas System; University of North Texas Denton</t>
  </si>
  <si>
    <t>Rendoll-Cárcamo, J (corresponding author), Univ Magallanes, Subantarctic Biocultural Conservat Program, Wankara Subantarctic &amp; Antarctic Freshwater Ecosy, Puerto Williams 166, Teniente Munoz, Chile.;Rendoll-Cárcamo, J (corresponding author), Univ Chile, Inst Ecol &amp; Biodivers, Santiago 3425, Las Palmeras, Chile.;Rendoll-Cárcamo, J (corresponding author), Univ Magallanes, Antarctic &amp; Subantarctic Sci PhD Program, Ave Bulnes, Punta Arenas 01855, Chile.</t>
  </si>
  <si>
    <t>javier.rendoll@gmail.com; tamara.contador@umag.cl; pcon@bas.ac.uk; James.Kennedy@unt.edu</t>
  </si>
  <si>
    <t>Contador, Tamara/AAC-2161-2021; Convey, Peter/AAV-5728-2020</t>
  </si>
  <si>
    <t>Contador, Tamara/0000-0002-0250-9877; Convey, Peter/0000-0001-8497-9903; Kennedy, James/0000-0002-0285-7011; Rendoll, Javier/0000-0003-1928-0914</t>
  </si>
  <si>
    <t>FONDECYT [11130451]; INACH [RT 48-16]; NERC [bas0100036] Funding Source: UKRI</t>
  </si>
  <si>
    <t>FONDECYT(Comision Nacional de Investigacion Cientifica y Tecnologica (CONICYT)CONICYT FONDECYT); INACH; NERC(UK Research &amp; Innovation (UKRI)Natural Environment Research Council (NERC))</t>
  </si>
  <si>
    <t>This research was funded by FONDECYT Grant 11130451. The APC was funded by INACH RT 48-16.</t>
  </si>
  <si>
    <t>10.3390/insects11020102</t>
  </si>
  <si>
    <t>KT6HZ</t>
  </si>
  <si>
    <t>WOS:000519116600051</t>
  </si>
  <si>
    <t>Redfern, CPF; Bevan, RM</t>
  </si>
  <si>
    <t>Redfern, Chris P. F.; Bevan, Richard M.</t>
  </si>
  <si>
    <t>Use of sea ice by arctic terns Sterna paradisaea in Antarctica and impacts of climate change</t>
  </si>
  <si>
    <t>JOURNAL OF AVIAN BIOLOGY</t>
  </si>
  <si>
    <t>arctic tern; chlorophyll-a; climate change; geolocator; polynya; repeatability; sea ice; wintering areas</t>
  </si>
  <si>
    <t>EUPHAUSIA-SUPERBA; KRILL; VARIABILITY; LAND</t>
  </si>
  <si>
    <t>Arctic terns spend their breeding and non-breeding seasons in polar environments at opposite ends of the world. The sensitivity of polar regions to climate change makes it essential to understand the ecology of arctic terns but the remoteness of the Antarctic presents a considerable challenge. One solution is to use 'biologgers' to monitor remotely their behaviour and distribution in the Antarctic. Data from birds tagged with light-level global location sensors (geolocators) in 2015 and 2017 showed that a third of their annual cycle was spent amongst Antarctic sea ice. After reaching the East Antarctic in the austral spring, they gradually moved west, foraging in fragmented ice zones of the Antarctic coastline, leaving in the austral autumn for their return northward migration via the Atlantic. Changes in patterns of movement between phases of 24-h daylight and diel day/night conditions were likely linked to the annual moult, and stable isotope analyses suggest that krill (Euphausia species) was an important component of their diet. There were marked differences in movement behaviour between arctic terns tagged in 2015 compared to 2017 that may relate to unusual changes in sea-ice extent. The arctic tern may be unique amongst seabirds that utilise the Antarctic environment in summer in being able to move widely without nesting constraints, and may present a means of characterising the effects of climate change on species dependent for foraging on Antarctic sea-ice and krill.</t>
  </si>
  <si>
    <t>[Redfern, Chris P. F.; Bevan, Richard M.] Newcastle Univ, Sch Nat &amp; Environm Sci, Newcastle, England</t>
  </si>
  <si>
    <t>Newcastle University - UK</t>
  </si>
  <si>
    <t>Redfern, CPF (corresponding author), Newcastle Univ, Sch Nat &amp; Environm Sci, Newcastle, England.</t>
  </si>
  <si>
    <t>chris.redfern@newcastle.ac.uk</t>
  </si>
  <si>
    <t>Redfern, Christopher/0000-0002-1833-8048</t>
  </si>
  <si>
    <t>Migrate Technology; Seabird Group; BBC Springwatch</t>
  </si>
  <si>
    <t>We thank BBC Springwatch and Migrate Technology for funding the purchase of geolocators in 2015, and members of the Natural History Society of Northumbria who, together with a grant from the Seabird Group, generously funded geolocator purchase for the 2017 study.</t>
  </si>
  <si>
    <t>0908-8857</t>
  </si>
  <si>
    <t>1600-048X</t>
  </si>
  <si>
    <t>J AVIAN BIOL</t>
  </si>
  <si>
    <t>J. Avian Biol.</t>
  </si>
  <si>
    <t>e02318</t>
  </si>
  <si>
    <t>10.1111/jav.02318</t>
  </si>
  <si>
    <t>Ornithology</t>
  </si>
  <si>
    <t>KT7SG</t>
  </si>
  <si>
    <t>WOS:000519212600011</t>
  </si>
  <si>
    <t>Maschette, D; Fromont, J; Platell, ME; Coulson, PG; Tweedley, JR; Potter, IC</t>
  </si>
  <si>
    <t>Maschette, D.; Fromont, J.; Platell, M. E.; Coulson, P. G.; Tweedley, J. R.; Potter, I. C.</t>
  </si>
  <si>
    <t>Characteristics and implications of spongivory in the Knifejaw Oplegnathus woodwardi (Waite) in temperate mesophotic waters</t>
  </si>
  <si>
    <t>JOURNAL OF SEA RESEARCH</t>
  </si>
  <si>
    <t>Benthic environment; Epifaunal invertebrates; Sponge defences; Predation; Oplegnathidae; Australia</t>
  </si>
  <si>
    <t>DIETARY COMPOSITIONS; CARIBBEAN SPONGES; ANTIPREDATORY DEFENSES; HAWKSBILL TURTLES; DEMERSAL FISHES; MARINE SPONGES; REEF FISH; BODY-SIZE; RED-SEA; FOOD</t>
  </si>
  <si>
    <t>This study has determined the diet of the demersal Knifejaw Oplegnathus woodwardi in depths of 50-200 m off the southern coast of Western Australia, where the benthic invertebrate epifauna is overwhelmingly dominated by sponges. The many fused teeth that form the parrot-like beak of O. woodwardi are used in conjunction with strong muscular plate-like jaws to shear/chop off pieces of sponge and crush the spicule-containing skeleton. Despite the potentially formidable physical and chemical defences (siliceous spicules and secondary metabolites) of sponges, these invertebrates constitute the main prey of O. woodwardi. Sponges were thus ingested by 44% of O. woodwardi and contributed 38% to the volume of the stomach contents across a wide length range of fish. The volumetric contribution of sponges was, however, far less in the stomachs than intestines, whereas the reverse was true for teleosts. This is presumably due to sponges undergoing less digestion than the externally soft-bodied teleosts as food passes through the gut, which is consistent with the large numbers of mainly intact spicules present in the intestine. Since the poriferan prey consisted almost exclusively of species of the Tetractinellida, even though there are three other speciose sponge orders in the region where O. woodwardi feeds in southern Western Australia, this predator apparently selects the sponge taxa it ingests. The length of the siliceous spicules of the Tetractinellida often exceeds 2000 mu m, a value nearly ten times that which acts as a deterrent in another fish predator-sponge interaction. Thus, despite possessing formidable defence mechanisms, tetractinellinids are palatable to O. woodwardi. The next most important prey after sponges was teleost fish (among which clupeids were relatively abundant), being ingested by 35% of individuals and comprising 28% of the stomach contents. Other major invertebrate prey comprised hard-bodied crustaceans (mainly decapod crabs), echinoderms, bivalves and cephalopods (with their hard beaks and internal shells), all of which were probably associated with the particular habitat occupied by tetractinellid sponges. These hard-bodied prey are processed by O. woodwardi through the crushing action of its strong jaw mechanism. It is beneficial for O. woodwardi to feed on tetractinellid sponges because they are sessile, palatable and very abundant in the environment of this predator and thus do not incur a high energetic cost of foraging.</t>
  </si>
  <si>
    <t>[Maschette, D.; Platell, M. E.; Coulson, P. G.; Tweedley, J. R.; Potter, I. C.] Murdoch Univ, Ctr Sustainable Aquat Ecosyst, Harry Butler Inst, South St, Murdoch, WA 6150, Australia; [Maschette, D.] Univ Tasmania, Fisheries &amp; Aquaculture Ctr, Inst Marine &amp; Antarctic Studies, Hobart, Tas 7001, Australia; [Fromont, J.] Western Australian Museum, Dept Aquat Zool, Perth, WA 6000, Australia; [Platell, M. E.] Univ Newcastle, Sch Environm &amp; Life Sci, Brush Rd, Ourimbah, NSW 2258, Australia; [Tweedley, J. R.] Murdoch Univ, Environm &amp; Conservat Sci, South St, Murdoch, WA 6150, Australia</t>
  </si>
  <si>
    <t>Murdoch University; University of Tasmania; Western Australian Museum; University of Newcastle; Murdoch University</t>
  </si>
  <si>
    <t>Platell, ME (corresponding author), Univ Newcastle, Sch Environm &amp; Life Sci, Brush Rd, Ourimbah, NSW 2258, Australia.</t>
  </si>
  <si>
    <t>margaret.platell@newcastle.edu.au</t>
  </si>
  <si>
    <t>Maschette, Dale/0000-0003-2590-8544; Coulson, Peter/0000-0003-0165-0788</t>
  </si>
  <si>
    <t>Murdoch University</t>
  </si>
  <si>
    <t>Gratitude is expressed to Sean Flynn (All Seas Fish Supply) and Adam and George Soumalidis (Great Southern Seafoods) for kindly donating samples, to Tim Leary (Department of Primary Industries and Regional Development) for assistance in collecting other samples, to Careen Grossman and Amber Bennett for assistance in processing and to Mark McGrouther (Australian Museum) for providing the photograph of the head of the Knifejaw shown in Fig. 1. JF and DM thank Oliver Gomez for processing the sponge fragments and taking the images of the sponge structure and spicules. DM thanks Careena Crossman and Amber Bennett for assistance in stomach processing. We greatly appreciated the very substantial time invested by three reviewers in providing numerous comments, criticisms and suggestions, which have led to a greatly improved text. Funding was provided by Murdoch University.</t>
  </si>
  <si>
    <t>1385-1101</t>
  </si>
  <si>
    <t>1873-1414</t>
  </si>
  <si>
    <t>J SEA RES</t>
  </si>
  <si>
    <t>J. Sea Res.</t>
  </si>
  <si>
    <t>10.1016/j.seares.2020.101847</t>
  </si>
  <si>
    <t>KT0MU</t>
  </si>
  <si>
    <t>WOS:000518705500002</t>
  </si>
  <si>
    <t>Halpin, JA; Daczko, NR; Direen, NG; Mulder, JA; Murphy, RC; Ishihara, T</t>
  </si>
  <si>
    <t>Halpin, J. A.; Daczko, N. R.; Direen, N. G.; Mulder, J. A.; Murphy, R. C.; Ishihara, T.</t>
  </si>
  <si>
    <t>Provenance of rifted continental crust at the nexus of East Gondwana breakup</t>
  </si>
  <si>
    <t>LITHOS</t>
  </si>
  <si>
    <t>Antarctica; Bruce Rise; Coupled dissolution-precipitation; Gondwana; Zircon</t>
  </si>
  <si>
    <t>OFFSHORE WESTERN-AUSTRALIA; ALBANY-FRASER OROGEN; U-PB; NATURALISTE PLATEAU; INDIAN-OCEAN; WINDMILL ISLANDS; BUNGER HILLS; ZIRCON; HF; EVOLUTION</t>
  </si>
  <si>
    <t>The Bruce Rise, a prominent bathymetric feature offshore the Bunger Hills (East Antarctica), has basement of unknown crustal affinity and age. In East Gondwana, the Bruce Rise is reconstructed near the Naturaliste Plateau (offshore SW Australia) and microcontinents now submerged in the eastern Indian Ocean. New zircon U-Pb-Hf data from two c. 1150 Ma granite samples dredged from the eastern escarpment of the Bruce Rise demonstrate that these rocks are dominated by xenocrystic cargo. Mesoproterozoic xenocrystic cores show textural evidence of melt-mediated coupled dissolution-precipitation to form rim domains with apparent ages that skew towards c. 1150 Ma. The zircon U-Pb-Hf signatures from the xenocrysts in the Bruce Rise granites, and from c. 1230 to 1180 Ma felsic-intermediate granites and orthogneisses from the conjugate Naturaliste Plateau basement, suggest late Mesoproterozoic magmatism occurred at a transition in the regional tectonic architecture between a reworked Archean cratonic margin and Proterozoic juvenile crust. On the basis of plate reconstructions, exhumation and thinning of the basement to the Bruce Rise/Naturaliste Plateau occurred predominantly during rifting of India (prior to c. 120 Ma). Minor further thinning likely occurred leading up to the onset of seafloor spreading between Australia/Naturaliste Plateau and Antarctica/Bruce Rise (from c. 90 to 84 Ma). (C) 2019 Elsevier B.V. All rights reserved.</t>
  </si>
  <si>
    <t>[Halpin, J. A.] Univ Tasmania, Inst Marine &amp; Antarctic Studies, Hobart, Tas 7001, Australia; [Daczko, N. R.; Murphy, R. C.] Macquarie Univ, Australian Res Council Ctr Excellence Core Crust, Dept Earth &amp; Planetary Sci, CCFS,GEMOC, Sydney, NSW 2109, Australia; [Direen, N. G.] Univ Tasmania, Sch Nat Sci, Discipline Earth Sci, Hobart, Tas 7001, Australia; [Mulder, J. A.] Monash Univ, Sch Earth Atmosphere &amp; Environm, Clayton, Vic 3168, Australia; [Murphy, R. C.] Univ New England, Fac Sci Agr Business &amp; Law, Div Earth Sci, Armidale, NSW 2351, Australia; [Ishihara, T.] Geol Survey Japan, Natl Inst Adv Ind Sci &amp; Technol, Inst Geol &amp; Geoinformat, Cent 7,1-1-1 Higashi, Tsukuba, Ibaraki 3058567, Japan</t>
  </si>
  <si>
    <t>University of Tasmania; Macquarie University; University of Tasmania; Monash University; University of New England; National Institute of Advanced Industrial Science &amp; Technology (AIST)</t>
  </si>
  <si>
    <t>Halpin, JA (corresponding author), Univ Tasmania, Inst Marine &amp; Antarctic Studies, Hobart, Tas 7001, Australia.</t>
  </si>
  <si>
    <t>jacqueline.halpin@utas.edu.au</t>
  </si>
  <si>
    <t>; Direen, Nicholas G/C-5466-2013</t>
  </si>
  <si>
    <t>Daczko, Nathan/0000-0002-3737-3818; Mulder, Jacob/0000-0001-6197-0439; Murphy, Rosanna/0000-0003-3915-4341; Direen, Nicholas G/0000-0002-4466-7064</t>
  </si>
  <si>
    <t>Australian Research Council's Special Research Initiative for Antarctic Gateway Partnership [SR140300001]; [AAS4355]</t>
  </si>
  <si>
    <t>Australian Research Council's Special Research Initiative for Antarctic Gateway Partnership(Australian Research Council);</t>
  </si>
  <si>
    <t>We thank the science team and ship crew of R/V Hakurei-Maru for their expertise and support during cruise TH-94. J. Thompson (Centre for Ore Deposit and Earth Sciences, CODES, University of Tasmania), K. Goemann and S. Feig (Central Science Laboratory, University of Tasmania) are thanked for analytical assistance. This research was supported under Australian Research Council's Special Research Initiative for Antarctic Gateway Partnership (Project ID SR140300001). Analytical funding was also provided by AAS4355 to JAH and NRD. This is contribution 1412 from the ARC Centre of Excellence for Core to Crust Fluid Systems (http://www.ccfs.mq.edu.au) and 1356 from GEMOC Key Centre (http://www.gemocmq.edu.au). Some of the analytical data were obtained using instrumentation funded by DEST Systemic Infrastructure Grants, ARC LIEF, NCRIS/AuScope, industry partners and Macquarie University. We thank E. Mikhalsky and an anonymous reviewer for their constructive comments.</t>
  </si>
  <si>
    <t>0024-4937</t>
  </si>
  <si>
    <t>1872-6143</t>
  </si>
  <si>
    <t>Lithos</t>
  </si>
  <si>
    <t>10.1016/j.lithos.2019.105363</t>
  </si>
  <si>
    <t>KM5ZB</t>
  </si>
  <si>
    <t>WOS:000514217200016</t>
  </si>
  <si>
    <t>Wang, XD; Liu, S</t>
  </si>
  <si>
    <t>Wang, Xingdong; Liu, Shuo</t>
  </si>
  <si>
    <t>Antarctic snowmelt detection for QuikSCAT scatterometer data based on mathematical morphology combined with wavelet transform</t>
  </si>
  <si>
    <t>INDIAN JOURNAL OF GEO-MARINE SCIENCES</t>
  </si>
  <si>
    <t>Generalized Gaussian model; Mathematical morphology; Microwave scatterometer; Snowmelt detection; Wavelet transform</t>
  </si>
  <si>
    <t>GREENLAND ICE-SHEET; MELT DETECTION; ACCUMULATION; VARIABILITY; DURATION; EXTENT; OSCAT</t>
  </si>
  <si>
    <t>Microwave scatterometer is sensitive to the melting snow. When the freeze-thaw phenomenon occurs, the backscatter coefficients will have a sharp rising and falling mutation. Mathematical morphology has the characteristics with edge-preserving filter and wavelet transform has the characteristics with the automatic edge extraction, which does not depend on the priori snowmelt information. A new automatic Antarctic snowmelt detection method was proposed based on mathematical morphology combined with wavelet transform. This method improves the snowmelt detection accuracy, because this method can remove the interference of the edge extraction. Melt onset date, end date and duration can be obtained with high accuracy by identifying and tracking the sharp rising and falling edge. Compare the snowmelt results in this work with the temperature of ten automatic weather stations (AWS), which shows that the snowmelt detection method proposed in the paper improves the detection accuracy from about 50 % to 62.5 % in AWS Cape Denison.</t>
  </si>
  <si>
    <t>[Wang, Xingdong; Liu, Shuo] Henan Univ Technol, Coll Informat Sci &amp; Engn, Zhengzhou, Henan, Peoples R China</t>
  </si>
  <si>
    <t>Henan University of Technology</t>
  </si>
  <si>
    <t>Wang, XD (corresponding author), Henan Univ Technol, Coll Informat Sci &amp; Engn, Zhengzhou, Henan, Peoples R China.</t>
  </si>
  <si>
    <t>zkywxd@163.com</t>
  </si>
  <si>
    <t>Open fund project of National-Local Joint Engineering Laboratory on Digital Preservation and Innovative Technologies for the Culture of Traditional Villages and Towns [CTCZ18K07]; Key Laboratory of Ocean Circulation and Waves, Institute of Oceanography, Chinese Academy of Sciences [KLOCW1805]</t>
  </si>
  <si>
    <t>Open fund project of National-Local Joint Engineering Laboratory on Digital Preservation and Innovative Technologies for the Culture of Traditional Villages and Towns; Key Laboratory of Ocean Circulation and Waves, Institute of Oceanography, Chinese Academy of Sciences</t>
  </si>
  <si>
    <t>This research was supported by Open fund project of National-Local Joint Engineering Laboratory on Digital Preservation and Innovative Technologies for the Culture of Traditional Villages and Towns (No. CTCZ18K07), Key Laboratory of Ocean Circulation and Waves, Institute of Oceanography, Chinese Academy of Sciences (No.KLOCW1805).</t>
  </si>
  <si>
    <t>NATL INST SCIENCE COMMUNICATION-NISCAIR</t>
  </si>
  <si>
    <t>DR K S KRISHNAN MARG, PUSA CAMPUS, NEW DELHI 110 012, INDIA</t>
  </si>
  <si>
    <t>0379-5136</t>
  </si>
  <si>
    <t>0975-1033</t>
  </si>
  <si>
    <t>INDIAN J GEO-MAR SCI</t>
  </si>
  <si>
    <t>Indian J. Geo-Mar. Sci.</t>
  </si>
  <si>
    <t>KS6CJ</t>
  </si>
  <si>
    <t>WOS:000518394500007</t>
  </si>
  <si>
    <t>Huo, SX; Xiu, C; Zhang, X; Du, M; Zhou, MJ; Xing, CC</t>
  </si>
  <si>
    <t>Huo, Suxia; Xiu, Chun; Zhang, Xu; Du, Ming; Zhou, Mengjia; Xing, Congcong</t>
  </si>
  <si>
    <t>Geochemical characteristics of biogenic barium in sediments of the Antarctica Ross Sea and their indication for paleoproductivity</t>
  </si>
  <si>
    <t>Biogenic barium; Geochemical characteristics; Paleoproductivity; The Antarctica Ross Sea</t>
  </si>
  <si>
    <t>CENTRAL EQUATORIAL PACIFIC; PRIMARY PRODUCTIVITY; DEEP-SEA; OCEAN; FLUXES; NUTRIENTS; DYNAMICS; ALUMINUM; TITANIUM; SILICA</t>
  </si>
  <si>
    <t>In this paper, the biogenic Ba of Column R11 in the Antarctic Ross Sea and its implications to the paleo oceanographic productivity since the late of Late Quaternary were discussed, combined with the organic carbon, opal and biogenic calcium carbonate. The biogenic Ba contents ranged from 51.8 to 508.4 mu g/g overall, exhibiting a gradually rising trend from the bottom to the top. It highly correlated both with TOC and opal, revealing that on one hand biogenic Ba can be used to study the change of productivity in the Ross Sea; and on the other hand, the marine productivity gradually increased since the late Pleistocene. The new productivity based on Francois model varied from 0.40 to 233.90 gC/(m(2).a). The high values were mainly concentrated at the depth from 32 to 48 cm, but the new productivity values of the bottom were lower. It was inferred that the change in marine productivity in the Ross Sea was possibly affected by the ice cover since the late Pleistocene.</t>
  </si>
  <si>
    <t>[Huo, Suxia; Xiu, Chun; Du, Ming; Xing, Congcong] Minist Nat Resources, North China Sea Environm Monitoring Ctr, Qingdao 266033, Peoples R China; [Xiu, Chun; Zhang, Xu; Zhou, Mengjia] Minist Nat Resources, East Sea Marine Environm Investigating &amp; Surveyin, Shanghai 266061, Peoples R China</t>
  </si>
  <si>
    <t>Ministry of Natural Resources of the People's Republic of China; Ministry of Natural Resources of the People's Republic of China</t>
  </si>
  <si>
    <t>Xiu, C (corresponding author), Minist Nat Resources, North China Sea Environm Monitoring Ctr, Qingdao 266033, Peoples R China.;Xiu, C (corresponding author), Minist Nat Resources, East Sea Marine Environm Investigating &amp; Surveyin, Shanghai 266061, Peoples R China.</t>
  </si>
  <si>
    <t>oucgeology@163.com</t>
  </si>
  <si>
    <t>Public Science and Technology Research Funds Projects of Ocean [201105003-2]; Chinese Polar Environment Comprehensive Investigation &amp; Assessment Programs [CHIN-ARE2016-01-02]</t>
  </si>
  <si>
    <t>Public Science and Technology Research Funds Projects of Ocean; Chinese Polar Environment Comprehensive Investigation &amp; Assessment Programs</t>
  </si>
  <si>
    <t>Thank the Chinese National Antarctic Research Expedition for their sampling work. We thank Professor Chen, First Institute of Ministry of Natural Resources for his important support. This study was supported by Public Science and Technology Research Funds Projects of Ocean NO. 201105003-2 and Chinese Polar Environment Comprehensive Investigation &amp; Assessment Programs No. CHIN-ARE2016-01-02. We also thank the experts for their constructive suggestions.</t>
  </si>
  <si>
    <t>WOS:000518394500009</t>
  </si>
  <si>
    <t>Wåhlin, AK; Steiger, N; Darelius, E; Assmann, KM; Glessmer, MS; Ha, HK; Herraiz-Borreguero, L; Heuzé, C; Jenkins, A; Kim, TW; Mazur, AK; Sommeria, J; Viboud, S</t>
  </si>
  <si>
    <t>Wahlin, A. K.; Steiger, N.; Darelius, E.; Assmann, K. M.; Glessmer, M. S.; Ha, H. K.; Herraiz-Borreguero, L.; Heuze, C.; Jenkins, A.; Kim, T. W.; Mazur, A. K.; Sommeria, J.; Viboud, S.</t>
  </si>
  <si>
    <t>Ice front blocking of ocean heat transport to an Antarctic ice shelf</t>
  </si>
  <si>
    <t>CIRCUMPOLAR DEEP-WATER; CIRCULATION; DRIVEN; RETREAT; BENEATH; INFLOW</t>
  </si>
  <si>
    <t>The front of the Getz Ice Shelf in West Antarctica creates an abrupt topographic step that deflects ocean currents, suppressing 70% of the heat delivery to the ice sheet. Mass loss from the Antarctic Ice Sheet to the ocean has increased in recent decades, largely because the thinning of its floating ice shelves has allowed the outflow of grounded ice to accelerate(1,2). Enhanced basal melting of the ice shelves is thought to be the ultimate driver of change(2,3), motivating a recent focus on the processes that control ocean heat transport onto and across the seabed of the Antarctic continental shelf towards the ice(4-6). However, the shoreward heat flux typically far exceeds that required to match observed melt rates(2,7,8), suggesting that other critical controls exist. Here we show that the depth-independent (barotropic) component of the heat flow towards an ice shelf is blocked by the marked step shape of the ice front, and that only the depth-varying (baroclinic) component, which is typically much smaller, can enter the sub-ice cavity. Our results arise from direct observations of the Getz Ice Shelf system and laboratory experiments on a rotating platform. A similar blocking of the barotropic component may occur in other areas with comparable ice-bathymetry configurations, which may explain why changes in the density structure of the water column have been found to be a better indicator of basal melt rate variability than the heat transported onto the continental shelf(9). Representing the step topography of the ice front accurately in models is thus important for simulating ocean heat fluxes and induced melt rates.</t>
  </si>
  <si>
    <t>[Wahlin, A. K.; Assmann, K. M.; Mazur, A. K.] Univ Gothenburg, Dept Marine Sci, Gothenburg, Sweden; [Steiger, N.; Darelius, E.] Univ Bergen, Bjerknes Ctr Climate Res, Bergen, Norway; [Steiger, N.; Darelius, E.] Univ Bergen, Geophys Inst, Bergen, Norway; [Glessmer, M. S.] Leibniz Inst Sci &amp; Math Educ, Kiel, Germany; [Ha, H. K.] Inha Univ, Dept Ocean Sci, Incheon, South Korea; [Herraiz-Borreguero, L.] CSIRO, Hobart, Tas, Australia; [Herraiz-Borreguero, L.] Ctr Southern Hemisphere Oceans Res, Hobart, Tas, Australia; [Heuze, C.] Univ Gothenburg, Dept Earth Sci, Gothenburg, Sweden; [Jenkins, A.] British Antarctic Survey, Cambridge, England; [Kim, T. W.] Korea Polar Res Inst, Incheon, South Korea; [Sommeria, J.; Viboud, S.] Univ Grenoble Alpes, Lab Ecoulements Geophys &amp; Ind, Grenoble, France; [Assmann, K. M.] Inst Marine Res, Tromso, Norway; [Jenkins, A.] Northumbria Univ, Dept Geog &amp; Environm Sci, Newcastle Upon Tyne, Tyne &amp; Wear, England</t>
  </si>
  <si>
    <t>University of Gothenburg; University of Bergen; Bjerknes Centre for Climate Research; University of Bergen; Leibniz Institut fur die Padagogik der Naturwissenschaften und Mathematik an der Universitat Kiel (IPN); Inha University; Commonwealth Scientific &amp; Industrial Research Organisation (CSIRO); University of Gothenburg; UK Research &amp; Innovation (UKRI); Natural Environment Research Council (NERC); NERC British Antarctic Survey; Korea Polar Research Institute (KOPRI); Communaute Universite Grenoble Alpes; Institut National Polytechnique de Grenoble; Universite Grenoble Alpes (UGA); Centre National de la Recherche Scientifique (CNRS); Institute of Marine Research - Norway; Northumbria University</t>
  </si>
  <si>
    <t>Wåhlin, AK (corresponding author), Univ Gothenburg, Dept Marine Sci, Gothenburg, Sweden.</t>
  </si>
  <si>
    <t>awahlin@gu.se</t>
  </si>
  <si>
    <t>Jenkins, Adrian/IUN-2406-2023; Kim, Tae-Wan/JGM-9981-2023; Heuzé, Céline/U-5058-2017; Darelius, Elin/O-4096-2015; Steiger, Nadine/JCE-4561-2023; Steiger, Nadine/GLR-3736-2022; Ha, Ho Kyung/HCH-4138-2022; Herraiz-Borreguero, Laura/D-5795-2015; Wahlin, Anna/U-3790-2017</t>
  </si>
  <si>
    <t>Kim, Tae-Wan/0000-0001-5257-7256; Heuzé, Céline/0000-0002-8850-5868; viboud, samuel/0000-0002-6518-3165; Steiger, Nadine/0000-0002-7533-6583; Herraiz-Borreguero, Laura/0000-0002-4455-801X; Jenkins, Adrian/0000-0002-9117-0616; Wahlin, Anna/0000-0003-1799-6476</t>
  </si>
  <si>
    <t>European Union [654110]; Norwegian Research Council [267660, 231549]; UK Natural Environment Research Council [NE/L013770/1]; Swedish Research Council; Swedish Foundation for Strategic Research through the Swedish Maritime Robotics Center (SMaRC); Korea Polar Research Institute [KOPRI PE19060]; H2020 grant [661015]; Centre for Southern Hemisphere Oceans Research; NERC [NE/L013770/1] Funding Source: UKRI</t>
  </si>
  <si>
    <t>European Union(European Union (EU)); Norwegian Research Council(Research Council of Norway); UK Natural Environment Research Council(UK Research &amp; Innovation (UKRI)Natural Environment Research Council (NERC)); Swedish Research Council(Swedish Research Council); Swedish Foundation for Strategic Research through the Swedish Maritime Robotics Center (SMaRC)(Swedish Foundation for Humanities &amp; Social Sciences); Korea Polar Research Institute(Korea Polar Research Institute of Marine Research Placement (KOPRI)); H2020 grant(Horizon 2020); Centre for Southern Hemisphere Oceans Research(Commonwealth Scientific &amp; Industrial Research Organisation (CSIRO)); NERC(UK Research &amp; Innovation (UKRI)Natural Environment Research Council (NERC))</t>
  </si>
  <si>
    <t>Our experiments were supported by the European Union's H2020 programme through the grant to Hydralab-plus, contract number 654110. We gratefully acknowledge grant support for the authors as follows: E.D. and N.S. from the Norwegian Research Council through grants 267660 (TOBACO) and 231549 (WARM); A.J. from the UK Natural Environment Research Council through grant number NE/L013770/1 (FISS); A.K.W. from the Swedish Research Council and the Swedish Foundation for Strategic Research through the Swedish Maritime Robotics Center (SMaRC); T.W.K. from the Korea Polar Research Institute, grant KOPRI PE19060; and L.H.B. from the H2020 grant number 661015 and the Centre for Southern Hemisphere Oceans Research. We thank I. Fer for lending instrumentation for GW1 and GW2.</t>
  </si>
  <si>
    <t>10.1038/s41586-020-2014-5</t>
  </si>
  <si>
    <t>KP9SJ</t>
  </si>
  <si>
    <t>WOS:000516571100018</t>
  </si>
  <si>
    <t>Tang, XY; Sun, B; Wang, TT</t>
  </si>
  <si>
    <t>Tang, Xueyuan; Sun, Bo; Wang, Tiantian</t>
  </si>
  <si>
    <t>Radar isochronic layer dating for a deep ice core at Kunlun Station, Antarctica</t>
  </si>
  <si>
    <t>Kunlun station; Ice core; Radar isochronic layers; Age-depth relationship; East Antarctic ice sheet</t>
  </si>
  <si>
    <t>SUBGLACIAL TOPOGRAPHY; ACCUMULATION RATES; INTERNAL STRUCTURE; EAST ANTARCTICA; DOME FUJI; VARIABILITY; SHEET; THICKNESS; CLIMATE; SURFACE</t>
  </si>
  <si>
    <t>The ages and accumulation rates of ice are important boundary conditions for paleoclimatic ice models. Radar-detected isochronic layers can be used to date the ice column beneath the ice surface and infer past accumulation rates. A Deep Ice-Core Drilling Project has been carried out at Kunlun station in the Dome A region, East Antarctica. Radio echo sounding data are collected during the 2004/2005 Chinese National Research Expedition and the 2007/2008 Dome Connection East Antarctica project of the Alfred Wegener Institute (Germany). Radar isochronic layers from the dataset were linked to compare a new deep ice core site from Kunlun station and the Vostok ice core site. Ten visible layers, accounting for similar to 50% ice thickness at the Kunlun station ice core site, were dated based on the Vostok ice core chronology. At 1,640 m depth below surface, an age of similar to 160,400 yr was determined, corresponding to a bright layer at Kunlun station. These layers provided geometric information on the past surface of the ice sheet around the ice core site through the Wisconsin glacial stage, Eemian interglacial and Marine Isotope Stage 6. Based on a simple ice flow model and the age-depth relationship, we concluded that the region around the Kunlun ice core site had lower past accumulation rates, consistent with the present pattern. The age-depth relationship would thus be expected to correlate and constrain the chronology of the deep ice core at Kunlun station in the future.</t>
  </si>
  <si>
    <t>[Tang, Xueyuan; Sun, Bo; Wang, Tiantian] Polar Res Inst China, Shanghai 200136, Peoples R China</t>
  </si>
  <si>
    <t>Polar Research Institute of China</t>
  </si>
  <si>
    <t>Tang, XY (corresponding author), Polar Res Inst China, Shanghai 200136, Peoples R China.</t>
  </si>
  <si>
    <t>tangxueyuan@pric.org.cn</t>
  </si>
  <si>
    <t>sun, bo/JFA-9978-2023</t>
  </si>
  <si>
    <t>National Natural Science Foundation of China [41876230, 41376192]; National Basic Research Program of China [2013CBA01804]; Chinese Polar Environment Comprehensive Investigation &amp; Assessment Programs [CHINARE2017-04-01]</t>
  </si>
  <si>
    <t>National Natural Science Foundation of China(National Natural Science Foundation of China (NSFC)); National Basic Research Program of China(National Basic Research Program of China); Chinese Polar Environment Comprehensive Investigation &amp; Assessment Programs</t>
  </si>
  <si>
    <t>We are very grateful to Dr. Daniel Steinhage for providing the AWI DoCo Radar profile, Professor Yang Da Qing for providing the improvement of language and science, and Kara Bogus from Liwen Bianji, Edanz Editing China, for editing the English text of a draft of this paper. This study was supported by the National Natural Science Foundation of China (Grant Nos. 41876230 &amp; 41376192), the National Basic Research Program of China (Grant No. 2013CBA01804), the Chinese Polar Environment Comprehensive Investigation &amp; Assessment Programs (Grant No. CHINARE2017-04-01).</t>
  </si>
  <si>
    <t>10.1007/s11430-018-9365-8</t>
  </si>
  <si>
    <t>KQ7LG</t>
  </si>
  <si>
    <t>WOS:000517101300012</t>
  </si>
  <si>
    <t>Choi, JY; Kim, SC; Lee, PC</t>
  </si>
  <si>
    <t>Choi, Jun Young; Kim, Sun Chang; Lee, Pyung Cheon</t>
  </si>
  <si>
    <t>Comparative Genome Analysis of Psychrobacillus Strain PB01, Isolated from an Iceberg</t>
  </si>
  <si>
    <t>JOURNAL OF MICROBIOLOGY AND BIOTECHNOLOGY</t>
  </si>
  <si>
    <t>Psychrobacillus; iceberg; TCA cycle; plasmid</t>
  </si>
  <si>
    <t>CITRIC-ACID CYCLE; SP NOV.; STRATEGIES; SURVIVAL; SEQUENCE</t>
  </si>
  <si>
    <t>A novel psychrotolerant Psychrobacillus strain PB01, isolated from an Antarctic iceberg, was comparatively analyzed with five related strains. The complete genome of strain PB01 consists of a single circular chromosome (4.3 Mb) and a plasmid (19 Kb). As potential low-temperature adaptation strategies, strain PB01 has four genes encoding cold-shock proteins, two genes encoding DEAD-box RNA helicases, and eight genes encoding transporters for glycine betaine, which can serve as a cryoprotectant, on the genome. The pan-genome structure of the six Psychrobacillus strains suggests that strain PB01 might have evolved to adapt to extreme environments by changing its genome content to gain higher capacity for DNA repair, translation, and membrane transport. Notably, strain PB01 possesses a complete TCA cycle consisting of eight enzymes as well as three additional Helicobacter pylori-type enzymes: ferredoxin-dependent 2-oxoglutarate synthase, succinyl-CoA/acetoacetyl-CoA transferase, and malate/ quinone oxidoreductase. The co-existence of the genes for TCA cycle enzymes has also been identified in the other five Psychrobacillus strains.</t>
  </si>
  <si>
    <t>[Choi, Jun Young; Lee, Pyung Cheon] Ajou Univ, Dept Mol Sci &amp; Technol, Suwon 16499, South Korea; [Choi, Jun Young; Lee, Pyung Cheon] Ajou Univ, Dept Appl Chem &amp; Biol Engn, Suwon 16499, South Korea; [Kim, Sun Chang] Korea Adv Inst Sci &amp; Technol, Dept Biol Sci, Daejeon 34141, South Korea</t>
  </si>
  <si>
    <t>Ajou University; Ajou University; Korea Advanced Institute of Science &amp; Technology (KAIST)</t>
  </si>
  <si>
    <t>Lee, PC (corresponding author), Ajou Univ, Dept Mol Sci &amp; Technol, Suwon 16499, South Korea.;Lee, PC (corresponding author), Ajou Univ, Dept Appl Chem &amp; Biol Engn, Suwon 16499, South Korea.</t>
  </si>
  <si>
    <t>pclee@ajou.ac.kr</t>
  </si>
  <si>
    <t>choi, junyoung/T-4389-2019; Lee, Pyung Cheon/AAR-1021-2021</t>
  </si>
  <si>
    <t>Lee, Pyung Cheon/0000-0003-2014-6587</t>
  </si>
  <si>
    <t>National Research Foundation of Korea (NRF) - government of South Korea [2014M3A6A8066439, 2017R1A2B4011899]</t>
  </si>
  <si>
    <t>National Research Foundation of Korea (NRF) - government of South Korea</t>
  </si>
  <si>
    <t>This work was supported by the National Research Foundation of Korea (NRF) grant funded by the government of South Korea (grant numbers 2014M3A6A8066439 and 2017R1A2B4011899).</t>
  </si>
  <si>
    <t>KOREAN SOC MICROBIOLOGY &amp; BIOTECHNOLOGY</t>
  </si>
  <si>
    <t>KOREA SCI TECHNOL CENTER #507, 635-4 YEOGSAM-DONG, KANGNAM-GU, SEOUL 135-703, SOUTH KOREA</t>
  </si>
  <si>
    <t>1017-7825</t>
  </si>
  <si>
    <t>1738-8872</t>
  </si>
  <si>
    <t>J MICROBIOL BIOTECHN</t>
  </si>
  <si>
    <t>J. Microbiol. Biotechnol.</t>
  </si>
  <si>
    <t>10.4014/jmb.1909.09008</t>
  </si>
  <si>
    <t>Biotechnology &amp; Applied Microbiology; Microbiology</t>
  </si>
  <si>
    <t>KR8TB</t>
  </si>
  <si>
    <t>WOS:000517886700010</t>
  </si>
  <si>
    <t>Bassett, C; Lavery, AC; Lyons, AP; Wilkinson, JP; Maksym, T</t>
  </si>
  <si>
    <t>Bassett, Christopher; Lavery, Andone C.; Lyons, Anthony P.; Wilkinson, Jeremy P.; Maksym, Ted</t>
  </si>
  <si>
    <t>Direct inference of first-year sea ice thickness using broadband acoustic backscattering</t>
  </si>
  <si>
    <t>JOURNAL OF THE ACOUSTICAL SOCIETY OF AMERICA</t>
  </si>
  <si>
    <t>THERMOPHYSICAL PROPERTIES; OCEAN MEASUREMENTS; ELASTIC WAVES; SOUND; SCATTERING; SEAWATER; PROPAGATION; SPEED</t>
  </si>
  <si>
    <t>Accurate measurements of sea ice thickness are critical to better understand climate change, to provide situational awareness in ice-covered waters, and to reduce risks for communities that rely on sea ice. Nonetheless, remotely measuring the thickness of sea ice is difficult. The only regularly employed technique that accurately measures the full ice thickness involves drilling a hole through the ice. Other presently used methods are either embedded in or through the ice (e.g., ice mass balance buoys) or calculate thickness from indirect measurements (e.g., ice freeboard from altimetry; ice draft using sonars; total snow and ice thickness using electromagnetic techniques). Acoustic techniques, however, may provide an alternative approach to measure the total ice thickness. Here laboratory-grown sea ice thicknesses, estimated by inverting the time delay between echoes from the water-ice and ice-air interfaces, are compared to those measured using ice cores. A time-domain model capturing the dominant scattering mechanisms is developed to explore the viability of broadband acoustic techniques for measuring sea ice thickness, to compare with experimental measurements, and to investigate optimal frequencies for in situ applications. This approach decouples ice thickness estimates from water column properties and does not preclude ice draft measurements using the same data.</t>
  </si>
  <si>
    <t>[Bassett, Christopher] Univ Washington, Appl Phys Lab, 1013 Northeast 40th St, Seattle, WA 98105 USA; [Lavery, Andone C.; Maksym, Ted] Woods Hole Oceanog Inst, Dept Appl Ocean Phys &amp; Engn, Woods Hole, MA 02543 USA; [Lyons, Anthony P.] Univ New Hampshire, Ctr Coastal &amp; Ocean Mapping, 24 Colovos Rd, Durham, NH 03824 USA; [Wilkinson, Jeremy P.] British Antarctic Survey, High Cross Madingley Rd, Cambridge CB3 0ET, England</t>
  </si>
  <si>
    <t>University of Washington; University of Washington Seattle; Woods Hole Oceanographic Institution; University System Of New Hampshire; University of New Hampshire; UK Research &amp; Innovation (UKRI); Natural Environment Research Council (NERC); NERC British Antarctic Survey</t>
  </si>
  <si>
    <t>Bassett, C (corresponding author), Univ Washington, Appl Phys Lab, 1013 Northeast 40th St, Seattle, WA 98105 USA.</t>
  </si>
  <si>
    <t>cbassett@uw.edu</t>
  </si>
  <si>
    <t>Lyons, Anthony/0000-0003-0559-3645</t>
  </si>
  <si>
    <t>International Oil and Gas Producers Arctic Oil Spill Technology Joint Industry Programme [28_13-14]; NERC [bas0100032] Funding Source: UKRI</t>
  </si>
  <si>
    <t>International Oil and Gas Producers Arctic Oil Spill Technology Joint Industry Programme; NERC(UK Research &amp; Innovation (UKRI)Natural Environment Research Council (NERC))</t>
  </si>
  <si>
    <t>The authors would like to thank the staff at CRREL, especially Leonard Zablinksi, Ben Winn, Jesse Stanley, Nathan Lamie, Zoe Courville, and Bruce Elder for their project support. Discussions with DJ Tang were helpful throughout the project. Funding for laboratory work used to support this research was provided by the International Oil and Gas Producers Arctic Oil Spill Technology Joint Industry Programme under contract 28_13-14.</t>
  </si>
  <si>
    <t>ACOUSTICAL SOC AMER AMER INST PHYSICS</t>
  </si>
  <si>
    <t>STE 1 NO 1, 2 HUNTINGTON QUADRANGLE, MELVILLE, NY 11747-4502 USA</t>
  </si>
  <si>
    <t>0001-4966</t>
  </si>
  <si>
    <t>1520-8524</t>
  </si>
  <si>
    <t>J ACOUST SOC AM</t>
  </si>
  <si>
    <t>J. Acoust. Soc. Am.</t>
  </si>
  <si>
    <t>10.1121/10.0000619</t>
  </si>
  <si>
    <t>Acoustics; Audiology &amp; Speech-Language Pathology</t>
  </si>
  <si>
    <t>KS0YS</t>
  </si>
  <si>
    <t>WOS:000518038400003</t>
  </si>
  <si>
    <t>Nor, NM; Hashim, NHF; Quay, DHX; Mahadi, NM; Illias, RM; Abu Bakar, FD; Murad, AMA</t>
  </si>
  <si>
    <t>Nor, Nooraisyah Mohamad; Hashim, Noor Haza Fazlin; Quay, Doris Huai Xia; Mahadi, Nor Muhammad; Illias, Rosli Md; Abu Bakar, Farah Diba; Murad, Abdul Munir Abdul</t>
  </si>
  <si>
    <t>Functional and structural analyses of an expansin-like protein from the antarctic yeast Glaciozyma antarctica PI12 reveal strategies of nutrient scavenging in the sea ice environment</t>
  </si>
  <si>
    <t>INTERNATIONAL JOURNAL OF BIOLOGICAL MACROMOLECULES</t>
  </si>
  <si>
    <t>Psychrophilic yeast; Expansin; Polysaccharide binding</t>
  </si>
  <si>
    <t>PSYCHROPHILIC YEAST; CRYSTAL-STRUCTURE; BACTERIAL EXPANSINS; PLANT EXPANSINS; PREDICTION; BINDING; EXLX1; EXPRESSION; PATTERNS; GENE</t>
  </si>
  <si>
    <t>Genome data mining of the Antarctic yeast, Glaciozyma antarctica PI12 revealed an expansin-like protein encoding sequence (GaEXLX1). The GaEXLX1 protein is 24.8 kDa with a high alkaline pI of 9.81. Homology modeling of GaEXLX1 showed complete D1 and D2 domains of a conventional expansin. The protein exhibited 36% sequence similarity to Clavibacter michiganensis EXLX1 (PDB: 4JCW). Subsequently, a recombinant GaEXLX1 protein was produced using Escherichia coli expression system. Incubation with Avicel, filter paper and cotton fiber showed that the protein can disrupt the surface of crystalline and pure cellulose, suggesting a cell wall modification activity usually exhibited by expansin-like proteins. Binding assays displayed that GaEXLX1 can bind to polymeric substrates, including those postulated to be present in the sea ice ecosystem such as crab chitin and moss lichenan. GaEXLX1 may assist in the recognition and loosening of these substrates in the sea ice prior to hydrolysis by other extracellular enzymes. Similar loosening mechanism to classical expansin-like protein has been postulated for this psychrophilic protein based on several conserved residues of GaEXLX1 involved in binding interaction identified by docking analyses. (C) 2019 Elsevier B.V. All rights reserved.</t>
  </si>
  <si>
    <t>[Nor, Nooraisyah Mohamad; Hashim, Noor Haza Fazlin; Quay, Doris Huai Xia; Abu Bakar, Farah Diba; Murad, Abdul Munir Abdul] UKM, Fac Sci &amp; Technol, Sch Biosci &amp; Biotechnol, Bangi 43600, Selangor, Malaysia; [Hashim, Noor Haza Fazlin] Minist Nat Resources &amp; Environm, Natl Hydraul Res Inst Malaysia NAHRIM, Water Qual Lab, Lot5377,Jalan Putra Permai, Seri Kembangan 43300, Selangor, Malaysia; [Mahadi, Nor Muhammad] Malaysia Genome Inst, Jalan Bangi Lama, Kajang 43000, Selangor, Malaysia; [Illias, Rosli Md] Univ Teknol Malaysia, Fac Chem Engn, Dept Bioproc Engn, Skudai 81300, Kagawa, Malaysia</t>
  </si>
  <si>
    <t>Universiti Kebangsaan Malaysia; Universiti Teknologi Malaysia</t>
  </si>
  <si>
    <t>Murad, AMA (corresponding author), UKM, Fac Sci &amp; Technol, Sch Biosci &amp; Biotechnol, Bangi 43600, Selangor, Malaysia.</t>
  </si>
  <si>
    <t>munir@ukm.edu.my</t>
  </si>
  <si>
    <t>Abdul Murad, Abdul Munir/L-8575-2017; Murad, Abdul/CAG-9324-2022; MOHAMAD NOR, NOORAISYAH/GLR-3234-2022; Quay, Doris/M-7304-2017</t>
  </si>
  <si>
    <t>Abdul Murad, Abdul Munir/0000-0001-6402-7198; Mohamad Nor, Nooraisyah/0000-0001-9909-1472; Hashim, Noor Haza Fazlin/0000-0002-6385-6469; Quay, Doris/0000-0002-0111-2616</t>
  </si>
  <si>
    <t>Ministry of Science, Technology and Innovation Malaysia (MOSTI) [02-05-20-SF007/2]</t>
  </si>
  <si>
    <t>Ministry of Science, Technology and Innovation Malaysia (MOSTI)(Ministry of Energy, Science, Technology, Environment and Climate Change (MESTECC), Malaysia)</t>
  </si>
  <si>
    <t>The authors would like to thank Malaysia Genome Institute (MGI) for providing access to the Glaciozyma antarctica database and facilities for the experiments, in particular Suhaila Sulaiman, Shuhaila Mat Sharani and Mohd Faizal Abu Bakar for their assistance in genome mining and sequencing. This project was supported by the Ministry of Science, Technology and Innovation Malaysia (MOSTI) under grant no. 02-05-20-SF007/2.</t>
  </si>
  <si>
    <t>0141-8130</t>
  </si>
  <si>
    <t>1879-0003</t>
  </si>
  <si>
    <t>INT J BIOL MACROMOL</t>
  </si>
  <si>
    <t>Int. J. Biol. Macromol.</t>
  </si>
  <si>
    <t>10.1016/j.ijbiomac.2019.12.099</t>
  </si>
  <si>
    <t>Biochemistry &amp; Molecular Biology; Chemistry, Applied; Polymer Science</t>
  </si>
  <si>
    <t>Biochemistry &amp; Molecular Biology; Chemistry; Polymer Science</t>
  </si>
  <si>
    <t>KN9XN</t>
  </si>
  <si>
    <t>WOS:000515200700025</t>
  </si>
  <si>
    <t>Chen, YQ; Ge, JW; Huang, T; Shen, LL; Chu, ZD; Xie, ZQ</t>
  </si>
  <si>
    <t>Chen, Yuanqing; Ge, Jingwen; Huang, Tao; Shen, Lili; Chu, Zhuding; Xie, Zhouqing</t>
  </si>
  <si>
    <t>Restriction of sulfate reduction on the bioavailability and toxicity of trace metals in Antarctic lake sediments</t>
  </si>
  <si>
    <t>Trace metals; Bioavailability; Toxicity; Ornithogenic sediments; Sulfate reduction; AVS</t>
  </si>
  <si>
    <t>HEAVY-METALS; REDUCING BACTERIA; RISK-ASSESSMENT; SEM-AVS; FILDES PENINSULA; ARDLEY ISLAND; SPECIATION; SULFUR; SOILS; PENGUINS</t>
  </si>
  <si>
    <t>In this study, Add-Volatile Sulfur (AVS), trace metals Cu, Cd and Zn and their chemical speciation based on BCR-sequential and simultaneous extraction (SEMs) in Antarctic lake sediments (Y2-1 and YO) were analyzed to investigate the restriction of sulfate reduction on the bioavailability and toxicity of trace metals. Much higher trace metals in Y2-1 indicating a primary source from penguin guano. The main chemical speciation of Cu and Cd in Y2-1 was their oxidizable fraction in contrast to those of weak-acid extraction in YO. Lower ratio of Sigma SEM/AVS in Y2-1 indicating less toxicity of the trace metals. The main chemical speciation of Cd in Y2-1 was their oxidizable fraction in contrast to that exchangeable fraction in penguin guano, indicating that although amounts of Cd was transported from marine to lake by penguins, strong sulfate reduction in ornithogenic sediments restricts the bioavailability and toxicity of Cd through the formation of insoluble sulfide.</t>
  </si>
  <si>
    <t>[Chen, Yuanqing; Ge, Jingwen; Huang, Tao; Shen, Lili] Anhui Univ, Sch Resources &amp; Environm Engn, Hefei 230601, Peoples R China; [Huang, Tao] Anhui Univ, Anhui Prov Key Lab Wetland Ecosyst Protect &amp; Rest, Hefei 230601, Peoples R China; [Chu, Zhuding; Xie, Zhouqing] Univ Sci &amp; Technol China, Sch Earth &amp; Space Sci, Anhui Key Lab Polar Environm &amp; Global Change, Hefei 230026, Peoples R China</t>
  </si>
  <si>
    <t>shen, lili/IUQ-2187-2023; Huang, Tao/AAD-8866-2022; Chen, Yuanqing/JDC-5892-2023; GE, JINGWEN/AAW-6406-2021</t>
  </si>
  <si>
    <t>Huang, Tao/0000-0001-5035-1632; GE, JINGWEN/0000-0002-0276-7067; Chen, Yuanqing/0000-0001-9037-5858</t>
  </si>
  <si>
    <t>National Natural Science Foundation of China [41476165]; Science Research Project of Anhui Department of Education [KJ2019A0042]</t>
  </si>
  <si>
    <t>National Natural Science Foundation of China(National Natural Science Foundation of China (NSFC)); Science Research Project of Anhui Department of Education</t>
  </si>
  <si>
    <t>This work was supported by the National Natural Science Foundation of China (No. 41476165) and the Science Research Project of Anhui Department of Education (No. KJ2019A0042). Samples in this study were provided by the BIRDS -Sediment system (Hefei). We thank the Chinese Arctic and Antarctic Administration and Polar Research Institute of China for logistical support in field work.</t>
  </si>
  <si>
    <t>10.1016/j.marpolbul.2019.110807</t>
  </si>
  <si>
    <t>KN3RQ</t>
  </si>
  <si>
    <t>WOS:000514758400067</t>
  </si>
  <si>
    <t>Lavers, JL; Humphreys-Williams, E; Crameri, NJ; Bond, AL</t>
  </si>
  <si>
    <t>Lavers, Jennifer L.; Humphreys-Williams, Emma; Crameri, Nicholas J.; Bond, Alexander L.</t>
  </si>
  <si>
    <t>Trace element concentrations in feathers from three seabird species breeding in the Timor Sea</t>
  </si>
  <si>
    <t>Brown booby; Heavy metals; Lesser frigatebird; Masked booby; Offshore development; Western Australia</t>
  </si>
  <si>
    <t>METAL CONCENTRATIONS; MERCURY; BOOBIES; POLLUTION; WATER; CONTAMINATION; NEWFOUNDLAND; POPULATIONS; ENVIRONMENT; DISPERSAL</t>
  </si>
  <si>
    <t>Mobile marine predators, such as seabirds, are frequently used as broad samplers of contaminants that are widespread in the marine environment. The Timor Sea off remote Western Australia is a poorly studied, yet rapidly expanding area of offshore development. To provide much needed data on contamination in this region, we quantified trace element concentrations in breast feathers of three seabird species breeding on Bedout Island. While adult Masked Boobies Sula dactylatra exhibited some of the highest concentrations, values for all species were below toxicology thresholds for seabirds and were comparable to those reported in other closely related species. The low concentrations detected in the birds provide a valuable baseline and suggest that the local marine environment around Bedout is in relatively good condition. However, careful monitoring is warranted in light increasing anthropogenic activity in this region.</t>
  </si>
  <si>
    <t>[Lavers, Jennifer L.; Crameri, Nicholas J.] Univ Tasmania, Inst Marine &amp; Antarctic Studies, 20 Castray Esplanade, Battery Point, Tas 7004, Australia; [Humphreys-Williams, Emma] Nat Hist Museum, Imaging &amp; Anal Ctr, Core Res Labs, Cromwell Rd, London SW7 5BD, England; [Bond, Alexander L.] Nat Hist Museum, Dept Life Sci, Bird Grp, Akeman St, Tring HP23 6AP, Herts, England</t>
  </si>
  <si>
    <t>University of Tasmania; Natural History Museum London; Natural History Museum London</t>
  </si>
  <si>
    <t>Lavers, JL (corresponding author), Univ Tasmania, Inst Marine &amp; Antarctic Studies, 20 Castray Esplanade, Battery Point, Tas 7004, Australia.</t>
  </si>
  <si>
    <t>Jennifer.Lavers@utas.com.au</t>
  </si>
  <si>
    <t>Lavers, Jennifer/IWM-5417-2023; Lavers, Jennifer/O-4831-2017; Bond, Alexander L/A-3786-2010</t>
  </si>
  <si>
    <t>Lavers, Jennifer/0000-0001-7596-6588; Crameri, Nicholas/0000-0002-7188-3707</t>
  </si>
  <si>
    <t>10.1016/j.marpolbul.2019.110876</t>
  </si>
  <si>
    <t>WOS:000514758400084</t>
  </si>
  <si>
    <t>Boetcher, SKS; Traum, MJ; von Hippel, T</t>
  </si>
  <si>
    <t>Boetcher, Sandra K. S.; Traum, Matthew J.; Von Hippel, Ted</t>
  </si>
  <si>
    <t>Thermodynamic Model of CO2 Deposition in Cold Climates</t>
  </si>
  <si>
    <t>CLIMATIC CHANGE</t>
  </si>
  <si>
    <t>CO2 desublimation; thermodynamics; cryogenics; Arctic; Antarctica</t>
  </si>
  <si>
    <t>CARBON-DIOXIDE; CAPTURE; ENERGY</t>
  </si>
  <si>
    <t>A thermodynamic model, borrowing ideas from psychrometric principles, of a cryogenic direct-air CO2-capture system utilizing a precooler is used to estimate the optimal CO2 removal fraction to minimize energy input per tonne of CO2. Energy costs to operate the system scale almost linearly with the temperature drop between the ingested air and the cryogenic desublimation temperature of CO2, driving siting to the coldest accessible locations. System performance in three Arctic/Antarctic regions where the proposed system can potentially be located is analyzed. Colder ambient temperatures provide colder system input air temperature yielding lower CO2 removal energy requirements. A case is also presented using direct-sky radiative cooling to feed colder-than-ambient air into the system. Removing greater fractions of the ingested CO2 lowers the CO2 desublimation temperature, thereby demanding greater energy input for air cooling. It therefore is disadvantageous to remove all CO2 from the processed air, and the optimal mass fraction of CO2 desublimated under this scheme is found to be ~0.8-0.9. In addition, a variety of precooler effectiveness (epsilon ) values are evaluated. Increasing effectiveness reduces the required system power input. However, beyond epsilon = 0.7, at certain higher values of desublimated CO2 mass fraction, the CO2 begins to solidify inside the precooler before reaching the cryocooler. This phenomenon fouls the precooler, negating its effectiveness. Further system efficiencies can be realized via a precooler designed to capture solidified CO2 and eliminate fouling.</t>
  </si>
  <si>
    <t>[Boetcher, Sandra K. S.] Riddle Aeronautical Univ, Mech Engn, Embry, Daytona Beach, FL USA; [Traum, Matthew J.] Univ Florida, Mech, Aerosp Engn, Gainesville, FL USA; [Von Hippel, Ted] Riddle Aeronautical Univ, Phys Sciences, Embry, Daytona Beach, FL USA</t>
  </si>
  <si>
    <t>State University System of Florida; University of Florida</t>
  </si>
  <si>
    <t>Boetcher, SKS (corresponding author), Riddle Aeronautical Univ, Mech Engn, Embry, Daytona Beach, FL USA.</t>
  </si>
  <si>
    <t>sandra.boetcher@erau.edu</t>
  </si>
  <si>
    <t>Traum, Matthew/AAL-3499-2020</t>
  </si>
  <si>
    <t>Traum, Matthew/0000-0002-1105-0439; von Hippel, Ted/0000-0002-5775-2866; Boetcher, Sandra/0000-0003-2975-2073</t>
  </si>
  <si>
    <t>0165-0009</t>
  </si>
  <si>
    <t>1573-1480</t>
  </si>
  <si>
    <t>Clim. Change</t>
  </si>
  <si>
    <t>10.1007/s10584-019-02587-3</t>
  </si>
  <si>
    <t>KN0NE</t>
  </si>
  <si>
    <t>WOS:000514535000015</t>
  </si>
  <si>
    <t>Taylor, RS; DeMaster, DJ; Burdige, DJ</t>
  </si>
  <si>
    <t>Taylor, Richard S.; DeMaster, David J.; Burdige, David J.</t>
  </si>
  <si>
    <t>Assessing the distribution of labile organic carbon from diverse depositional environments on the West Antarctic Peninsula shelf</t>
  </si>
  <si>
    <t>DEEP-SEA RESEARCH PART I-OCEANOGRAPHIC RESEARCH PAPERS</t>
  </si>
  <si>
    <t>West Antarctic Peninsula; Labile organic carbon; Radiocarbon; Bioturbation; Diagenesis; Marine sedimentary processes</t>
  </si>
  <si>
    <t>CONTINENTAL-SHELF; CLIMATE-CHANGE; SEA-ICE; BRANSFIELD STRAIT; PARTICLE-FLUX; FOOD BANKS; MATTER; SEDIMENTS; MODEL; OCEAN</t>
  </si>
  <si>
    <t>The seabed distributions of labile organic carbon (LOC), i.e., recently produced organic matter from marine plankton, were studied in a variety of depositional environments on the West Antarctic Peninsula continental shelf using the naturally occurring radioisotopes, C-14, Pb-210 and Th-234. The effects of bioturbation on the LOC pool were assessed on short-term (seasonal, using Th-234(xs) within the upper, 2-5 cm) and long-term (decadal, using Pb-210(xs) from 3-22 cm) timescales to generate LOC degradation coefficients (k) and mean residence times (MRT or tau-LOC) as a function of depth within the sediment column. Based on Th-234 distributions, mixing coefficients (D-b) ranged from 2 cm(2)/y to 36 cm(2)/y, which resulted in LOC MRT values that varied from 0.8y to 9.8y. Based on 210 Pb distributions, D-b values at depth ranged from 0.2 cm(2)/y to 1.8 cm(2)/y, resulting in MRT values that varied from 32y to 4900y. Along the West Antarctic Peninsula, seabed inventories of LOC varied between 17-70 mg/cm(2). Bulk LOC becomes less reactive and ages with time during resuspension and transport across the shelf and as LOC is transported deeper within the sediment column by infaunal feeding activities.</t>
  </si>
  <si>
    <t>[Taylor, Richard S.; DeMaster, David J.] North Carolina State Univ, Dept Marine Earth &amp; Atmospher Sci, Raleigh, NC 27695 USA; [Burdige, David J.] Old Dominion Univ, Dept Ocean Earth &amp; Atmospher Sci, Norfolk, VA 23529 USA</t>
  </si>
  <si>
    <t>North Carolina State University; Old Dominion University</t>
  </si>
  <si>
    <t>Taylor, RS (corresponding author), North Carolina State Univ, Dept Marine Earth &amp; Atmospher Sci, Raleigh, NC 27695 USA.</t>
  </si>
  <si>
    <t>rtaylor@ncsu.edu</t>
  </si>
  <si>
    <t>Burdige, David/0000-0002-8859-7096</t>
  </si>
  <si>
    <t>US National Science Foundation [PLR-1341669, AES-1551195]</t>
  </si>
  <si>
    <t>US National Science Foundation(National Science Foundation (NSF))</t>
  </si>
  <si>
    <t>This research was funded by the US National Science Foundation (award no. PLR-1341669; D. DeMaster, Principal Investigator, and award no. AES-1551195 to PIs D. Burdige and J. Christensen).</t>
  </si>
  <si>
    <t>0967-0637</t>
  </si>
  <si>
    <t>1879-0119</t>
  </si>
  <si>
    <t>DEEP-SEA RES PT I</t>
  </si>
  <si>
    <t>Deep-Sea Res. Part I-Oceanogr. Res. Pap.</t>
  </si>
  <si>
    <t>10.1016/j.dsr.2019.103166</t>
  </si>
  <si>
    <t>KM6KU</t>
  </si>
  <si>
    <t>WOS:000514247800003</t>
  </si>
  <si>
    <t>Gao, K; Miao, X; Fu, J; Chen, Y; Li, HJ; Pan, WX; Fu, JJ; Zhang, QH; Zhang, AQ; Jiang, GB</t>
  </si>
  <si>
    <t>Gao, Ke; Miao, Xing; Fu, Jie; Chen, Yu; Li, Huijuan; Pan, Wenxiao; Fu, Jianjie; Zhang, Qinghua; Zhang, Aiqian; Jiang, Guibin</t>
  </si>
  <si>
    <t>Occurrence and trophic transfer of per- and polyfluoroalkyl substances in an Antarctic ecosystem</t>
  </si>
  <si>
    <t>Antarctic ecosystem; Trophic transfer; Per- and polyfluoroalkyl substances; Perfluorobutyric acid (PFBA); Biomagnification</t>
  </si>
  <si>
    <t>PERSISTENT ORGANIC POLLUTANTS; POLYBROMINATED DIPHENYL ETHERS; PERFLUOROALKYL ACIDS PFAAS; LONG-RANGE TRANSPORT; KING GEORGE ISLAND; PERFLUORINATED COMPOUNDS; FOOD-WEB; POLAR BEARS; POLYFLUORINATED COMPOUNDS; FILDES PENINSULA</t>
  </si>
  <si>
    <t>Information on the occurrence and trophodynamics of per- and polyfluoroalkyl substances (PFASs) in the Antarctic region is limited. We investigated the occurrence of PFASs in an ecosystem in the Fildes Peninsula at King George Island and Ardley Island, Antarctica. The profiles, spatial distribution, and trophic transfer behavior of PFASs were further studied. Sigma PFASs ranged from 0.50 +/- 38.0 ng/g dw (dry weight) in algae to 4.97 +/- 1.17 ng/g dw in Neogastropoda (Ngas), which was lower than those in the low- and mid-latitude regions and even Arctic regions. Perfluorobutyric acid (PFBA) was predominant with detection frequencies above 50% in all types of samples, and the relative contribution of PFBA ranged from 22% to 57% in the biota samples. The biomagnification factors of PFBA, perfluoroheptanoate (PFHpA), perfluorohexane sulfonate (PFHxS), and perfluorooctane sulfonate (PFOS) between Archaeogastropoda (Agas) and Ngas were 0.67 +/- 0.54, 0.77 +/- 0.38, 1.04 +/- 1.56, 3.30 +/- 4.07, and 1.61 +/- 0.89, respectively. The trophic magnification factors of PFHxS and PFOS were 2.09 and 2.92, respectively, which indicated that they could be biomagnified through the food chain. Considering the increasing production and uncertain toxicological risks of emerging PFASs and the sensitive ecosystems in Antarctic regions, more attention should be paid, especially for the short-chain ones in the Antarctic region. (C) 2019 Elsevier Ltd. All rights reserved.</t>
  </si>
  <si>
    <t>[Gao, Ke; Fu, Jie; Chen, Yu; Li, Huijuan; Pan, Wenxiao; Fu, Jianjie; Zhang, Qinghua; Zhang, Aiqian; Jiang, Guibin] Chinese Acad Sci, Res Ctr Ecoenvironm Sci, State Key Lab Environm Chem &amp; Ecotoxicol, Beijing, Peoples R China; [Gao, Ke; Fu, Jie; Chen, Yu; Zhang, Aiqian; Jiang, Guibin] Univ Chinese Acad Sci, Coll Resources &amp; Environm, Beijing, Peoples R China; [Miao, Xing] Minist Nat Resources, Inst Oceanog 3, Xiamen, Peoples R China</t>
  </si>
  <si>
    <t>Chinese Academy of Sciences; Research Center for Eco-Environmental Sciences (RCEES); Chinese Academy of Sciences; University of Chinese Academy of Sciences, CAS; Ministry of Natural Resources of the People's Republic of China; Third Institute of Oceanography, Ministry of Natural Resources</t>
  </si>
  <si>
    <t>Fu, JJ (corresponding author), Chinese Acad Sci, Res Ctr Ecoenvironm Sci, State Key Lab Environm Chem &amp; Ecotoxicol, Beijing, Peoples R China.</t>
  </si>
  <si>
    <t>jjfu@rcees.ac.cn</t>
  </si>
  <si>
    <t>Fu, Jianjie/ABI-2640-2020; Zhang, Qinghua/L-7652-2019</t>
  </si>
  <si>
    <t>Zhang, Qinghua/0000-0001-9086-7000</t>
  </si>
  <si>
    <t>National Science Foundation of China [91743204, 21677168]; Youth Innovation Promotion Association CAS [2018052]</t>
  </si>
  <si>
    <t>National Science Foundation of China(National Natural Science Foundation of China (NSFC)); Youth Innovation Promotion Association CAS</t>
  </si>
  <si>
    <t>This study was jointly supported the National Science Foundation of China (91743204 and 21677168) and the Youth Innovation Promotion Association CAS (2018052). The authors also greatly thank the Chinese Arctic and Antarctic Administration for the arrangement of the Chinese Antarctic Scientific Expedition (HS01-190701(2) and HS180703-18(1)).</t>
  </si>
  <si>
    <t>10.1016/j.envpol.2019.113383</t>
  </si>
  <si>
    <t>KN3NG</t>
  </si>
  <si>
    <t>WOS:000514746800012</t>
  </si>
  <si>
    <t>Xu, QB; Chu, ZD; Gao, YS; Mei, YJ; Yang, ZK; Huang, YK; Yang, LJ; Xie, ZQ; Sun, LG</t>
  </si>
  <si>
    <t>Xu, Qibin; Chu, Zhuding; Gao, Yuesong; Mei, Yanjun; Yang, Zhongkang; Huang, Yikang; Yang, Lianjiao; Xie, Zhouqing; Sun, Liguang</t>
  </si>
  <si>
    <t>Levels, sources and influence mechanisms of heavy metal contamination in topsoils in Mirror Peninsula, East Antarctica</t>
  </si>
  <si>
    <t>Antarctic contamination; Heavy metal; Human impacts; Weathering; Source apportionment</t>
  </si>
  <si>
    <t>KING-GEORGE ISLAND; LARSEMANN HILLS; FILDES PENINSULA; TRACE-METALS; PENGUIN POPULATIONS; GEOCHEMICAL DATA; ARDLEY ISLAND; AMANDA BAY; MERCURY; SEDIMENTS</t>
  </si>
  <si>
    <t>Heavy metal contaminants in Mirror Peninsula, East Antarctica, have rarely been studied and the source and influencing factors are poorly understood. We sampled a grid of 189 topsoil samples from Mirror Peninsula and analyzed the concentrations of Zn, Cu, U, Cr, Ga, Pb, Hg, Se and As; we also calculated the chemical index of alteration (CIA), a proxy of weathering. The results show that the distributions of Cr, Ga, Cu, and Zn are associated with weathering; the distributions of As and Pb are related to vehicle use and unloading activities at the wharfs, respectively; and the distribution of Hg is likely associated with both anthropogenic impacts and biological activity. The contamination level of these heavy metals in Mirror Peninsula is relatively low and within the controllable range. Both weathering processes and anthropogenic impacts can cause the enrichment of heavy metals; thus reliable source apportionment is crucial in studying heavy metal enrichment and contamination. (C) 2019 Elsevier Ltd. All rights reserved.</t>
  </si>
  <si>
    <t>[Xu, Qibin; Chu, Zhuding; Gao, Yuesong; Mei, Yanjun; Yang, Zhongkang; Huang, Yikang; Yang, Lianjiao; Xie, Zhouqing; Sun, Liguang] Univ Sci &amp; Technol China, Sch Earth &amp; Space Sci, Inst Polar Environm, Hefei 230026, Anhui, Peoples R China; [Xu, Qibin; Chu, Zhuding; Gao, Yuesong; Mei, Yanjun; Yang, Zhongkang; Huang, Yikang; Yang, Lianjiao; Xie, Zhouqing; Sun, Liguang] Univ Sci &amp; Technol China, Sch Earth &amp; Space Sci, Anhui Key Lab Polar Environm &amp; Global Change, Hefei 230026, Anhui, Peoples R China; [Mei, Yanjun] East China Normal Univ, State Key Lab Estuarine &amp; Coastal Res, Shanghai 200241, Peoples R China</t>
  </si>
  <si>
    <t>Chinese Academy of Sciences; University of Science &amp; Technology of China, CAS; Chinese Academy of Sciences; University of Science &amp; Technology of China, CAS; East China Normal University</t>
  </si>
  <si>
    <t>Xie, ZQ; Sun, LG (corresponding author), Univ Sci &amp; Technol China, Sch Earth &amp; Space Sci, Inst Polar Environm, Hefei 230026, Anhui, Peoples R China.;Xie, ZQ; Sun, LG (corresponding author), Univ Sci &amp; Technol China, Sch Earth &amp; Space Sci, Anhui Key Lab Polar Environm &amp; Global Change, Hefei 230026, Anhui, Peoples R China.</t>
  </si>
  <si>
    <t>zqxie@ustc.edu.cn; slg@ustc.edu.cn</t>
  </si>
  <si>
    <t>Gao, Yuesong/GRE-7726-2022</t>
  </si>
  <si>
    <t>Xu, Qibin/0009-0000-9936-8056</t>
  </si>
  <si>
    <t>National Key R&amp;D Program of the MOST of China [2018YFC1406905]; National Natural Science Foundation of China [41676173, 41806224]; Anhui Provincial Natural Science Foundation [1808085MD98]; External Cooperation Program of BIC, CAS [211134KYSB20130012]; Chinese Arctic and Antarctic Administration</t>
  </si>
  <si>
    <t>National Key R&amp;D Program of the MOST of China; National Natural Science Foundation of China(National Natural Science Foundation of China (NSFC)); Anhui Provincial Natural Science Foundation(Natural Science Foundation of Anhui Province); External Cooperation Program of BIC, CAS; Chinese Arctic and Antarctic Administration</t>
  </si>
  <si>
    <t>This study was funded by National Key R&amp;D Program of the MOST of China (2018YFC1406905), the National Natural Science Foundation of China (41676173, 41806224), Anhui Provincial Natural Science Foundation (1808085MD98) and the External Cooperation Program of BIC, CAS (211134KYSB20130012). The field work was supported by the Chinese Arctic and Antarctic Administration.</t>
  </si>
  <si>
    <t>10.1016/j.envpol.2019.113552</t>
  </si>
  <si>
    <t>WOS:000514746800060</t>
  </si>
  <si>
    <t>Prete, L</t>
  </si>
  <si>
    <t>Prete, Luca</t>
  </si>
  <si>
    <t>The Constitutional Limits to the Choice of Mixity after EUSFTA, COTIF I, MPA Antarctic and COTIF II: Towards a More Constructive Discourse?</t>
  </si>
  <si>
    <t>EUROPEAN LAW REVIEW</t>
  </si>
  <si>
    <t>Constitutional law; EU law; Jurisprudence</t>
  </si>
  <si>
    <t>The conclusion of mixed international agreements is a legal phenomenon peculiar to the EU legal order. Essentially, two main forms of mixity can be distinguished: facultative mixity and obligatory mixity. A number of recent decisions of the Court have dealt with this dichotomy. The aim of this article is to provide some critical insight with respect to that case law. On the one hand, that case law made it clear that the Court has never rejected the very idea of facultative mixity. On the other hand, however, even after that case law, it remains unclear whether there are limits of a constitutional nature to the Council's room for manoeuvre when having to take a decision on the (EU-only or mixed) nature of international agreements. A first issue is whether any agreement which affects, no matter how little, some area of law still subject to Member States' exclusive competence must inevitably be concluded as mixed. A second issue is whether there are systemic limits, respect of which the Court is entitled to check, to the Council's discretion in choosing the nature of an agreement that appears to trigger facultative mixity.</t>
  </si>
  <si>
    <t>[Prete, Luca] Vrije Univ Brussel, Court Justice European Union, Brussels, Belgium</t>
  </si>
  <si>
    <t>Vrije Universiteit Brussel</t>
  </si>
  <si>
    <t>Prete, L (corresponding author), Vrije Univ Brussel, Court Justice European Union, Brussels, Belgium.</t>
  </si>
  <si>
    <t>Prete, Luca/0000-0003-1546-8063</t>
  </si>
  <si>
    <t>SWEET MAXWELL LTD</t>
  </si>
  <si>
    <t>ANDOVER</t>
  </si>
  <si>
    <t>NORTH WAY, ANDOVER SP10 5BE, HANTS, ENGLAND</t>
  </si>
  <si>
    <t>0307-5400</t>
  </si>
  <si>
    <t>EUR LAW REV</t>
  </si>
  <si>
    <t>Eur. Law Rev.</t>
  </si>
  <si>
    <t>Law</t>
  </si>
  <si>
    <t>Government &amp; Law</t>
  </si>
  <si>
    <t>KM4OU</t>
  </si>
  <si>
    <t>WOS:000514110800007</t>
  </si>
  <si>
    <t>Park, S; Ahn, IY; Sin, E; Shim, J; Kim, T</t>
  </si>
  <si>
    <t>Park, Seojeong; Ahn, In-Young; Sin, Eunchong; Shim, JeongHee; Kim, Taewon</t>
  </si>
  <si>
    <t>Ocean freshening and acidification differentially influence mortality and behavior of the Antarctic amphipod Gondogeneia antarctica</t>
  </si>
  <si>
    <t>MARINE ENVIRONMENTAL RESEARCH</t>
  </si>
  <si>
    <t>Amphipod; Cannibalism; Food detection; Glacial retreat; Marian Cove; Molting; Swimming</t>
  </si>
  <si>
    <t>KING GEORGE ISLAND; CLIMATE-CHANGE; SEA-WATER; CARBONIC-ACID; RESPONSES; IMPACTS; PH; DISSOCIATION; ASSOCIATION; SATURATION</t>
  </si>
  <si>
    <t>The Western Antarctic Peninsula (WAP) has experienced rapid atmospheric and ocean warming over the past few decades and many marine-terminating glaciers have considerably retreated. Glacial retreat is accompanied by fresh meltwater intrusion, which may result in the freshening and acidification of coastal waters. Marian Cove (MC), on King George Island in the WAP, undergoes one of the highest rates of glacial retreat. Intertidal and shallow subtidal waters are likely more susceptible to these processes, and sensitive biological responses are expected from the organisms inhabiting this area. The gammarid amphipod Gondogeneia antarctica is one of the most abundant species in the shallow, nearshore Antarctic waters, and it occupies an essential ecological niche in the coastal marine WAP ecosystem. In this study, we tested the sensitivity of G. antarctica to lowered salinity and pH by meltwater intrusion following glacial retreat. We exposed G. antarctica to four different treatments combining two salinities (34 and 27 psu) and pH (8.0 and 7.6) levels for 26 days. Mortality, excluding cannibalized individuals, increased under low pH but decreased under low salinity conditions. Meanwhile, low salinity increased cannibalism, whereas low pH reduced food detection. Shelter use during the daytime decreased under each low salinity and pH condition, indicating that the two stressors act as disruptors of amphipod behavior. Under low salinity conditions, swimming increased during the daytime but decreased at night. Although interactions between low salinity and low pH were not observed during the experiment, the results suggest that each stressor, likely induced by glacial melting, causes altered behaviors in amphipods. These environmental factors may threaten population persistence in Marian Cove and possibly other similar glacial embayments.</t>
  </si>
  <si>
    <t>[Park, Seojeong; Kim, Taewon] Inha Univ, Dept Ocean Sci, 100 Inha Ro, Incheon 22212, South Korea; [Ahn, In-Young] Korea Polar Res Inst, Div Polar Ocean Sci, 26 Songdomirae Ro, Incheon 21990, South Korea; [Sin, Eunchong] Natl Marine Biodivers Inst Korea, Dept Taxon &amp; Systemat, 101-75 Jangsan Ro, Seocheon Gun 33662, Chungcheongnam, South Korea; [Shim, JeongHee] NIFS, Fisheries Resources &amp; Environm Res Div, East Sea Fisheries Res Inst, 1194 Haean Ro, Gangneung Si 25435, Gangwon Do, South Korea</t>
  </si>
  <si>
    <t>Inha University; Korea Polar Research Institute (KOPRI); Marine Biodiversity Institute of Korea (MABIK); National Institute of Fisheries Science</t>
  </si>
  <si>
    <t>Kim, T (corresponding author), Inha Univ, Dept Ocean Sci, 100 Inha Ro, Incheon 22212, South Korea.</t>
  </si>
  <si>
    <t>ktwon@inha.ac.kr</t>
  </si>
  <si>
    <t>Shim, JeongHee/0000-0003-0699-9145</t>
  </si>
  <si>
    <t>Korea Polar Research Institute (KOPRI) [PE19070]; Inha University [60677-01]</t>
  </si>
  <si>
    <t>Korea Polar Research Institute (KOPRI)(Korea Polar Research Institute of Marine Research Placement (KOPRI)); Inha University</t>
  </si>
  <si>
    <t>We thank all the members of King Sejong Station in the austral summertime of 2018, for their laboratory and field assistance. Our study is a part of the research project entitled Changes in Coastal Marine Systems of the Antarctic Peninsula: A 2050 Outlook (CHAMP 2050; PE19070) funded by Korea Polar Research Institute (KOPRI) and partially supported by Inha University Grant (60677-01).</t>
  </si>
  <si>
    <t>0141-1136</t>
  </si>
  <si>
    <t>1879-0291</t>
  </si>
  <si>
    <t>MAR ENVIRON RES</t>
  </si>
  <si>
    <t>Mar. Environ. Res.</t>
  </si>
  <si>
    <t>10.1016/j.marenvres.2019.104847</t>
  </si>
  <si>
    <t>Environmental Sciences; Marine &amp; Freshwater Biology; Toxicology</t>
  </si>
  <si>
    <t>Environmental Sciences &amp; Ecology; Marine &amp; Freshwater Biology; Toxicology</t>
  </si>
  <si>
    <t>KO0CO</t>
  </si>
  <si>
    <t>WOS:000515214100011</t>
  </si>
  <si>
    <t>Hill, NJ; Gardner, C; Haddon, M; Hartmann, K; Little, LR; Lyle, JM; Moore, BR</t>
  </si>
  <si>
    <t>Hill, Nicholas J.; Gardner, Caleb; Haddon, Malcolm; Hartmann, Klaas; Little, L. Richard; Lyle, Jeremy M.; Moore, Bradley R.</t>
  </si>
  <si>
    <t>Assessing the status of Australia's fish stocks relative to target objectives</t>
  </si>
  <si>
    <t>Fisheries; Australia; Performance reporting; Sustainability; Stock assessment; Seafood certification</t>
  </si>
  <si>
    <t>FISHERIES MANAGEMENT; REFERENCE POINTS; THRESHOLDS</t>
  </si>
  <si>
    <t>Communicating the performance of commercial fish stocks is a fundamental role of fisheries management. This is often undertaken by reporting stock status relative to limit reference points (LRP). Reporting against LRP is effective in drawing attention to stocks that are overfished but does not identify fisheries where performance could be improved by shifting stocks closer to target reference points (TRP), that is, benefit can be foregone despite stocks being fished sustainably. This study examined the performance of Australian fish stocks against a TRP of 40-60% of unfished biomass, the level at which economic performance is generally optimised. Stocks examined were drawn from the 2016 Status of Australian Fish Stocks report, which is designed to report on stock status relative to LRP at a national level. Only stocks with an estimate of biomass or status relative to explicitly defined reference points were considered. Of 123 stocks evaluated, 41 (33%) were at target biomass levels, 28% were above and 39% below. This result, in combination with the major output of the 2016 SAFS report, shows that although most Australian stocks are not overfished, many are outside levels that would deliver greatest benefits. While maintaining all stocks at target levels may be impractical given the dynamic nature of fisheries, failing to maximise the number of stocks at target levels reflects lost ecological, economic and social potential. Assessing stocks relative to TRP in addition to LRP would highlight opportunities for improving fisheries while still addressing the fundamental requirement of preventing stock depletion.</t>
  </si>
  <si>
    <t>[Hill, Nicholas J.; Gardner, Caleb; Hartmann, Klaas; Lyle, Jeremy M.; Moore, Bradley R.] Univ Tasmania, Inst Marine &amp; Antarctic Studies, Hobart, Tas 7001, Australia; [Hill, Nicholas J.; Haddon, Malcolm; Little, L. Richard] CSIRO, Oceans &amp; Atmosphere, Hobart, Tas, Australia; [Moore, Bradley R.] Natl Inst Water &amp; Atmospher Res, Nelson, New Zealand</t>
  </si>
  <si>
    <t>University of Tasmania; Commonwealth Scientific &amp; Industrial Research Organisation (CSIRO); National Institute of Water &amp; Atmospheric Research (NIWA) - New Zealand</t>
  </si>
  <si>
    <t>Hill, NJ (corresponding author), Univ Tasmania, Inst Marine &amp; Antarctic Studies, Hobart, Tas 7001, Australia.</t>
  </si>
  <si>
    <t>Nicholas.hill@utas.edu.au</t>
  </si>
  <si>
    <t>Hartmann, Klaas/B-3991-2008; Lyle, Jeremy M/J-7170-2014</t>
  </si>
  <si>
    <t>Haddon, Malcolm/0000-0001-6971-7585</t>
  </si>
  <si>
    <t>Heather Brown Scholarship Award; CSIRO UTAS Quantitative Marine Science Scholarship</t>
  </si>
  <si>
    <t>The authors wish to thank two anonymous reviewers for constructive comments which helped to improve the manuscript. N. J. Hill was supported by the Heather Brown Scholarship Award and CSIRO UTAS Quantitative Marine Science Scholarship. We also thank the Fisheries Research Development Corporation for useful feedback on the manuscript.</t>
  </si>
  <si>
    <t>10.1016/j.marpol.2019.103741</t>
  </si>
  <si>
    <t>KO0AI</t>
  </si>
  <si>
    <t>WOS:000515208000019</t>
  </si>
  <si>
    <t>Moss, JA; Henriksson, NL; Pakulski, JD; Snyder, RA; Jeffrey, WH</t>
  </si>
  <si>
    <t>Moss, Joseph A.; Henriksson, Nine L.; Pakulski, J. Dean; Snyder, Richard A.; Jeffrey, Wade H.</t>
  </si>
  <si>
    <t>Oceanic Microplankton Do Not Adhere to the Latitudinal Diversity Gradient</t>
  </si>
  <si>
    <t>MICROBIAL ECOLOGY</t>
  </si>
  <si>
    <t>Microbes; Diversity; Bacteria; Archaea; Pacific</t>
  </si>
  <si>
    <t>BIOGEOGRAPHY</t>
  </si>
  <si>
    <t>A latitudinal biodiversity gradient has captivated ecologists for years, and has become a widely recognized pattern in biogeography, manifest as an increase in biodiversity from the poles to the tropics. Oceanographers have attempted to discern whether these distribution patterns are shared with marine biota, and a lively debate has emerged concerning the global distribution of microbes. Limitations in sampling resolution for such large-scale assessments have often prohibited definitive conclusions. We evaluated microbial planktonic communities along a similar to 15,400-km Pacific Ocean transect with DNA from samples acquired every 2 degrees of latitude within a 3-month period between late August and early November 2003. Next-generation sequencing targeting the Bacteria, Archaea, and Eukarya yielded similar to 10.8 million high-quality sequences. Beta-analysis revealed geographic patterns of microbial communities, primarily the Bacteria and Archaea domains. None of the domains exhibited a unimodal pattern of alpha-diversity with respect to latitude. Bacteria communities increased in richness from Arctic to Antarctic waters, whereas Archaea and Eukarya communities showed no latitudinal or polar trends. Based on our analyses, environmental factors related to latitude thought to influence various macrofauna may not define microplankton diversity patterns of richness in the global ocean.</t>
  </si>
  <si>
    <t>[Moss, Joseph A.; Henriksson, Nine L.; Pakulski, J. Dean; Jeffrey, Wade H.] Univ West Florida, Ctr Environm Diagnost &amp; Bioremediat, 11000 Univ Parkway,Bldg 58 Rm70, Pensacola, FL 32514 USA; [Snyder, Richard A.] Virginia Inst Marine Sci, Eastern Shore Lab, 40 Atlantic Ave, Wachapreague, VA 23480 USA</t>
  </si>
  <si>
    <t>State University System of Florida; University of West Florida; William &amp; Mary; Virginia Institute of Marine Science</t>
  </si>
  <si>
    <t>Jeffrey, WH (corresponding author), Univ West Florida, Ctr Environm Diagnost &amp; Bioremediat, 11000 Univ Parkway,Bldg 58 Rm70, Pensacola, FL 32514 USA.</t>
  </si>
  <si>
    <t>wjeffrey@uwf.edu</t>
  </si>
  <si>
    <t>Snyder, Richard/0000-0002-3787-9376</t>
  </si>
  <si>
    <t>NSF [OPP0127022]</t>
  </si>
  <si>
    <t>This research was originally supported by a NSF award OPP0127022 to WHJ.</t>
  </si>
  <si>
    <t>0095-3628</t>
  </si>
  <si>
    <t>1432-184X</t>
  </si>
  <si>
    <t>MICROB ECOL</t>
  </si>
  <si>
    <t>Microb. Ecol.</t>
  </si>
  <si>
    <t>10.1007/s00248-019-01413-8</t>
  </si>
  <si>
    <t>Ecology; Marine &amp; Freshwater Biology; Microbiology</t>
  </si>
  <si>
    <t>Environmental Sciences &amp; Ecology; Marine &amp; Freshwater Biology; Microbiology</t>
  </si>
  <si>
    <t>KN6YH</t>
  </si>
  <si>
    <t>WOS:000514980800020</t>
  </si>
  <si>
    <t>Chadwick, M; Allen, CS; Sime, LC; Hillenbrand, CD</t>
  </si>
  <si>
    <t>Chadwick, M.; Allen, C. S.; Sime, L. C.; Hillenbrand, C. -D.</t>
  </si>
  <si>
    <t>Analysing the timing of peak warming and minimum winter sea-ice extent in the Southern Ocean during MIS 5e</t>
  </si>
  <si>
    <t>Interglacial; Sediment cores; Palaeoceanography; Southern Ocean</t>
  </si>
  <si>
    <t>ANTARCTIC CIRCUMPOLAR CURRENT; LAST INTERGLACIAL PERIODS; SURFACE TEMPERATURE; NEW-ZEALAND; AGULHAS LEAKAGE; GLACIAL MAXIMUM; HIGH-LATITUDES; INDIAN SECTOR; POLAR FRONT; HEMISPHERE</t>
  </si>
  <si>
    <t>The peak of the Last Interglacial, Marine Isotope Stage (MIS) 5e (130-116 ka), provides a valuable 'process analogue' for validating the climatic feedbacks and forcings likely active under future anthropogenic warming. Reconstructing exact timings of MIS 5e peak warming and minimum winter sea-ice extent (WSIE) throughout the Southern Ocean (SO) will help to identify the interactions and feedbacks within the ice-ocean system. Here we present a new MIS 5e marine sediment record from the SW Atlantic sector together with 28 published core records (chronologies standardised to the LRO4 5180 benthic stack; Lisiecki and Raymo, 2005) to investigate the timing and sequence of minimum WSIE and peak warming across the SO. Sea-surface temperatures (SSTs) peaked earliest in the Indian (20 E -150 E) and Atlantic (70 W-20 E) sectors, at 128.7 0.8 ka and 127.4 1.1 ka respectively, followed by the Pacific sector (150 E-70 W) at 124.9 3.6 ka. The interval of minimum WSIE for all three sectors occurred within the period from 129-125 ka, consistent with the -128 ka sea salt flux minimum in Antarctic ice cores. Minimum WSIE appears to have coincided with peak July insolation at 55 S, suggesting it could be linked with the mildest winters. The reduced WSIE during MIS 5e would have likely reduced the production of deep- and bottom water masses, inhibiting storage of CO2 in the abyssal ocean and lowering nutrient availability in SO surface waters. Examining a wide spatial range of proxy records for MIS 5e is a critical step forward in understanding climatic interactions and processes that will be active under warmer global temperatures. (C) 2019 Elsevier Ltd. All rights reserved.</t>
  </si>
  <si>
    <t>[Chadwick, M.; Allen, C. S.; Sime, L. C.; Hillenbrand, C. -D.] British Antarctic Survey, Madingley Rd, Cambridge CB3 0ET, England; [Chadwick, M.] Univ Southampton, Natl Oceanog Ctr, Ocean &amp; Earth Sci, Waterfront Campus,European Way, Southampton SO14 3ZH, Hants, England</t>
  </si>
  <si>
    <t>UK Research &amp; Innovation (UKRI); Natural Environment Research Council (NERC); NERC British Antarctic Survey; NERC National Oceanography Centre; University of Southampton</t>
  </si>
  <si>
    <t>Chadwick, M (corresponding author), British Antarctic Survey, Madingley Rd, Cambridge CB3 0ET, England.</t>
  </si>
  <si>
    <t>machad27@bas.ac.uk</t>
  </si>
  <si>
    <t>Sime, Louise/AAX-7730-2021; Chadwick, Matthew/HTM-7278-2023</t>
  </si>
  <si>
    <t>Sime, Louise/0000-0002-9093-7926; Chadwick, Matthew/0000-0002-3861-4564</t>
  </si>
  <si>
    <t>Natural Environment Research Council [NE/L002531/1]; NERC [1940755, bas0100030, NE/S00954X/1] Funding Source: UKRI</t>
  </si>
  <si>
    <t>This work was supported by the Natural Environment Research Council [grant number NE/L002531/1].</t>
  </si>
  <si>
    <t>10.1016/j.quascirev.2019.106134</t>
  </si>
  <si>
    <t>KM3KA</t>
  </si>
  <si>
    <t>WOS:000514018700012</t>
  </si>
  <si>
    <t>Horrocks, CA; Newsham, KK; Cox, F; Garnett, MH; Robinson, CH; Dungait, JAJ</t>
  </si>
  <si>
    <t>Horrocks, C. A.; Newsham, K. K.; Cox, F.; Garnett, M. H.; Robinson, C. H.; Dungait, J. A. J.</t>
  </si>
  <si>
    <t>Predicting climate change impacts on maritime Antarctic soils: a space-for-time substitution study</t>
  </si>
  <si>
    <t>SOIL BIOLOGY &amp; BIOCHEMISTRY</t>
  </si>
  <si>
    <t>Biomarkers; C-13; C-14; Climate change; N-15; Sub- and maritime Antarctica</t>
  </si>
  <si>
    <t>DECOMPOSITION RATES; NUTRIENT INPUTS; ORGANIC-MATTER; PINE FORESTS; MASS-LOSS; CARBON; PENINSULA; VEGETATION; C-14; ECOSYSTEMS</t>
  </si>
  <si>
    <t>We report a space-for-time substitution study predicting the impacts of climate change on vegetated maritime Antarctic soils. Analyses of soils from under Deschampsia antarctica sampled from three islands along a 2200 km climatic gradient indicated that those from sub-Antarctica had higher moisture, organic matter and carbon (C) concentrations, more depleted delta C-13 values, lower concentrations of the fungal biomarker ergosterol and higher concentrations of bacterial PLFA biomarkers and plant wax n-alkane biomarkers than those from maritime Antarctica. Shallow soils (2 cm depth) were wetter, and had higher concentrations of organic matter, ergosterol and bacterial PLFAs, than deeper soils (4 cm and 8 cm depths). Correlative analyses indicated that factors associated with climate change (increased soil moisture, C and organic matter concentrations, and depleted delta C-13 contents) are likely to give rise to increases in Gram negative bacteria, and decreases in Gram positive bacteria and fungi, in maritime Antarctic soils. Bomb-C-14 analyses indicated that sub-Antarctic soils at all depths contained significant amounts of modern C-14 (C fixed from the atmosphere post c. 1955), whereas modern C-14 was restricted to depths of 2 cm and 4 cm in maritime Antarctica. The oldest C (c. 1745 years BP) was present in the southernmost soil. The higher nitrogen (N) concentrations and delta N-15 values recorded in the southernmost soil were attributed to N inputs from bird guano. Based on these analyses, we conclude that 5-8 degrees C rises in air temperature, together with associated increases in precipitation, are likely to have substantial impacts on maritime Antarctic soils, but that, at the rates of climate warming predicted under moderate greenhouse gas emission scenarios, these impacts are likely to take at least a century to manifest themselves.</t>
  </si>
  <si>
    <t>[Horrocks, C. A.; Dungait, J. A. J.] Rothamsted Res, Sustainable Agr Sci, Okehampton EX20 2SB, Devon, England; [Newsham, K. K.; Cox, F.] British Antarctic Survey, Nat Environm Res Council, Cambridge CB3 0ET, England; [Cox, F.; Robinson, C. H.] Univ Manchester, Dept Earth &amp; Environm Sci, Manchester M13 9PL, Lancs, England; [Garnett, M. H.] NERC Radiocarbon Facil, Scottish Enterprise Technol Pk,Rankine Ave, Glasgow G75 0QF, Lanark, Scotland; [Dungait, J. A. J.] Univ Exeter, CLES, Geog, Amory Bldg,Rennes Dr, Exeter EX4 4RJ, Devon, England</t>
  </si>
  <si>
    <t>UK Research &amp; Innovation (UKRI); Biotechnology and Biological Sciences Research Council (BBSRC); Rothamsted Research; UK Research &amp; Innovation (UKRI); Natural Environment Research Council (NERC); NERC British Antarctic Survey; University of Manchester; UK Research &amp; Innovation (UKRI); Natural Environment Research Council (NERC); NERC British Geological Survey; Scottish Universities Research &amp; Reactor Center; University of Exeter</t>
  </si>
  <si>
    <t>Newsham, KK (corresponding author), British Antarctic Survey, Nat Environm Res Council, Cambridge CB3 0ET, England.</t>
  </si>
  <si>
    <t>kne@bas.ac.uk</t>
  </si>
  <si>
    <t>NEOF, NERC Environmental Omics Facility/AAP-1244-2021; Horrocks, Claire/HLX-0429-2023; Dungait, Jennifer/AAV-7301-2021; Garnett, Mark H/C-2377-2009</t>
  </si>
  <si>
    <t>Dungait, Jennifer/0000-0001-9074-4174; Cox, Filipa/0000-0003-1405-7481</t>
  </si>
  <si>
    <t>Antarctic Funding Initiative grant; UK Natural Environment Research Council [NE/H014098/1, NE/H014772/1, NE/H01408X/1]; NERC [NRCF010001, 1690.0313]; NERC [NE/H014098/1, NE/H014772/1, NE/H01408X/1, NBAF010002, bas0100036] Funding Source: UKRI</t>
  </si>
  <si>
    <t>Antarctic Funding Initiative grant; UK Natural Environment Research Council(UK Research &amp; Innovation (UKRI)Natural Environment Research Council (NERC)); NERC(UK Research &amp; Innovation (UKRI)Natural Environment Research Council (NERC)); NERC(UK Research &amp; Innovation (UKRI)Natural Environment Research Council (NERC))</t>
  </si>
  <si>
    <t>This research was funded by an Antarctic Funding Initiative grant and associated awards from the UK Natural Environment Research Council (grant numbers NE/H014098/1, NE/H014772/1 and NE/H01408X/1) and a NERC Radiocarbon Facility NRCF010001 allocation (1690.0313). The British Antarctic Survey's Logistics Group and the officers and ship's company of the RRS James Clark Ross provided transport to and from sampling sites. Mick Mackey, Andy Wood, Mike Dunn, Ash Cordingley, Ian Rudkin, Ana Bertoldi, Steph Stenna and Stacey Adlard helped to collect samples. Laura Gerrish drew the map shown in Fig. 1. Anonymous reviewers supplied helpful comments. Our much-valued colleague, the late Jiri liana of Charles University in Prague, helped to identify liverworts. All are gratefully acknowledged.</t>
  </si>
  <si>
    <t>0038-0717</t>
  </si>
  <si>
    <t>SOIL BIOL BIOCHEM</t>
  </si>
  <si>
    <t>Soil Biol. Biochem.</t>
  </si>
  <si>
    <t>10.1016/j.soilbio.2019.107682</t>
  </si>
  <si>
    <t>KM2XS</t>
  </si>
  <si>
    <t>WOS:000513986700025</t>
  </si>
  <si>
    <t>Rust, S; Silberberg, B; Turner, E; Sharp, B</t>
  </si>
  <si>
    <t>Rust, Steven; Silberberg, Ben; Turner, Emma; Sharp, Basil</t>
  </si>
  <si>
    <t>Investigating the value of keeping options open for water infrastructure in the Lower Hunter, New South Wales</t>
  </si>
  <si>
    <t>UTILITIES POLICY</t>
  </si>
  <si>
    <t>Water resilience; Option value; Hunter water corporation</t>
  </si>
  <si>
    <t>LOCK-IN; CLIMATE-CHANGE; PATH DEPENDENCE; REAL OPTIONS; MANAGEMENT; TECHNOLOGIES; UNCERTAINTY; ROBUSTNESS; DESIGN; COST</t>
  </si>
  <si>
    <t>Policy discussions around the world have increasingly focused on the need for resilient water and wastewater systems. The use of small-scale, 'incremental', measures that maintain substitutability in investment choices can improve a system's adaptability. Using past shifts/shocks, we estimate an option value for unforeseen events that can change the yield-demand balance for potable supply. For a hypothetical dam, we find avoided costs ranging from $11.1 m to $78.1 m for amounts of extra time ranging from one to ten years; and for a permanent desalination plant, the avoided costs ranged from $33.6 m up to $234.7 m for the same amounts of extra time.</t>
  </si>
  <si>
    <t>[Rust, Steven] Univ Newcastle, Fac Business &amp; Law, 409 Hunter St, Newcastle, NSW 2300, Australia; [Rust, Steven; Silberberg, Ben; Turner, Emma] Hunter Water Corp, 36 Honeysuckle Dr, Newcastle, NSW 2300, Australia; [Sharp, Basil] Univ Auckland, Fac Business &amp; Econ, Owen G Glenn Bldg,12 Grafton Rd, Auckland 1010, New Zealand</t>
  </si>
  <si>
    <t>University of Newcastle; University of Auckland</t>
  </si>
  <si>
    <t>Rust, S (corresponding author), Univ Tasmania, Inst Marine &amp; Antarctic Studies, 15-21 Nubeena Crescent, Taroona, Tas 7053, Australia.</t>
  </si>
  <si>
    <t>steven.rust@utas.edu.au; ben.silberberg@hunterwater.com.au; emma.tumer@hunterwater.com.au; sharp@auckland.ac.nz</t>
  </si>
  <si>
    <t>Rust, STeven/0000-0002-1689-0437</t>
  </si>
  <si>
    <t>Hunter Water Corporation</t>
  </si>
  <si>
    <t>The authors would like to acknowledge funding support, time and in kind resources provided by the Hunter Water Corporation for this study. In particular, we would like to the thank Dr. Brendan Berghout in relation to system yield calculations, Tony McClymont for information on demand modelling, and others in the business who have provided both information and ad hoc reviews of this work.</t>
  </si>
  <si>
    <t>0957-1787</t>
  </si>
  <si>
    <t>1878-4356</t>
  </si>
  <si>
    <t>UTIL POLICY</t>
  </si>
  <si>
    <t>Util. Policy</t>
  </si>
  <si>
    <t>10.1016/j.jup.2019.100980</t>
  </si>
  <si>
    <t>Energy &amp; Fuels; Environmental Sciences; Environmental Studies</t>
  </si>
  <si>
    <t>Energy &amp; Fuels; Environmental Sciences &amp; Ecology</t>
  </si>
  <si>
    <t>KM2XV</t>
  </si>
  <si>
    <t>WOS:000513987000001</t>
  </si>
  <si>
    <t>Klapstein, SJ; Walker, AK; Saunders, CH; Cameron, RP; Murimboh, JD; O'Driscoll, NJ</t>
  </si>
  <si>
    <t>Klapstein, Sara J.; Walker, Allison K.; Saunders, Cardy Hallett; Cameron, Robert P.; Murimboh, John D.; O'Driscoll, Nelson J.</t>
  </si>
  <si>
    <t>Spatial distribution of mercury and other potentially toxic elements using epiphytic lichens in Nova Scotia</t>
  </si>
  <si>
    <t>CHEMOSPHERE</t>
  </si>
  <si>
    <t>Lichen; Mercury; Potentially toxic elements (PTEs); Metals; Nova scotia; Pollution</t>
  </si>
  <si>
    <t>SPECIATED ATMOSPHERIC MERCURY; PINUS-NIGRA BARKS; FRUTICOSE LICHENS; GASEOUS MERCURY; DEPOSITION; MOSS; CONTAMINATION; TERRESTRIAL; EASTERN; TRENDS</t>
  </si>
  <si>
    <t>The use of naturally occurring epiphytic lichens can be an effective tool for regional monitoring of mercury (Hg) and other potentially toxic elements (PTEs). Nova Scotia, Canada is a hotspot for mercury and other trace metal accumulation in ecosystems; partially attributed to long-range transport of air pollution. The relative contribution of local and international sources of Hg to local air in Nova Scotia is unknown. This study assessed the potential of epiphytic lichens (Usnea spp.) as passive samplers for PTE air pollution in Nova Scotia. Lichens (n = 190) collected across mainland Nova Scotia were analyzed for PTEs. Results indicate that there are 3 distinct clusters of PTEs which suggest patterns and sources for each elemental cluster. Hg was correlated with longitude and prevailing wind direction, and Hg was not significantly different in site-specific hotspot sampling nor year of sampling. Our data support the hypothesis that Hg in lichens is from historical and ongoing long-range transport and diffuse emission patterns rather than localized pollution sources. PTE concentrations were shown to have median values that are similar to other remote regions (such as the Antarctic) however the maximum values were observed to be substantially higher for some elements (e.g. lead, cadmium). This research supports the use of lichens as biomonitors and provides a baseline for future monitoring efforts to identify changes in PTE distribution in Nova Scotia with ongoing industrial activity and a changing climate. Crown Copyright (C) 2019 Published by Elsevier Ltd. All rights reserved.</t>
  </si>
  <si>
    <t>[Klapstein, Sara J.; O'Driscoll, Nelson J.] Acadia Univ, Earth &amp; Environm Sci Dept, Wolfville, NS B4P 2R6, Canada; [Walker, Allison K.; Saunders, Cardy Hallett] Acadia Univ, Dept Biol, Wolfville, NS B4P 2R6, Canada; [Cameron, Robert P.] Nova Scotia Dept Environm, Protected Areas Branch, Halifax, NS, Canada; [Murimboh, John D.] Acadia Univ, Chem Dept, Wolfville, NS B4P 2R6, Canada</t>
  </si>
  <si>
    <t>Acadia University; Acadia University; Acadia University</t>
  </si>
  <si>
    <t>Klapstein, SJ (corresponding author), Acadia Univ, Earth &amp; Environm Sci Dept, Wolfville, NS B4P 2R6, Canada.</t>
  </si>
  <si>
    <t>sara.klapstein@acadiau.ca</t>
  </si>
  <si>
    <t>O'Driscoll, Nelson/0000-0002-8598-8251</t>
  </si>
  <si>
    <t>Arthur Irving Academy for the Environment Research Grant; Canada Foundation for Innovation [203477]; Natural Sciences and Engineering Research Council of Canada [341960-2013]; Canada Research Chairs Program [950-203477]</t>
  </si>
  <si>
    <t>Arthur Irving Academy for the Environment Research Grant; Canada Foundation for Innovation(Canada Foundation for InnovationCGIARSpanish Government); Natural Sciences and Engineering Research Council of Canada(Natural Sciences and Engineering Research Council of Canada (NSERC)CGIAR); Canada Research Chairs Program(Canada Research Chairs)</t>
  </si>
  <si>
    <t>Funding for this research was provided by: Arthur Irving Academy for the Environment Research Grant, Canada Foundation for Innovation (NJO grant #203477), Natural Sciences and Engineering Research Council of Canada (NJO grant #341960-2013), and Canada Research Chairs Program (NJO grant #950-203477). We would like to acknowledge Nova Scotia Department of Natural Resources Mineral Resources Brance for the Open File Map ME 2004-1 of Nova Scotia used in our graphical figure. Special thanks to the CARE Labs at Acadia University, Rachel Clarke and Haley Geizer for assisting with sample prep and analyses and to Ellen O'Driscoll, Jacob O'Driscoll, and Jake Walker for assistance with field work and sampling.</t>
  </si>
  <si>
    <t>0045-6535</t>
  </si>
  <si>
    <t>1879-1298</t>
  </si>
  <si>
    <t>Chemosphere</t>
  </si>
  <si>
    <t>10.1016/j.chemosphere.2019.125064</t>
  </si>
  <si>
    <t>KG2RX</t>
  </si>
  <si>
    <t>WOS:000509791600033</t>
  </si>
  <si>
    <t>Mao, FY; Zang, L; Wang, ZM; Pan, ZX; Zhu, B; Gong, W</t>
  </si>
  <si>
    <t>Mao, Feiyue; Zang, Lin; Wang, Zemin; Pan, Zengxin; Zhu, Bo; Gong, Wei</t>
  </si>
  <si>
    <t>Dominant synoptic patterns during wintertime and their impacts on aerosol pollution in Central China</t>
  </si>
  <si>
    <t>ATMOSPHERIC RESEARCH</t>
  </si>
  <si>
    <t>Aerosol pollution; Central China; Synoptic patterns; Wintertime</t>
  </si>
  <si>
    <t>BOUNDARY-LAYER STRUCTURE; CIRCULATION PATTERNS; REGIONAL TRANSPORT; WEATHER PATTERNS; HAZE; MECHANISM; CLASSIFICATION; SULFATE; PLAIN</t>
  </si>
  <si>
    <t>Meteorological conditions are largely driven by synoptic circulations, affecting pollutant transport, dispersion, and even emissions. Partly due to the lack of systematic investigations of meteorological impact at large- and local-scale, aerosol pollution in Central China is not yet fully understood. This study conducted synoptic classification based on the obliquely rotated principal component analysis in T-mode, and investigated the relationship between aerosol pollution and the prevailing synoptic patterns over Wuhan during wintertime from 2014 to 2018. Among five identified patterns, three driven by the northerly high-pressure systems, accompanied by weak surface winds, low boundary layer height, and high relative humidity, were found to be closely related to heavy pollution. Notably, the winter aerosol pollution in Wuhan showed a declining trend in recent years, which also slightly benefited from the interannual variation of synoptic patterns besides emission control. However, with the increase in humidity, pollution caused by secondary particles cannot be ignored. The oxidation rate of sulfur and nitrogen in the atmosphere was about 0.1 higher in 2018 than in 2014. This study is significant for pollution control in Wuhan and its surrounding areas of Central China.</t>
  </si>
  <si>
    <t>[Mao, Feiyue] Wuhan Univ, Sch Remote Sensing &amp; Informat Engn, Wuhan 430079, Peoples R China; [Zang, Lin; Wang, Zemin] Wuhan Univ, Chinese Antarctic Ctr Surveying &amp; Mapping, Wuhan 430079, Peoples R China; [Mao, Feiyue; Pan, Zengxin; Gong, Wei] Wuhan Univ, State Key Lab Informat Engn Surveying Mapping &amp; R, Wuhan 430079, Peoples R China; [Mao, Feiyue] Collaborat Innovat Ctr Geospatial Technol, Wuhan 430079, Peoples R China; [Zhu, Bo] Hubei Environm Monitoring Ctr, Wuhan 430079, Peoples R China</t>
  </si>
  <si>
    <t>Wuhan University; Wuhan University; Wuhan University</t>
  </si>
  <si>
    <t>Zang, L (corresponding author), Wuhan Univ, Chinese Antarctic Ctr Surveying &amp; Mapping, Wuhan 430079, Peoples R China.</t>
  </si>
  <si>
    <t>zanglin2018@whu.edu.cn</t>
  </si>
  <si>
    <t>ZeMin, Wang/AAU-3422-2020</t>
  </si>
  <si>
    <t>National Key Research and Development Program of China [2017YFC0212600]; National Natural Science Foundation of China [41971285, 41701381, 41627804]; Hubei Environmental Monitoring Center</t>
  </si>
  <si>
    <t>National Key Research and Development Program of China; National Natural Science Foundation of China(National Natural Science Foundation of China (NSFC)); Hubei Environmental Monitoring Center</t>
  </si>
  <si>
    <t>This study is supported by the National Key Research and Development Program of China (2017YFC0212600) and the National Natural Science Foundation of China (41971285, 41701381 and 41627804). We are grateful to the Hubei Environmental Monitoring Center and the NCEP for their provision of the datasets used in this study.</t>
  </si>
  <si>
    <t>0169-8095</t>
  </si>
  <si>
    <t>1873-2895</t>
  </si>
  <si>
    <t>ATMOS RES</t>
  </si>
  <si>
    <t>Atmos. Res.</t>
  </si>
  <si>
    <t>10.1016/j.atmosres.2019.104701</t>
  </si>
  <si>
    <t>KL1GI</t>
  </si>
  <si>
    <t>WOS:000513179100012</t>
  </si>
  <si>
    <t>Dirscherl, M; Dietz, AJ; Dech, S; Kuenzer, C</t>
  </si>
  <si>
    <t>Dirscherl, Mariel; Dietz, Andreas J.; Dech, Stefan; Kuenzer, Claudia</t>
  </si>
  <si>
    <t>Remote sensing of ice motion in Antarctica - A review</t>
  </si>
  <si>
    <t>Ice flow; Ice velocity; Ice motion; Ice flow dynamics; Glacier dynamics; Glacier velocity; Ice shelf dynamics; Ice shelf velocity; Ice sheet flow; Antarctica; Antarctic ice sheet; Remote sensing</t>
  </si>
  <si>
    <t>PINE ISLAND GLACIER; KING GEORGE ISLAND; SURFACE VELOCITY; MASS-BALANCE; WEST ANTARCTICA; RADAR INTERFEROMETRY; THWAITES GLACIER; OUTLET GLACIERS; TOTTEN GLACIER; EAST ANTARCTICA</t>
  </si>
  <si>
    <t>The Antarctic Ice Sheet holds 91% of the global ice mass making it the biggest potential contributor to global sea-level-rise. In order to evaluate the ice sheet's present and future response to global climate change, detailed information about spatial and temporal ice mass dynamics is required. While ice sheet surface mass balance can be estimated from regional climate models, ice discharge is often determined from spaceborne measurements of ice thickness and ice motion at selected flux gates. The retrieval of ice motion is not only critical for analysing the rate of ice transport into the ocean but also for investigating the spatial and temporal pattern or the driving forcings of Antarctic ice flow dynamics. This study provides a comprehensive review of state-of-the-art spaceborne ice velocity measurements in Antarctica. Based on 201 scientific papers, published over the last three decades, our analysis revealed a dominant interest in local and regional scale investigations. Yet, the launch of the ERS-1/-2 and RADARSAT-1 SAR satellites in the 1990s dramatically increased data coverage over the Antarctic continent and enabled the first circum-antarctic velocity product to be published in the late 2000s. In recent years, the improved imaging capabilities of Landsat 8 led to a shift towards using mainly optical satellite data and enabled great advances in circum-antarctic velocity mapping. Data from the currently operating Sentinel-1/-2 missions was applied in fewer studies but will play a crucial role in future ice motion studies e.g. as part of ESA CCI projects. In addition, we found a growing interest in high temporal resolution velocity change analyses. Based on the reviewed studies, we moreover summarized the highly dynamic and locally variable flow pattern over the Antarctic continent being in accordance with varying local and regional driving mechanisms. Despite the great advances in spaceborne ice velocity mapping in Antarctica, we report some major drawbacks and discuss future challenges and requirements. To start with, our study uncovered strong variations regarding the spatial availability of investigations. While we found an aggregation of studies over selected glaciers, we report a major lack of studies in all three Antarctic sectors. Additionally, many velocity datasets were created with strongly heterogeneous output parameters and were provided at coarse temporal resolution or at point-based measurement locations only. Future studies should consequently aim at creating more uniform ice motion products at defined spatial and temporal coverage and resolution standards and at analysing particularly the least studied glaciers.</t>
  </si>
  <si>
    <t>[Dirscherl, Mariel; Dietz, Andreas J.; Dech, Stefan; Kuenzer, Claudia] German Aerosp Ctr DLR, German Remote Sensing Data Ctr DFD, Munchener Str 20, D-82234 Wessling, Germany; [Dech, Stefan; Kuenzer, Claudia] Univ Wurzburg, Inst Geog &amp; Geol, Dept Remote Sensing, D-97074 Wurzburg, Germany</t>
  </si>
  <si>
    <t>Helmholtz Association; German Aerospace Centre (DLR); University of Wurzburg</t>
  </si>
  <si>
    <t>Dirscherl, M (corresponding author), German Aerosp Ctr DLR, German Remote Sensing Data Ctr DFD, Munchener Str 20, D-82234 Wessling, Germany.</t>
  </si>
  <si>
    <t>Mariel.Dirscherl@dlr.de; Andreas.Dietz@dlr.de; Stefan.Dech@dlr.de; Claudia.Kuenzer@dlr.de</t>
  </si>
  <si>
    <t>Dietz, Andreas/0000-0002-5733-7136; Dirscherl, Mariel/0000-0002-3324-7646</t>
  </si>
  <si>
    <t>DLR VO-R Young Investigator Group Antarctic Research</t>
  </si>
  <si>
    <t>Authors would like to thank the editor and the reviewers for their helpful comments and suggestions that improved this paper over all aspects. This research was funded by the DLR VO-R Young Investigator Group Antarctic Research.</t>
  </si>
  <si>
    <t>10.1016/j.rse.2019.111595</t>
  </si>
  <si>
    <t>KG3CE</t>
  </si>
  <si>
    <t>WOS:000509819300048</t>
  </si>
  <si>
    <t>Krieger, L; Floricioiu, D; Neckel, N</t>
  </si>
  <si>
    <t>Krieger, Lukas; Floricioiu, Dana; Neckel, Niklas</t>
  </si>
  <si>
    <t>Drainage basin delineation for outlet glaciers of Northeast Greenland based on Sentinel-1 ice velocities and TanDEM-X elevations</t>
  </si>
  <si>
    <t>Drainage basin; Watershed; Glacier catchment; Monte-Carlo simulation; Ice sheet; Greenland</t>
  </si>
  <si>
    <t>MASS-BALANCE; SHEET; ALGORITHM</t>
  </si>
  <si>
    <t>The drainage divides of ice sheets separate the overall glaciated area into multiple sectors. These drainage basins are essential for partitioning mass changes of the ice sheet, as they specify the area over which basin specific measurements are integrated. The delineation of drainage basins on ice sheets is challenging due to their gentle slopes accompanied by local terrain disturbances and complex patterns of ice movement. Until now, in Greenland the basins have been mostly delineated along the major ice divides, which results in large drainage sectors containing multiple outlet glaciers. However, when focusing on measuring glaciological parameters of individual outlet glaciers, more detailed drainage basin delineations are needed. Here we present for the first time a detailed and fully traceable approach that combines ice sheet wide velocity measurements by Sentinel-1 and the high resolution TanDEM-X global DEM to derive individual glacier drainage basins. We delineated catchments for the Northeast Greenland Ice Sheet with a modified watershed algorithm and present results for 31 drainage basins. Even though validation of drainage basins remains a difficult task, we estimated basin probabilities from Monte-Carlo experiments and applied the method to a variety of different ice velocity and DEM datasets finding discrepancies of up to 16% in the extent of catchment areas. The proposed approach has the potential to produce drainage areas for the entirety of the Greenland and Antarctic ice sheets.</t>
  </si>
  <si>
    <t>[Krieger, Lukas; Floricioiu, Dana] German Aerosp Ctr DLR, Remote Sensing Technol Inst, Oberpfaffenhofen, Germany; [Neckel, Niklas] Alfred Wegener Inst Polar &amp; Marine Res, Bremerhaven, Germany</t>
  </si>
  <si>
    <t>Helmholtz Association; German Aerospace Centre (DLR); Helmholtz Association; Alfred Wegener Institute, Helmholtz Centre for Polar &amp; Marine Research</t>
  </si>
  <si>
    <t>Krieger, L (corresponding author), German Aerosp Ctr DLR, Remote Sensing Technol Inst, Oberpfaffenhofen, Germany.</t>
  </si>
  <si>
    <t>lukas.krieger@dlr.de; dana.floricioiu@dlr.de; niklas.neckel@awi.de</t>
  </si>
  <si>
    <t>Krieger, Lukas/0000-0002-2464-3102; Neckel, Niklas/0000-0003-4300-5488</t>
  </si>
  <si>
    <t>Deutsche Forschungsgemeinschaft (DFG) [FL 848/1-1]; European Union's Horizon 2020 research and innovation programme via project iCUPE (Integrative and Comprehensive Understanding on Polar Environments) [689443]</t>
  </si>
  <si>
    <t>Deutsche Forschungsgemeinschaft (DFG)(German Research Foundation (DFG)); European Union's Horizon 2020 research and innovation programme via project iCUPE (Integrative and Comprehensive Understanding on Polar Environments)</t>
  </si>
  <si>
    <t>This research was supported by the Deutsche Forschungsgemeinschaft (DFG, FL 848/1-1). N.N. has received funding from the European Union's Horizon 2020 research and innovation programme under grant agreement No 689443 via project iCUPE (Integrative and Comprehensive Understanding on Polar Environments). The TanDEM-X global DEM tiles were provided by DLR under the research proposal DEM_GLAC0671 (c) DLR 2017. We thank ENVEO GmbH for providing the multi-annual ice velocity map.</t>
  </si>
  <si>
    <t>10.1016/j.rse.2019.111483</t>
  </si>
  <si>
    <t>WOS:000509819300006</t>
  </si>
  <si>
    <t>Raddatz, J; Titschack, J; Frank, N; Freiwald, A; Conforti, A; Osborne, A; Skornitzke, S; Stiller, W; Rueggeberg, A; Voigt, S; Albuquerque, ALS; Vertino, A; Schroeder-Ritzrau, A; Bahr, A</t>
  </si>
  <si>
    <t>Raddatz, J.; Titschack, J.; Frank, N.; Freiwald, A.; Conforti, A.; Osborne, A.; Skornitzke, S.; Stiller, W.; Rueggeberg, A.; Voigt, S.; Albuquerque, A. L. S.; Vertino, A.; Schroeder-Ritzrau, A.; Bahr, A.</t>
  </si>
  <si>
    <t>Solenosmilia variabilis-bearing cold-water coral mounds off Brazil</t>
  </si>
  <si>
    <t>CORAL REEFS</t>
  </si>
  <si>
    <t>Cold-water corals; South Atlantic; Th-230; U; Computed tomography</t>
  </si>
  <si>
    <t>DEEP-SEA CORALS; LOPHELIA-PERTUSA SCLERACTINIA; EASTERN NORTH-ATLANTIC; CARBONATE-MOUND; WESTERN BOUNDARY; ROCKALL TROUGH; PACIFIC-OCEAN; FUGLOY REEF; NE ATLANTIC; ICE-CORE</t>
  </si>
  <si>
    <t>Cold-water corals (CWC), dominantly Desmophyllum pertusum (previously Lophelia pertusa), and their mounds have been in the focus of marine research during the last two decades; however, little is known about the mound-forming capacity of other CWC species. Here, we present new Th-230/U age constraints of the relatively rarely studied framework-building CWC Solenosmilia variabilis from a mound structure off the Brazilian margin combined with computed tomography (CT) acquisition. Our results show that S. variabilis can also contribute to mound formation, but reveal coral-free intervals of hemipelagic sediment deposits, which is in contrast to most of the previously studied CWC mound structures. We demonstrate that S. variabilis only occurs in short episodes of &lt; 4 kyr characterized by a coral content of up to 31 vol%. In particular, it is possible to identify distinct clusters of enhanced aggradation rates (AR) between 54 and 80 cm ka(-1). The determined AR are close to the maximal growth rates of individual S. variabilis specimens, but are still up to one order of magnitude smaller than the AR of D. pertusum mounds. Periods of enhanced S. variabilis AR predominantly fall into glacial periods and glacial terminations that were characterized by a 60-90 m lower sea level. The formation of nearby D. pertusum mounds is also associated with the last glacial termination. We suggest that the short-term periods of coral growth and mound formation benefited from enhanced organic matter supply, either from the adjacent exposed shelf and coast and/or from enhanced sea-surface productivity. This organic matter became concentrated on a deeper water-mass boundary between South Atlantic Central Water and the Antarctic Intermediate Water and may have been distributed by a stronger hydrodynamic regime. Finally, periods of enhanced coral mound formation can also be linked to advection of nutrient-rich intermediate water masses that in turn might have (directly or indirectly) further facilitated coral growth and mound formation.</t>
  </si>
  <si>
    <t>[Raddatz, J.; Voigt, S.] Goethe Univ Frankfurt, Inst Geosci, Altenhoferallee 1, D-60438 Frankfurt, Germany; [Titschack, J.; Freiwald, A.] Univ Bremen, MARUM Ctr Marine Environm Sci, Leobener Str 8, D-28359 Bremen, Germany; [Titschack, J.; Freiwald, A.] Marine Res Dept, Sudstrand 40, D-26382 Wilhelmshaven, Germany; [Frank, N.; Schroeder-Ritzrau, A.] Heidelberg Univ, Inst Umweltphys, Neuenheimer Feld 229, D-69120 Heidelberg, Germany; [Conforti, A.] CNR, IAS, Ist Studio Impatti Antropici &amp; Sostenibilita Ambi, Loc Sa Mardini Torregran, Oristano, Italy; [Osborne, A.] GEOMAR Helmholtz Ctr Ocean Res, Wischhofstr 1-3, D-24148 Kiel, Germany; [Skornitzke, S.; Stiller, W.] Heidelberg Univ Hosp, DIR, Neuenheimer Feld 110, D-69120 Heidelberg, Germany; [Rueggeberg, A.] Univ Fribourg, Dept Geosci, Chemin Musee 6, CH-1700 Fribourg, Switzerland; [Albuquerque, A. L. S.] Univ Fed Fluminense, Programa Geociencias Geoquim, Niteroi, RJ, Brazil; [Vertino, A.] Univ Ghent, Dept Geol, Krijgslaan 281,S8, B-9000 Ghent, Belgium; [Vertino, A.] Univ Milano Bicocca, Dept Earth &amp; Environm Sci, Piazza Sci 4, I-20126 Milan, Italy; [Bahr, A.] Heidelberg Univ, Inst Geowissensch, Neuenheimer Feld 234-236, D-69120 Heidelberg, Germany</t>
  </si>
  <si>
    <t>Goethe University Frankfurt; University of Bremen; Ruprecht Karls University Heidelberg; Consiglio Nazionale delle Ricerche (CNR); Istituto per lo Studio degli Impatti Antropici Sostenibilita in Ambiente Marino (IAS-CNR); Helmholtz Association; GEOMAR Helmholtz Center for Ocean Research Kiel; Ruprecht Karls University Heidelberg; University of Fribourg; Universidade Federal Fluminense; Ghent University; University of Milano-Bicocca; Ruprecht Karls University Heidelberg</t>
  </si>
  <si>
    <t>Raddatz, J (corresponding author), Goethe Univ Frankfurt, Inst Geosci, Altenhoferallee 1, D-60438 Frankfurt, Germany.</t>
  </si>
  <si>
    <t>raddatz@em.uni-frankfurt.de</t>
  </si>
  <si>
    <t>conforti, alessandro/M-7295-2015; Rüggeberg, Andres/ABE-9057-2021; Frank, Norbert/D-6486-2016; Titschack, Jurgen/L-2095-2015; Albuquerque, Ana Luiza/C-5167-2013; Voigt, Silke/G-7270-2017</t>
  </si>
  <si>
    <t>conforti, alessandro/0000-0003-0758-4611; Rüggeberg, Andres/0000-0003-2393-0625; Titschack, Jurgen/0000-0001-9373-9688; Schroder-Ritzrau, Andrea/0000-0002-8900-2445; Albuquerque, Ana Luiza/0000-0003-1267-6190; Voigt, Silke/0000-0002-2560-5933; Raddatz, Jacek/0000-0002-5713-9682</t>
  </si>
  <si>
    <t>0722-4028</t>
  </si>
  <si>
    <t>1432-0975</t>
  </si>
  <si>
    <t>Coral Reefs</t>
  </si>
  <si>
    <t>10.1007/s00338-019-01882-w</t>
  </si>
  <si>
    <t>KJ3HH</t>
  </si>
  <si>
    <t>WOS:000511947300010</t>
  </si>
  <si>
    <t>Kozlovsky, AG; Kochkina, GA; Zhelifonova, VP; Antipova, TV; Ivanushkina, NE; Ozerskaya, SM</t>
  </si>
  <si>
    <t>Kozlovsky, A. G.; Kochkina, G. A.; Zhelifonova, V. P.; Antipova, T. V.; Ivanushkina, N. E.; Ozerskaya, S. M.</t>
  </si>
  <si>
    <t>Secondary metabolites of the genus Penicillium from undisturbed and anthropogenically altered Antarctic habitats</t>
  </si>
  <si>
    <t>FOLIA MICROBIOLOGICA</t>
  </si>
  <si>
    <t>FUNGI; PERMAFROST; COMPLEXES</t>
  </si>
  <si>
    <t>From undisturbed Antarctic habitats (permafrost sediments 30-150 thousand years of age, water of Radok Lake) and superficial deposits contaminated with petroleum products, we isolated 14 and 9 strains of Penicillium fungi, respectively. Comparison of the fungal complexes showed them to differ by species composition; only two species-P. palitans and P. solitum-were in the species lists of both groups. The identified secondary metabolites in the investigated strains belonged to diketopiperazine (group of roquefortines, rugulosuvin B), benzodiazepine (anacin, cyclopenins), quinoline alkaloids (viridicatins), clavine ergot alkaloids (alpha-cyclopiazonic acid, festuclavine, fumigaclavines), polycyclic indole alkaloids (communesin B, chaetoglobosin A), amino acid derivatives (N-acetyltryptamine, chrysogins, penicillin G), polyketides (citreoviridin A, mycophenolic acid), and terpenes (andrastins, phomenone). Strains isolated from anthropogenically altered habitats produced a more complete and characteristic profile of exometabolites, as compared with strains isolated from undisturbed habitats. It is only from contaminated soils there were isolated fungi that produced more structurally diverse secondary metabolites pertaining to polycyclic indole alkaloids and terpenoids. The fungi isolated from contaminated samples can be used in biodegradation of oil spills and bioremediation of the environment, and also as producers of promising biologically active compounds.</t>
  </si>
  <si>
    <t>[Kozlovsky, A. G.; Kochkina, G. A.; Zhelifonova, V. P.; Antipova, T. V.; Ivanushkina, N. E.; Ozerskaya, S. M.] Russian Acad Sci, GK Skryabin Inst Biochem &amp; Physiol Microorganisms, Prospekt Nauki 5, Pushchino 142290, Moscow Region, Russia</t>
  </si>
  <si>
    <t>Russian Academy of Sciences; Pushchino Scientific Center for Biological Research (PSCBI) of the Russian Academy of Sciences</t>
  </si>
  <si>
    <t>Kozlovsky, AG (corresponding author), Russian Acad Sci, GK Skryabin Inst Biochem &amp; Physiol Microorganisms, Prospekt Nauki 5, Pushchino 142290, Moscow Region, Russia.</t>
  </si>
  <si>
    <t>kozlovski@ibpm.pushchino.ru</t>
  </si>
  <si>
    <t>Nataliya, Ivanushkina/AAR-7639-2020; Ozerskaya, Svetlana/J-3821-2018; Antipova, Tatiana V/P-8218-2016; KOCHKINA, GALINA/AAR-7765-2020; Antipova, Tatiana/P-5686-2018</t>
  </si>
  <si>
    <t>Nataliya, Ivanushkina/0000-0001-6720-6626; Ozerskaya, Svetlana/0000-0002-0373-7521; KOCHKINA, GALINA/0000-0002-5893-7782; Antipova, Tatiana/0000-0002-4860-2647; Zhelifonova, Valentina/0000-0001-9213-9584</t>
  </si>
  <si>
    <t>Russian Foundation for Basic Research [15-29-02629-ofi_m, 16-04-01050-a]</t>
  </si>
  <si>
    <t>The authors thank B.P. Baskunov (G.K. Skryabin Institute of Biochemistry and Physiology of Microorganisms, RAS, Pushchino, Russia) for mass-spectral data. This work was supported by the Russian Foundation for Basic Research, Projects No. 15-29-02629-ofi_m and No. 16-04-01050-a.</t>
  </si>
  <si>
    <t>0015-5632</t>
  </si>
  <si>
    <t>1874-9356</t>
  </si>
  <si>
    <t>FOLIA MICROBIOL</t>
  </si>
  <si>
    <t>Folia Microbiol.</t>
  </si>
  <si>
    <t>10.1007/s12223-019-00708-0</t>
  </si>
  <si>
    <t>KJ2XJ</t>
  </si>
  <si>
    <t>WOS:000511921000008</t>
  </si>
  <si>
    <t>Qu, B; Gabric, AJ; Jiang, LM; Li, CY</t>
  </si>
  <si>
    <t>Qu, Bo; Gabric, Albert J.; Jiang, Limei; Li, Chunyue</t>
  </si>
  <si>
    <t>Comparison Between Early and Late 21stC Phytoplankton Biomass and Dimethylsulfide Flux in the Subantarctic Southern Ocean</t>
  </si>
  <si>
    <t>wind speed; phytoplankton; dimethylsulfide flux; climate change; subantarctic Southern Ocean</t>
  </si>
  <si>
    <t>SIMULATED CLIMATE-CHANGE; MODEL CALIBRATION; ATMOSPHERE; CHLOROPHYLL; SENSITIVITY; EVOLUTION; MARINE</t>
  </si>
  <si>
    <t>Time-series of chlorophyll-a (CHL), a proxy for phytoplankton biomass, and various satellite-derived climate indicators are compared in a region of the Subantarctic Southern Ocean (40 degrees-60 degrees S, 110 degrees-140 degrees E) for years 2012-2014. CHL reached a minimum in winter (June) and a maximum in late summer (early February). Zonal mean CHL decreased towards the south. Mean sea surface temperature (SST) ranged between 8celcius and 15celcius and peaked in late February. CHL and SST were positively correlated from March to June, negatively correlated from July to September. CHL and wind speed (WIND) were negatively correlated with peak WIND occurred in winter. Wind direction (WIRD) was mostly in the southwest to westerly direction. The Antarctic Oscillation index (AAO) and CHL were negatively correlated (R = -0.58), indicating that as synoptic wind systems move southwards, CHL increases, and conversely when wind systems move northwards, CHL decreases. A genetic algorithm is used to calibrate the biogeochemical DMS model's key parameters. Under 4 x CO2 (after year 2100) Regional mean SST increases 12%-17%, WIND increases 1.2 m s-1, Cloud Cover increases 4.8% and mixed layer depth (MLD) decreases 48m. The annual CHL increases 6.3%. The annual mean DMS flux increase 25.2%, increases 37% from day 1 to day 280 and decrease 3% from day 288 to day 360. The general increase of DMS flux under 4 x CO2 conditions indicates the Subantarctic regional climate would be affected by changes in the DMS flux, with the potential for a cooling effect in the austral summer and autumn.</t>
  </si>
  <si>
    <t>[Qu, Bo] Nantong Univ, Sch Sci, Nantong 226019, Peoples R China; [Gabric, Albert J.] Griffith Univ, Sch Environm &amp; Sci, Nathan, Qld 4111, Australia; [Jiang, Limei] Nantong Chong Chuan Sch, Nantong 226000, Peoples R China; [Li, Chunyue] Thermo Fisher Sci, Mkt, Shanghai 201206, Peoples R China</t>
  </si>
  <si>
    <t>Nantong University; Griffith University; Thermo Fisher Scientific</t>
  </si>
  <si>
    <t>Qu, B (corresponding author), Nantong Univ, Sch Sci, Nantong 226019, Peoples R China.</t>
  </si>
  <si>
    <t>qubo@ntu.edu.cn</t>
  </si>
  <si>
    <t>hu, xin/KHT-2406-2024; Gabric, Albert J/S-1551-2017</t>
  </si>
  <si>
    <t>1671-2463</t>
  </si>
  <si>
    <t>10.1007/s11802-020-4235-5</t>
  </si>
  <si>
    <t>KJ3NS</t>
  </si>
  <si>
    <t>WOS:000511965100015</t>
  </si>
  <si>
    <t>Chen, X; Wang, CL; Xu, JK; Wang, F; Jiang, YH; Chen, YX; Zhao, XY</t>
  </si>
  <si>
    <t>Chen Xin; Wang Chunlan; Xu Jiakun; Wang Fang; Jiang Yihui; Chen Yixuan; Zhao Xianyong</t>
  </si>
  <si>
    <t>Purification and Characterization of a Novel Lipase from Antarctic Krill</t>
  </si>
  <si>
    <t>Antarctic krill; lipase; isolation and purification; enzymology properties</t>
  </si>
  <si>
    <t>EUPHAUSIA-SUPERBA; DIGESTIVE LIPASE; BIOCHEMICAL-CHARACTERIZATION; DEGRADING ENZYMES; PROTEASES; SYSTEM</t>
  </si>
  <si>
    <t>Lipase from Antarctic krill, with a molecular weight of 71.27kDa, was purified with ammonium sulfate precipitation and a series of chromatographic separations over ion exchange (DEAE) and gel filtration columns (Sephacryl S-100), resulting in 5.2% recovery with a 22.4-fold purification ratio. The optimal pH and temperature for enzyme activity were 8.0 and 45 degrees C, respectively. Purified lipase had K-m and V-max values of 3.27 mmol L-1 and 2.4 Umg(-1), respectively, using p-nitrophenyl laurate as the substrate. Li-pase activity was enhanced by adding Ca2+ and Mg2+ ions in the concentration ranges of 0-0.5 mmol L-1 and 0-0.3mmol L-1, respectively, while the activity was inhibited by a further increase in these ion concentrations. Fe3+ and Cu2+ ions showed obvious inhibitory effects on enzyme activity, and the inhibition rates were 71.8% and 53.3% when the ion concentrations were 0.5 mmol L-1.</t>
  </si>
  <si>
    <t>[Chen Xin; Jiang Yihui] Shanghai Ocean Univ, Coll Food Sci &amp; Technol, Shanghai 201306, Peoples R China; [Chen Xin; Wang Chunlan; Xu Jiakun; Wang Fang; Jiang Yihui; Chen Yixuan; Zhao Xianyong] Chinese Acad Fishery Sci, Yellow Sea Fisheries Res Inst, Key Lab Sustainable Dev Polar Fishery, Minist Agr &amp; Rural Affairs PRC, Qingdao 266071, Peoples R China; [Xu Jiakun] Qingdao Natl Lab Marine Sci &amp; Technol, Lab Marine Drugs &amp; Bioprod, Qingdao 266237, Peoples R China; [Zhao Xianyong] Qingdao Natl Lab Marine Sci &amp; Technol, Lab Marine Fisheries Sci &amp; Food Prod Proc, Qingdao 266071, Peoples R China; [Chen Yixuan] Ocean Univ China, Coll Chem &amp; Chem Engn, Qingdao 266100, Peoples R China</t>
  </si>
  <si>
    <t>Shanghai Ocean University; Ministry of Agriculture &amp; Rural Affairs; Chinese Academy of Fishery Sciences; Yellow Sea Fisheries Research Institute, CAFS; Laoshan Laboratory; Laoshan Laboratory; Ocean University of China</t>
  </si>
  <si>
    <t>Xu, JK; Zhao, XY (corresponding author), Chinese Acad Fishery Sci, Yellow Sea Fisheries Res Inst, Key Lab Sustainable Dev Polar Fishery, Minist Agr &amp; Rural Affairs PRC, Qingdao 266071, Peoples R China.;Xu, JK (corresponding author), Qingdao Natl Lab Marine Sci &amp; Technol, Lab Marine Drugs &amp; Bioprod, Qingdao 266237, Peoples R China.;Zhao, XY (corresponding author), Qingdao Natl Lab Marine Sci &amp; Technol, Lab Marine Fisheries Sci &amp; Food Prod Proc, Qingdao 266071, Peoples R China.</t>
  </si>
  <si>
    <t>xujk@ysfri.ac.cn; zhaoxy@ysfri.ac.cn</t>
  </si>
  <si>
    <t>JIN, LIYING/JFB-1980-2023; wang, shuo/KCL-3379-2024; He, Chen/JLM-5059-2023; Liu, Shao/JFK-0166-2023</t>
  </si>
  <si>
    <t>10.1007/s11802-020-4174-1</t>
  </si>
  <si>
    <t>WOS:000511965100021</t>
  </si>
  <si>
    <t>Zhou, Q; Hattermann, T</t>
  </si>
  <si>
    <t>Zhou, Qin; Hattermann, Tore</t>
  </si>
  <si>
    <t>Modeling ice shelf cavities in the unstructured-grid, Finite Volume Community Ocean Model: Implementation and effects of resolving small-scale topography</t>
  </si>
  <si>
    <t>FVCOM ocean model; Ice shelf-ocean interaction; Small-scale basal features</t>
  </si>
  <si>
    <t>PINE ISLAND GLACIER; SEA-ICE; BASAL CHANNELS; MELT; VARIABILITY; CIRCULATION; SHELF/OCEAN; ANTARCTICA; STABILITY; BENEATH</t>
  </si>
  <si>
    <t>An ice shelf module is implemented into the unstructured-grid, three-dimensional primitive equation Finite Volume Community Ocean Model (FVCOM) for studying ice shelf-ocean interactions along the complex and irregular geometry of the coastal ocean. Pressure gradient errors associated with the representation of the ice shelf geometry in the model's terrain-following vertical coordinate are investigated, showing that locally increasing resolution efficiently reduces spurious currents near the steeply sloping grounding lines and ice fronts. Simulated basal melting and cavity circulation are compared within the framework of the on-going 2nd Ice Shelf Ocean Model Intercomparison project (ISOMIP+). Sensitivity studies are carried out, showing that the melt rate magnitude and distribution depends on properly resolving the slope at the ice base in combination with the choice of vertical mixing scheme. Idealized geometry simulations show that local effects of small-scale topographic features at the ice base may dominate the melt rate distribution and buoyancy fluxes that drive the circulation inside the ice shelf cavity.</t>
  </si>
  <si>
    <t>[Zhou, Qin; Hattermann, Tore] Akvaplan Niva AS, Hjalmar Johansens Gate 14, N-9007 Tromso, Norway; [Hattermann, Tore] Norwegian Polar Res Inst, Hjalmar Johansens Gate 14, N-9007 Tromso, Norway</t>
  </si>
  <si>
    <t>Akvaplan-niva; Norwegian Polar Institute</t>
  </si>
  <si>
    <t>Hattermann, T (corresponding author), Norwegian Polar Res Inst, Hjalmar Johansens Gate 14, N-9007 Tromso, Norway.</t>
  </si>
  <si>
    <t>tore.hattermann@npolar.no</t>
  </si>
  <si>
    <t>Norwegian Research Council [231549]</t>
  </si>
  <si>
    <t>Norwegian Research Council(Research Council of Norway)</t>
  </si>
  <si>
    <t>This work was funded by the Norwegian Research Council project 231549 (Inflow of Warm Deep Water on the Antarctic Continental Shelves). The authors would like to thank Dr. David E. Gwyther from Institute for Marine and Antarctic Studies, University of Tasmania for sharing the ROMSUTAS ISOMIP Ocean0 geometry and melt rate results. The authors would also like to thank three anonymous reviewers for helpful comments that greatly improved the manuscript.</t>
  </si>
  <si>
    <t>10.1016/j.ocemod.2019.101536</t>
  </si>
  <si>
    <t>KK8MN</t>
  </si>
  <si>
    <t>WOS:000512990600003</t>
  </si>
  <si>
    <t>Duran, ER; Phillips, HE; Furue, R; Spence, P; Bindoff, NL</t>
  </si>
  <si>
    <t>Duran, Earl R.; Phillips, Helen E.; Furue, Ryo; Spence, Paul; Bindoff, Nathaniel L.</t>
  </si>
  <si>
    <t>Southern Australia Current System based on a gridded hydrography and a high-resolution model</t>
  </si>
  <si>
    <t>Southern Australia Current System; Shelf break currents; Flinders Current; Transport budget</t>
  </si>
  <si>
    <t>LEEUWIN CURRENT SYSTEM; BOUNDARY CURRENT; INDIAN-OCEAN; SHELF CIRCULATION; STRATIFIED OCEAN; TASMAN LEAKAGE; WATER MASSES; WESTERN; EDDIES; BIGHT</t>
  </si>
  <si>
    <t>We quantify the annual-mean structure, transport budget and coupling between surface and deep currents along the southern Australian shelves, that we propose be collectively known as the Southern Australia Current System. The system contains eastward Shelf Break Currents (SBC) including the Leeuwin Current Extension, the South Australian Current and the Zeehan Current; and a counter-flowing westward Hinders Current (FC). In this work, we use a high resolution climatological hydrography and a high resolution ocean model forced by an atmospheric climatology. The westward FC is dual structured with (1) the slope-FC, an undercurrent to the SBC trapped near 600 m depth; and (2) the offshore-FC, a large deep-reaching flow located offshore of the SBC. Along the slanted shelf (not zonally oriented), onshore flows feeding into the FC are weak, and the FC is disconnected from the Tasman Leakage south of Tasmania. Along the zonal shelf, where nearly 80% of total onshore flows occur, the FC intensifies resulting in 12.3 Sv transport at Cape Leeuwin. The eastward SBC are continuous flows in the upper 250 m. Over steep slopes, downwelling occurs from the SBC into the slope-FC and may be important in maintaining the slope-FC. The Leeuwin Current Extension transport decreases from 1.1 Sv at Cape Leeuwin to 0.1 Sv near the Great Australian Bight due to strong downwelling and offshore exports around Cape Leeuwin. The South Australian Current is weak and steady, and the Zeehan Current increases to 0.4 Sv due to onshore flows stronger than downwelling exports. We find that the SBC and offshore-FC are coupled through onshore Ekman drift and the SBC and slope-FC are coupled through downwelling. The combined effect is a conversion of widespread northward Ekman drift into downwelling with little impact on the eastward SBC transport. In contrast, the onshore flows feeding into the FC are largely converted into increasing westward FC transport. Even though the Leeuwin Current System off western Australia is fed by geostrophic flows and the Southern Australia Current System is fed by Ekman drift, the annual-mean circulation of the two systems are remarkably similar. In summer, when the winds are upwelling favourable, the SBC are weaker and partly reversed (to westward). In autumn, the winds become downwelling favourable and the FC is weaker and partly reversed (to eastward). In contrast, the Leeuwin Current System persists annually. The balance mechanism maintaining the seasonal opposition between the SBC and FC warrants further research.</t>
  </si>
  <si>
    <t>[Duran, Earl R.; Spence, Paul] Univ New South Wales, Climate Change Res Ctr, Level 4 Mathews Bldg, Sydney, NSW 2052, Australia; [Phillips, Helen E.; Bindoff, Nathaniel L.] Inst Marine &amp; Antarctic Studies, Hobart, Tas, Australia; [Phillips, Helen E.; Spence, Paul; Bindoff, Nathaniel L.] ARC Ctr Excellence Climate Extremes CLEX, Canberra, ACT, Australia; [Furue, Ryo] Japan Agcy Marine Earth Sci &amp; Technol JAMSTEC, Yokohama, Kanagawa, Japan; [Bindoff, Nathaniel L.] CSIRO, Canberra, ACT, Australia; [Bindoff, Nathaniel L.] ACE CRC, Hobart, Tas, Australia</t>
  </si>
  <si>
    <t>University of New South Wales Sydney; University of Tasmania; Japan Agency for Marine-Earth Science &amp; Technology (JAMSTEC); Commonwealth Scientific &amp; Industrial Research Organisation (CSIRO); Antarctic Climate &amp; Ecosystems Cooperative Research Centre (ACE CRC)</t>
  </si>
  <si>
    <t>Duran, ER (corresponding author), Univ New South Wales, Climate Change Res Ctr, Level 4 Mathews Bldg, Sydney, NSW 2052, Australia.</t>
  </si>
  <si>
    <t>earl.r.duran@gmail.com</t>
  </si>
  <si>
    <t>Bindoff, Nathaniel Lee/C-8050-2011; Bindoff, Nathaniel Lee/IVV-0333-2023; Phillips, Helen/I-3761-2013; Spence, Paul/IZE-7366-2023</t>
  </si>
  <si>
    <t>Bindoff, Nathaniel Lee/0000-0001-5662-9519; Bindoff, Nathaniel Lee/0000-0001-5662-9519; Phillips, Helen/0000-0002-2941-7577; Spence, Paul/0000-0001-5156-2204</t>
  </si>
  <si>
    <t>Australian Research Council [DP130102088]; National Science Foundation [OCE-0961716]; Australian Research Council Centre of Excellence for Climate System Science; Australian Government's National Environmental Science Programme; Japan Society for the Promotion of Science through KAKENHI [16K05562]; ARC Centre of Excellence for Climate Systems Science; University of Tasmania; Australian Research Council (ARC) DECRA Fellowship [DE150100223]; Grants-in-Aid for Scientific Research [16K05562] Funding Source: KAKEN</t>
  </si>
  <si>
    <t>Australian Research Council(Australian Research Council); National Science Foundation(National Science Foundation (NSF)); Australian Research Council Centre of Excellence for Climate System Science(Australian Research Council); Australian Government's National Environmental Science Programme(Australian Government); Japan Society for the Promotion of Science through KAKENHI; ARC Centre of Excellence for Climate Systems Science(Australian Research Council); University of Tasmania; Australian Research Council (ARC) DECRA Fellowship(Australian Research Council); Grants-in-Aid for Scientific Research(Ministry of Education, Culture, Sports, Science and Technology, Japan (MEXT)Japan Society for the Promotion of ScienceGrants-in-Aid for Scientific Research (KAKENHI))</t>
  </si>
  <si>
    <t>This study was supported by the Australian Research Council Discovery Projects (DP130102088) and by the National Science Foundation through Grant OCE-0961716. We thank Jeff Dunn for updating the CARS Aus8 dataset (http://www.marine.csiro.au/atlas/). ERA-Interim data is publicaly available on https://www.ecmwf.int/en/forecasts/datasets/archive-datasets/reanalysis-datasets/era-interim. MOM01 data is publicaly available on http://cosima.org.au/index.php/models/access-om2-01-2/. ED thanks the Consortium for Ocean-Sea Ice Modelling in Australia (COSIMA, http://cosima.org.au) and the Australian National Computing Infrastructure for making the MOM01 run possible. This work benefited from discussions with Matthew England. ED was supported by the Australian Research Council Centre of Excellence for Climate System Science. HP and NB acknowledge funding from the Australian Government's National Environmental Science Programme. RF was partially supported by the Japan Society for the Promotion of Science through KAKENHI 16K05562. Funding from the ARC Centre of Excellence for Climate Systems Science and the University of Tasmania enabled RF to visit the lead author's institute. PS was supported by an Australian Research Council (ARC) DECRA Fellowship DE150100223.</t>
  </si>
  <si>
    <t>10.1016/j.pocean.2019.102254</t>
  </si>
  <si>
    <t>KK0ZZ</t>
  </si>
  <si>
    <t>WOS:000512481200015</t>
  </si>
  <si>
    <t>Lundesgaard, O; Winsor, P; Truffer, M; Merrifield, M; Powell, B; Statscewich, H; Eidam, E; Smith, CR</t>
  </si>
  <si>
    <t>Lundesgaard, Oyvind; Winsor, Peter; Truffer, Martin; Merrifield, Mark; Powell, Brian; Statscewich, Hank; Eidam, Emily; Smith, Craig R.</t>
  </si>
  <si>
    <t>Hydrography and energetics of a cold subpolar fjord: Andvord Bay, western Antarctic Peninsula</t>
  </si>
  <si>
    <t>Antarctic Peninsula; Physical oceanography; mUCDW; Glaciers; Fjords; Gerlache Strait; Andvord Bay</t>
  </si>
  <si>
    <t>KING-GEORGE-ISLAND; COASTAL-TRAPPED WAVES; BRANSFIELD STRAIT; CLIMATE-CHANGE; SUBGLACIAL DISCHARGE; SURFACE CURRENTS; MARGUERITE BAY; AUSTRAL SUMMER; MASS-BALANCE; ARCTIC FJORD</t>
  </si>
  <si>
    <t>Fjords along the western Antarctic Peninsula contain rich marine ecosystems and tidewater glaciers potentially sensitive to ocean change, but much is unknown about the physical oceanography of these fjords. This paper presents a comprehensive description of the physical environment of Andvord Bay, a glacial fjord located in the Gerlache Strait on the northern end of the Peninsula. Measurements were collected as part of the FjordEco program between November 2015 and March 2017, including during three research cruises and from a number of fixed installations (sub-surface moorings, time lapse cameras, and automatic weather stations). Andvord Bay is located just north of a sill in the Gerlache Strait. This sill inhibits the direct influence of warm Upper Circumpolar Deep Water from the shelf, and deep waters in the fjord are therefore relatively cold. As a result, glaciers in Andvord Bay are not subject to the substantial ocean-driven retreat observed farther south on the Peninsula. Instead, mass flux from the glaciers occurs mainly through calving. The influence of meltwater in Andvord Bay is small compared to glacial fjords in the Arctic and in the South Shetland Islands, although summer freshening is evident in the fjord near-surface layer, likely as a result of glacial inputs. The combination of surface freshening and the absence of strong mean wind forcing in the fjord results in salinity stratification extending well into the euphotic zone, providing advantageous conditions for phytoplankton blooms. Andvord Bay is generally dynamically quiet compared to the ambient ocean, with the exception of during local katabatic wind events. Exchange with the Gerlache Strait is weak, although the deep waters of the fjord are replenished on an annual scale through slow lateral exchange with the outside. In addition, deep convection may play a role in ventilating subsurface waters in winter.</t>
  </si>
  <si>
    <t>[Lundesgaard, Oyvind; Powell, Brian; Smith, Craig R.] Univ Hawaii Manoa, Honolulu, HI 96822 USA; [Winsor, Peter; Truffer, Martin; Statscewich, Hank] Univ Alaska, Fairbanks, AK 99701 USA; [Merrifield, Mark] Scripps Inst Oceanog, La Jolla, CA USA; [Eidam, Emily] Univ N Carolina, Chapel Hill, NC 27515 USA</t>
  </si>
  <si>
    <t>University of Hawaii System; University of Hawaii Manoa; University of Alaska System; University of Alaska Fairbanks; University of California System; University of California San Diego; Scripps Institution of Oceanography; University of North Carolina; University of North Carolina Chapel Hill</t>
  </si>
  <si>
    <t>Lundesgaard, O (corresponding author), Norwegian Polar Res Inst, Tromso, Norway.</t>
  </si>
  <si>
    <t>oyvind.lundesgaard@gmail.com</t>
  </si>
  <si>
    <t>Eidam, Emily/0000-0002-1906-8692; Foss, Oyvind/0000-0002-3410-8904</t>
  </si>
  <si>
    <t>National Science Foundation [OPP 1443680, OPP 1443733, OPP 1443705]; Rockland Scientific</t>
  </si>
  <si>
    <t>National Science Foundation(National Science Foundation (NSF)); Rockland Scientific</t>
  </si>
  <si>
    <t>This research was supported by the National Science Foundation under awards OPP 1443680 to C. Smith, B. Powell and M. Merrifield, OPP 1443733 to M. Vernet and OPP 1443705 to P. Winsor and M. Truffer. We thank USAP personnel, captains, crews, and project scientists on the Gould and Palmer, without whom this research would not have been possible. Glenn Carter kindly provided the microstructure profiler as well as assistance before and during the cruises. We are grateful to Rockland Scientific for invaluable instruction and support, and to David Sutherland, Maria Vernet and Lisa Hahn-Woernle for useful discussions during the work with this manuscript. We would also like to thank Bob Gilmore and Polar Latitudes cruise lines for kind logistical assistance during the second project cruise. Lastly, we thank two anonymous reviewers who provided comments which helped improve this manuscript.</t>
  </si>
  <si>
    <t>10.1016/j.pocean.2019.102224</t>
  </si>
  <si>
    <t>WOS:000512481200002</t>
  </si>
  <si>
    <t>Vaz, E; Penfound, E</t>
  </si>
  <si>
    <t>Vaz, Eric; Penfound, Elissa</t>
  </si>
  <si>
    <t>Mars Terraforming: A Geographic Information Systems Framework</t>
  </si>
  <si>
    <t>LIFE SCIENCES IN SPACE RESEARCH</t>
  </si>
  <si>
    <t>GIS; Mars; Spatial analysis; Terraforming; ecosystems</t>
  </si>
  <si>
    <t>SUITABILITY; GROWTH</t>
  </si>
  <si>
    <t>This study has developed a GIS framework that uses spatial environmental and climate data to better understand areas on Earth that share the most environmental similarities to Mars. The purpose of developing this framework is to determine which vegetation is most likely to survive in closed bioregenerative life support systems on Mars, using as many in-situ materials and environmental elements as possible. Using remotely sensed climate data, digital elevation models, and vegetation occurrence data sourced from the Global Biodiversity Information Facility, three Mars-like study areas on Earth were analysed (the Antarctic Peninsula, Ellesmere Island, and Devon Island). This study found that plants that are part of the Bryophyte and Tracheophyta phyla are worthy of further research in regard to possible vegetation candidates that could be brought to Mars. In addition, the most promising candidate of the entire study is the genus Poa, which is found in the phylum Tracheophyta.</t>
  </si>
  <si>
    <t>[Vaz, Eric] Ryerson Univ, Dept Geog &amp; Environm Studies, Toronto, ON, Canada; [Penfound, Elissa] Ryerson Univ, Yeates Sch Grad Studies, Toronto, ON, Canada</t>
  </si>
  <si>
    <t>Toronto Metropolitan University</t>
  </si>
  <si>
    <t>Vaz, E (corresponding author), Ryerson Univ, Dept Geog &amp; Environm Studies, Toronto, ON, Canada.</t>
  </si>
  <si>
    <t>evaz@ryerson.ca; elissa.penfound@ryerson.ca</t>
  </si>
  <si>
    <t>Penfound, Elissa/0000-0003-3419-6606</t>
  </si>
  <si>
    <t>2214-5524</t>
  </si>
  <si>
    <t>2214-5532</t>
  </si>
  <si>
    <t>LIFE SCI SPACE RES</t>
  </si>
  <si>
    <t>Life Sci. Space Res.</t>
  </si>
  <si>
    <t>10.1016/j.lssr.2019.12.001</t>
  </si>
  <si>
    <t>Astronomy &amp; Astrophysics; Biology; Multidisciplinary Sciences</t>
  </si>
  <si>
    <t>Astronomy &amp; Astrophysics; Life Sciences &amp; Biomedicine - Other Topics; Science &amp; Technology - Other Topics</t>
  </si>
  <si>
    <t>KF9LQ</t>
  </si>
  <si>
    <t>WOS:000509563100007</t>
  </si>
  <si>
    <t>Hakim, GJ; Bumbaco, KA; Tardif, R; Powers, JG</t>
  </si>
  <si>
    <t>Hakim, Gregory J.; Bumbaco, Karin A.; Tardif, Robert; Powers, Jordan G.</t>
  </si>
  <si>
    <t>Optimal Network Design Applied to Monitoring and Forecasting Surface Temperature in Antarctica</t>
  </si>
  <si>
    <t>MONTHLY WEATHER REVIEW</t>
  </si>
  <si>
    <t>Antarctica; Surface observations; Data assimilation</t>
  </si>
  <si>
    <t>TRANSFORM KALMAN-FILTER; DATA ASSIMILATION; OBSERVATIONAL NETWORK; ADJOINT-SENSITIVITY; IMPACT; SYSTEM; GLACIER</t>
  </si>
  <si>
    <t>As harsh weather conditions in Antarctica make it difficult to support a dense weather observing network there, it is critical to place new weather stations in locations that are optimal for a given monitoring goal. Here we demonstrate a network design algorithm that uses ensemble sensitivity to identify optimal locations for new automatic weather stations in Antarctica. We define the optimal location as one that maximizes the reduction in total variance of a given spatial field. Using WRF Model forecast output from the Antarctic Mesoscale Prediction System (AMPS), we identify the best locations for observations across the continent by considering two spatial fields: (i) the daily 0000 UTC 2-m temperature analysis field and (ii) the daily 0000 UTC 2-m air temperature 24-h forecast field. We explore the impact of spatial localization on the results, finding that a covariance length scale of 3000 km is appropriate for these metrics. We find optimal locations assuming that no stations exist on the continent (blank slate) and conditional on existing stations (CD90). In the blank slate scenario, the Megadunes region emerges as the most important location to both monitor temperature and reduce temperature forecast errors, with the Ronne Coast and the Siple Coast following. Results for the monitoring and forecasting metrics are similar for the CD90 subset as well, indicating that additional stations could benefit multiple performance goals. Considering the CD90 subset, Wilkes Land-Adelie Coast, Ellsworth Land, and Queen Maud Land-Interior are identified as regions to consider installing new stations for optimizing network performance.</t>
  </si>
  <si>
    <t>[Hakim, Gregory J.; Tardif, Robert] Univ Washington, Dept Atmospher Sci, Seattle, WA 98195 USA; [Bumbaco, Karin A.] Univ Washington, Joint Inst Study Atmosphere &amp; Ocean, Seattle, WA 98195 USA; [Powers, Jordan G.] Natl Ctr Atmospher Res, POB 3000, Boulder, CO 80307 USA</t>
  </si>
  <si>
    <t>University of Washington; University of Washington Seattle; University of Washington; University of Washington Seattle; National Center Atmospheric Research (NCAR) - USA</t>
  </si>
  <si>
    <t>Hakim, GJ (corresponding author), Univ Washington, Dept Atmospher Sci, Seattle, WA 98195 USA.</t>
  </si>
  <si>
    <t>ghakim@uw.edu</t>
  </si>
  <si>
    <t>Hakim, Gregory/0000-0001-8486-9739</t>
  </si>
  <si>
    <t>National Science Foundation [PLR-1542766]</t>
  </si>
  <si>
    <t>We are grateful for the constructive feedback of three anonymous reviewers, which improved the clarity of the paper. Three anonymous reviewers provided valuable feedback on a previous version of this paper, and Natalia Hryniw contributed to the calculations for the previous version. We thank Kevin Manning (NCAR) for providing access to the AMPS gridded data and observations over the period studied here, and Guillaume Mauger (UW) for sharing software related to network design. This research was supported by the National Science Foundation through Grant PLR-1542766 made to the University of Washington.</t>
  </si>
  <si>
    <t>0027-0644</t>
  </si>
  <si>
    <t>1520-0493</t>
  </si>
  <si>
    <t>MON WEATHER REV</t>
  </si>
  <si>
    <t>Mon. Weather Rev.</t>
  </si>
  <si>
    <t>10.1175/MWR-D-19-0103.1</t>
  </si>
  <si>
    <t>KJ3DS</t>
  </si>
  <si>
    <t>WOS:000511937800002</t>
  </si>
  <si>
    <t>Huston, DC; Cribb, TH; Smales, LR</t>
  </si>
  <si>
    <t>Huston, Daniel C.; Cribb, Thomas H.; Smales, Lesley R.</t>
  </si>
  <si>
    <t>Molecular characterisation of acanthocephalans from Australian marine teleosts: proposal of a new family, synonymy of another and transfer of taxa between orders</t>
  </si>
  <si>
    <t>SYSTEMATIC PARASITOLOGY</t>
  </si>
  <si>
    <t>N.-SP ACANTHOCEPHALA; PHYLOGENETIC-RELATIONSHIPS; POMPHORHYNCHUS MONTICELLI; SYSTEMATIC POSITION; GENUS; POLYMORPHIDAE; NUCLEAR; NEOECHINORHYNCHIDAE; SEQUENCES; FISHES</t>
  </si>
  <si>
    <t>We provide molecular data (cox1, 18S rDNA and 28S rDNA) for 17 acanthocephalan species and 20 host-parasite combinations from Australian marine teleosts collected from off Queensland, Australia. Fourteen of these acanthocephalans are characterised with molecular data for the first time and we provide the first molecular data for a species of each of the genera Heterosentis Van Cleave, 1931, Pyriproboscis Amin, Abdullah &amp; Mhaisen, 2003 and Sclerocollum Schmidt &amp; Paperna, 1978. Using 18S and 28S rDNA sequences, the phylogenetic position of each newly sequenced species is assessed with both single-gene and concatenated 18S+28S maximum likelihood and Bayesian inference analyses. Additional phylogenetic analyses focusing on the genus Rhadinorhynchus Luhe, 1912 and related lineages are included. Our phylogenetic results are broadly consistent with previous analyses, recovering previously identified inconsistencies but also providing new insights and necessitating taxonomic action. We do not find sufficient evidence to recognise the Gymnorhadinorhynchidae Braicovich, Lanfranchi, Farber, Marvaldi, Luque &amp; Timi, 2014 as distinct from the Rhadinorhynchidae Luhe, 1912. The family Gymnorhadinorhynchidae and its sole genus, Gymnorhadinorhynchus Braicovich, Lanfranchi, Farber, Marvaldi, Luque &amp; Timi, 2014, are here recognised as junior synonyms of Rhadinorhynchidae and Rhadinorhynchus, respectively. The two species currently assigned to Gymnorhadinorhynchus are recombined as Rhadinorhynchus decapteri (Braicovich, Lanfranchi, Farber, Marvaldi, Luque &amp; Timi, 2014) n. comb. and Rhadinorhynchus mariserpentis (Steinauer, Garcia-Vedrenne, Weinstein &amp; Kuris, 2019) n. comb. In all of our analyses, Rhadinorhynchus biformis Smales, 2014 is found basal to the Rhadinorhynchidae + Transvenidae Pichelin &amp; Cribb, 2001, thus resulting in a paraphyletic Rhadinorhynchidae. It appears that R. biformis may require a new genus and family; however, morphological data for this species are currently insufficient to adequately distinguish it from related lineages, thus we defer the proposal of any new higher-rank names for this species. Species of the genus Sclerocollum, currently assigned to the Cavisomidae Meyer, 1932, are found nested within the family Transvenidae. We transfer the genus Sclerocollum to the Transvenidae and amend the diagnosis of the family accordingly. The genera Gorgorhynchoides Cable &amp; Linderoth, 1963 and Serrasentis Van Cleave, 1923, currently assigned to the Rhadinorhynchidae, are supported as sister taxa and form a clade in the Polymorphida. We transfer these genera and Golvanorhynchus Noronha, Fabio &amp; Pinto, 1978 to an emended concept of the Isthomosacanthidae Smales, 2012 and transfer this family to the Polymorphida. Lastly, Pyriproboscis heronensis (Pichelin, 1997) Amin, Abdullah &amp; Mhaisen, 2003, currently assigned to the Pomphorhynchidae Yamaguti, 1939, falls under the Polymorphida in our analyses with some support for a sister relationship with the Centrorhynchidae Van Cleave, 1916. As this species clearly does not belong in the Pomphorhynchidae and is morphologically and molecularly distinct from the lineages of the Polymorphida, we propose the Pyriprobosicidae n. fam. to accommodate it.</t>
  </si>
  <si>
    <t>[Huston, Daniel C.] Univ Tasmania, Inst Marine &amp; Antarctic Studies, Hobart, Tas 7001, Australia; [Cribb, Thomas H.] Univ Queensland, Sch Biol Sci, St Lucia, Qld 4072, Australia; [Smales, Lesley R.] South Australian Museum, Parasitol Sect, Adelaide, SA 5000, Australia</t>
  </si>
  <si>
    <t>University of Tasmania; University of Queensland; South Australian Museum</t>
  </si>
  <si>
    <t>Huston, DC (corresponding author), Univ Tasmania, Inst Marine &amp; Antarctic Studies, Hobart, Tas 7001, Australia.</t>
  </si>
  <si>
    <t>Daniel.Huston@uqconnect.edu.au</t>
  </si>
  <si>
    <t>Cribb, Thomas/0000-0003-1092-9705; Huston, Daniel Colgan/0000-0002-1015-4703; Smales, Lesley/0000-0002-1587-8129</t>
  </si>
  <si>
    <t>0165-5752</t>
  </si>
  <si>
    <t>1573-5192</t>
  </si>
  <si>
    <t>SYST PARASITOL</t>
  </si>
  <si>
    <t>Syst. Parasitol.</t>
  </si>
  <si>
    <t>10.1007/s11230-019-09896-2</t>
  </si>
  <si>
    <t>Parasitology</t>
  </si>
  <si>
    <t>KI9YT</t>
  </si>
  <si>
    <t>WOS:000511715500001</t>
  </si>
  <si>
    <t>Caron, L; Ivins, ER</t>
  </si>
  <si>
    <t>Caron, Lambert; Ivins, Erik R.</t>
  </si>
  <si>
    <t>A baseline Antarctic GIA correction for space gravimetry</t>
  </si>
  <si>
    <t>glacial isostatic adjustment; Antarctic mass trend; space gravimetry; Bayesian statistics; sea level; GRACE corrections</t>
  </si>
  <si>
    <t>GLACIAL ISOSTATIC-ADJUSTMENT; ICE-SHEET; SEA-LEVEL; MASS-BALANCE; GRACE; MODEL; VISCOSITY; RATES; ACCUMULATION; DEGLACIATION</t>
  </si>
  <si>
    <t>Within the past decade, newly collected GPS data and geochronological constraints have resulted in refinement of glacial isostatic adjustment (GIA) models for Antarctica. These are critical to estimating and understanding ice mass changes at present-day. A correction needs to be made when using space gravity for ice mass balance assessments due to the fact that any vertical movements of the solid Earth masquerade as changes in ice mass, and these must be carefully removed. The main upshot of the new Antarctic GIA models is a downward revision of negative ice mass trends deduced from the Gravity Recovery and Climate Experiment (GRACE), resulting from a reduced GIA correction. This revision places GRACE inferred trend in mass balance within the one sigma uncertainty of mass balance deduced by altimetry. Because uncertainties in Holocene ice history and the low viscosity rheology beneath the West Antarctic Ice Sheet (WAIS) continue to vex further improvement in predictions of present-day GIA gravity rate, more emphasis has been given to regional-scale GIA models. Here we use a Bayesian method to explore the gravimetric GIA trend over Antarctica, both with and without the impact of a late Pleistocene Antarctic ice loads, along with the contribution of oceanic loads. We call this model without loads associated with Antarctica a baseline for regional GIA models to build upon. We consider variations of the radial mantle viscosity profile and the volume of continental-scale ice sheets during the last glacial cycle. The modeled baseline GIA is mainly controlled by the lower mantle viscosity and continental levering caused by ocean loading. We find that the predicted baseline GIA correction weakly depends on the ice history. This correction averages to +28.4 [16.5-41.9, 95% confidence] Gt/yr, of which +23.6 +/- 5.3 are contributed by East Antarctica. In contrast, with late-Pleistocene Antarctic-proximal ice included, the total modeled mass trend due to GIA is +73.7 [30.1-114.7] Gt/yr. A baseline GIA correction of 28.4 Gt/yr is of order 50% of the mean net mass trend measured during the period 1992-2017. The statistical analysis provides tools for properly synthesizing any regional Antarctic GIA model with a selfconsistent far-field component. This may prove important for accounting for both global and regional 3-D variations in Mantle viscosity. (C) 2019 Published by Elsevier B.V.</t>
  </si>
  <si>
    <t>[Caron, Lambert; Ivins, Erik R.] CALTECH, Jet Prop Lab, Pasadena, CA 91125 USA</t>
  </si>
  <si>
    <t>California Institute of Technology; National Aeronautics &amp; Space Administration (NASA); NASA Jet Propulsion Laboratory (JPL)</t>
  </si>
  <si>
    <t>Caron, L (corresponding author), CALTECH, Jet Prop Lab, Pasadena, CA 91125 USA.</t>
  </si>
  <si>
    <t>lambert.caron@jpl.nasa.gov</t>
  </si>
  <si>
    <t>Ivins, Erik R/C-2416-2011; Caron, Lambert/AAO-9863-2021</t>
  </si>
  <si>
    <t>Ivins, Erik/0000-0003-0148-357X</t>
  </si>
  <si>
    <t>NASA Post-doctoral Program [967701.02. 03.01.81]; ROSES funds for the GRACE Science Team [967701.02. 03.01.81]; Cryosphere Program [967701.02.03.01.30]; NASA Sea-level Change Team [509496.02.08.10.65, 16-SLCT16-0015]; Earth Surface and Interior Focus Areas [281945.02.47.03.86]</t>
  </si>
  <si>
    <t>NASA Post-doctoral Program(National Aeronautics &amp; Space Administration (NASA)); ROSES funds for the GRACE Science Team; Cryosphere Program; NASA Sea-level Change Team; Earth Surface and Interior Focus Areas</t>
  </si>
  <si>
    <t>This research was carried out at the Jet Propulsion Laboratory (JPL), California Institute of Technology, under a contract with the National Aeronautics and Space Administration (NASA). We thank one anonymous reviewer for their insightful suggestions and comments. We thank sponsors: the NASA Post-doctoral Program and ROSES funds for the GRACE Science Team (grant #967701.02. 03.01.81), Cryosphere Program (grant #967701.02.03.01.30), NASA Sea-level Change Team (grants #509496.02.08.10.65 and 16-SLCT16-0015; 2018-2020) and Earth Surface and Interior Focus Areas (grant #281945.02.47.03.86). Spherical harmonic computations were performed using SHTOOLS (Wieczorek et al., 2016). We thank Kurt Lambeck and Anthony Purcell for providing the ANU model and part of our RSL compilation. Statistics on present-day Antarctic GIA gravity rates derived from this study are available at https://vesl.jp1.nasa.govisolid-earthigia.</t>
  </si>
  <si>
    <t>10.1016/j.epsl.2019.115957</t>
  </si>
  <si>
    <t>KH9CQ</t>
  </si>
  <si>
    <t>WOS:000510947100016</t>
  </si>
  <si>
    <t>Day, JMD; van Kooten, EMME; Hofmann, BA; Moynier, F</t>
  </si>
  <si>
    <t>Day, James M. D.; van Kooten, Elishevah M. M. E.; Hofmann, Beda A.; Moynier, Frederic</t>
  </si>
  <si>
    <t>Mare basalt meteorites, magnesian-suite rocks and KREEP reveal loss of zinc during and after lunar formation</t>
  </si>
  <si>
    <t>zinc; Moon; magnesian-suite; KREEP; mare basalts; evaporation</t>
  </si>
  <si>
    <t>ISOTOPE FRACTIONATION; CHEMICAL-MODEL; VOLATILE LOSS; EARLY HISTORY; MOON; ORIGIN; EARTH; ZN; ABUNDANCES; MANTLE</t>
  </si>
  <si>
    <t>Isotopic compositions of reservoirs in the Moon can be constrained from analysis of rocks generated during lunar magmatic differentiation. Mare basalts sample the largest lunar mantle volume, from olivine- and pyroxene-rich cumulates, whereas ferroan anorthosites and magnesian-suite rocks represent early crustal materials. Incompatible element enriched rocks, known as 'KREEP,' probably preserve evidence for the last highly differentiated melts. Here we show that mare basalts, including Apollo samples and meteorites, have remarkably consistent delta Zn-66 values (+1.4 +/- 0.2 parts per thousand) and Zn abundances (1.5 +/- 0.4 ppm). Analyses of magnesian-suite rocks show them to be characterized by even heavier delta Zn-66 values (2.5 to 9.3 parts per thousand) and low Zn concentrations. KREEP-rich impact melt breccia Sayh al Uhaymir 169 has a nearly identical Zn composition to mare basalts (delta Zn-66 =1.3 parts per thousand) and a low Zn abundance (0.5 ppm). Much of this variation can be explained through progressive depletion of Zn and preferential loss of the light isotopes in response to evaporative fractionation processes during a lunar magma ocean. Samples with isotopically light Zn can be explained by either direct condensation or mixing and contamination processes at the lunar surface. The delta Zn-66 of Sayh al Uhaymir 169 is probably compromised by mixing processes of KREEP with mafic components. Correlations of Zn with Cl isotopes suggest that the urKREEP reservoir should be isotopically heavy with respect to Zn, like magnesian-suite rocks. Current models to explain how and when Zn and other volatile elements were lost from the Moon include nebular processes, prior to lunar formation, and planetary processes, either during giant impact, or magmatic differentiation. Our results provide unambiguous evidence for the latter process. Notwithstanding, with the currently available volatile stable isotope datasets, it is difficult to discount if the Moon lost its volatiles relative to Earth either during giant impact or exclusively from later magmatic differentiation. If the Moon did begin initially volatile-depleted, then the mare basalt delta Zn-66 value likely preserves the signature, and the Moon lost 96% of its Zn inventory relative to Earth and was also characterized by isotopically heavy Cl (delta Cl-37 = &gt;= 8 parts per thousand). Alternative loss mechanisms, including erosive impact removing a steam atmosphere need to be examined in detail, but nebular processes of volatile loss do not appear necessary to explain lunar and terrestrial volatile inventories. (C) 2019 Elsevier B.V. All rights reserved.</t>
  </si>
  <si>
    <t>[Day, James M. D.] Univ Calif San Diego, Scripps Inst Oceanog, La Jolla, CA 92093 USA; [Day, James M. D.; van Kooten, Elishevah M. M. E.; Moynier, Frederic] Univ Paris, CNRS, Inst Phys Globe Paris, UMR 7154, Paris, France; [Hofmann, Beda A.] Nat Hist Museum Bern, Bernastr 15, CH-3005 Bern, Switzerland</t>
  </si>
  <si>
    <t>University of California System; University of California San Diego; Scripps Institution of Oceanography; Universite Paris Cite; Centre National de la Recherche Scientifique (CNRS); CNRS - National Institute for Earth Sciences &amp; Astronomy (INSU)</t>
  </si>
  <si>
    <t>Day, JMD (corresponding author), Univ Calif San Diego, Scripps Inst Oceanog, La Jolla, CA 92093 USA.</t>
  </si>
  <si>
    <t>jmdday@ucsd.edu</t>
  </si>
  <si>
    <t>Moynier, Frederic/AFL-9257-2022; Moynier, Frederic/AAH-1235-2022; Day, James/A-5099-2010</t>
  </si>
  <si>
    <t>Moynier, Frederic/0000-0003-4321-5581; Moynier, Frederic/0000-0003-4321-5581; Day, James/0000-0001-9520-3465; van Kooten, Elishevah/0000-0003-3333-4421</t>
  </si>
  <si>
    <t>NSF; NASA; Public Authority for Mining, Sultanate of Oman; Swiss National Science Foundation; NASA Emerging Worlds program [NNX15AL74G]; European Research Council under the H2020 framework program/ERC grant [637503]; UnivEarthS Labex program at Sorbonne Paris Cite [ANR-10-LABX-0023, ANR-11-IDEX-0005-02]; ANR through a chaire d'excellence Sorbonne Paris Cite; European Union's Horizon 2020 research and innovation programme under the Marie Sklodowska-Curie Grant [786081]; Marie Curie Actions (MSCA) [786081] Funding Source: Marie Curie Actions (MSCA)</t>
  </si>
  <si>
    <t>NSF(National Science Foundation (NSF)); NASA(National Aeronautics &amp; Space Administration (NASA)); Public Authority for Mining, Sultanate of Oman; Swiss National Science Foundation(Swiss National Science Foundation (SNSF)); NASA Emerging Worlds program; European Research Council under the H2020 framework program/ERC grant(European Research Council (ERC)); UnivEarthS Labex program at Sorbonne Paris Cite; ANR through a chaire d'excellence Sorbonne Paris Cite(Agence Nationale de la Recherche (ANR)); European Union's Horizon 2020 research and innovation programme under the Marie Sklodowska-Curie Grant(Marie Curie Actions); Marie Curie Actions (MSCA)(Marie Curie Actions)</t>
  </si>
  <si>
    <t>Constructive and helpful reviews by J. Barnes and an anonymous are gratefully acknowledged. We thank the lunar subcommittee of NASA CAPTEM, and the Meteorite Working Group for provision of Apollo and Antarctic meteorites, respectively.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SaU 169 was recovered during a joint Omani -Swiss search campaign supported by the Public Authority for Mining, Sultanate of Oman, and the Swiss National Science Foundation. This work was supported by the NASA Emerging Worlds program (NNX15AL74G) and an IPGP Visiting Professor position to JD. FM acknowledges funding from the European Research Council under the H2020 framework program/ERC grant agreement #637503 (Pristine), as well as financial support of the UnivEarthS Labex program at Sorbonne Paris Cite (ANR-10-LABX-0023 and ANR-11-IDEX-0005-02), and the ANR through a chaire d'excellence Sorbonne Paris Cite. EK acknowledges funding from the European Union's Horizon 2020 research and innovation programme under the Marie Sklodowska-Curie Grant Agreement No. 786081.</t>
  </si>
  <si>
    <t>10.1016/j.epsl.2019.115998</t>
  </si>
  <si>
    <t>WOS:000510947100046</t>
  </si>
  <si>
    <t>Dow, CF; McCormack, FS; Young, DA; Greenbaum, JS; Roberts, JL; Blankenship, DD</t>
  </si>
  <si>
    <t>Dow, C. F.; McCormack, F. S.; Young, D. A.; Greenbaum, J. S.; Roberts, J. L.; Blankenship, D. D.</t>
  </si>
  <si>
    <t>Totten Glacier subglacial hydrology determined from geophysics and modeling</t>
  </si>
  <si>
    <t>glacier hydrology; ice dynamics; East Antarctica; Totten Glacier</t>
  </si>
  <si>
    <t>ANTARCTIC ICE-SHEET; THWAITES GLACIER; GREENLAND; SURFACE; HEAT; MELT; BED; DYNAMICS; DRAINAGE; SYSTEM</t>
  </si>
  <si>
    <t>Aurora Subglacial Basin (ASB), which feeds Totten Glacier, is a marine basin lying below sea level and contains up to 3.5 m of global sea level equivalent. Rates of future sea level rise from this area are primarily dependent on the stability of Totten Ice Shelf and the controls on ice flow dynamics upstream of the grounding line, both of which may be influenced by subglacial hydrology. We apply the GIaDS subglacial hydrology model to ASB to examine whether the spatial patterns of distributed and efficient drainage systems impact the dynamics of Totten Glacier. We determine the most appropriate model configuration from our series of sensitivity tests by comparing the modeled basal water pressure and water depth results with specularity content data. Those data are derived from ICECAP radar surveys over the same region and represent regions of basal water accumulation. The best match between simulated basal hydrology properties and specularity content shows a strong correspondence in regions of distributed water in the ASB troughs for both water depth and water pressure, but weak correspondence between water depth and specularity content near the grounding line. This may be due to the presence of several large channels draining over the grounding line into the head of Totten Ice Shelf, which are likely not as well represented in the specularity content data as distributed systems. These channels may have a significant impact on melt, and therefore the stability, of Totten Ice Shelf. Within ASB, regions of high water pressure and greater water accumulation correspond well with regions of faster ice flow, suggesting some control a basal hydrology on ice dynamics in this region. (C) 2019 Elsevier B.V. All rights reserved.</t>
  </si>
  <si>
    <t>[Dow, C. F.] Univ Waterloo, Dept Geog &amp; Environm Management, Waterloo, ON, Canada; [McCormack, F. S.] Univ Tasmania, Inst Marine &amp; Antarctic Studies, Hobart, Tas, Australia; [Young, D. A.; Greenbaum, J. S.; Blankenship, D. D.] Univ Texas Austin, Jackson Sch Geosci, Inst Geophys, Austin, TX USA; [Roberts, J. L.] Australian Antarctic Div, Kingston, Tas, Australia; [Roberts, J. L.] Univ Tasmania, Antarctic Climate &amp; Ecosyst Cooperat Res Ctr, Hobart, Tas, Australia</t>
  </si>
  <si>
    <t>University of Waterloo; University of Tasmania; University of Texas System; University of Texas Austin; Australian Antarctic Division; University of Tasmania; Antarctic Climate &amp; Ecosystems Cooperative Research Centre (ACE CRC)</t>
  </si>
  <si>
    <t>Dow, CF (corresponding author), Univ Waterloo, Dept Geog &amp; Environm Management, Waterloo, ON, Canada.</t>
  </si>
  <si>
    <t>christine.dow@uwaterloo.ca</t>
  </si>
  <si>
    <t>Young, Duncan A./G-6256-2010; Roberts, Jason L/B-2235-2012; Blankenship, Donald D./G-5935-2010; McCormack, Felicity/B-9218-2015</t>
  </si>
  <si>
    <t>Roberts, Jason L/0000-0002-3477-4069; Dow, Christine/0000-0003-1346-2258; McCormack, Felicity/0000-0002-2324-2120</t>
  </si>
  <si>
    <t>Scientific Committee on Antarctic Research (SCAR) Fellowship; Natural Sciences and Engineering Research Council of Canada [NSERC RGPIN-03761-2017]; Canada Research Chairs Program [CRC 950-231237]; Australian Research Council Special Research Initiative for Antarctic Gateway Partnership [SR140300001]; Australian Antarctic Division projects [3103, 4077, 4287, 4346]; NASA [NNX09AR52G]; Natural Environment Research Council (NERC) [NE/F016646/1]; NERC fellowship [NE/G012733/2]; Jackson School of Geoscience; Jet Propulsion Laboratory; G. Unger Vetlesen Foundation; Australian Government's Cooperative Research Centres Programme through the Antarctic Climate &amp; Ecosystems Cooperative Research Centre; NASA [NNX09AR52G, 106520] Funding Source: Federal RePORTER; NERC [NE/G012733/2, NE/F016646/1] Funding Source: UKRI</t>
  </si>
  <si>
    <t>Scientific Committee on Antarctic Research (SCAR) Fellowship; Natural Sciences and Engineering Research Council of Canada(Natural Sciences and Engineering Research Council of Canada (NSERC)CGIAR); Canada Research Chairs Program(Canada Research Chairs); Australian Research Council Special Research Initiative for Antarctic Gateway Partnership(Australian Research Council); Australian Antarctic Division projects; NASA(National Aeronautics &amp; Space Administration (NASA)); Natural Environment Research Council (NERC)(UK Research &amp; Innovation (UKRI)Natural Environment Research Council (NERC)); NERC fellowship(UK Research &amp; Innovation (UKRI)Natural Environment Research Council (NERC)); Jackson School of Geoscience; Jet Propulsion Laboratory; G. Unger Vetlesen Foundation; Australian Government's Cooperative Research Centres Programme through the Antarctic Climate &amp; Ecosystems Cooperative Research Centre(Australian GovernmentDepartment of Industry, Innovation and ScienceCooperative Research Centres (CRC) Programme); NASA(National Aeronautics &amp; Space Administration (NASA)); NERC(UK Research &amp; Innovation (UKRI)Natural Environment Research Council (NERC))</t>
  </si>
  <si>
    <t>CD was supported by a Scientific Committee on Antarctic Research (SCAR) Fellowship, the Natural Sciences and Engineering Research Council of Canada (NSERC RGPIN-03761-2017) and the Canada Research Chairs Program (CRC 950-231237). This research was supported under Australian Research Council Special Research Initiative for Antarctic Gateway Partnership (Project ID SR140300001) and by Australian Antarctic Division projects 3103, 4077, 4287 and 4346, NASA grant NNX09AR52G (Operation Ice Bridge), Natural Environment Research Council (NERC) grant NE/F016646/1, NERC fellowship NE/G012733/2, the Jackson School of Geoscience, the Jet Propulsion Laboratory and the G. Unger Vetlesen Foundation. This research was also supported by the Australian Government's Cooperative Research Centres Programme through the Antarctic Climate &amp; Ecosystems Cooperative Research Centre. This is UTIG contribution No. 3526. Model inputs, outputs and specularity content data are available in Zenodo data repository (https://cloi.org/10.5281/zenodo.3525474).We thank three anonymous reviewers for their helpful comments.</t>
  </si>
  <si>
    <t>10.1016/j.epsl.2019.115961</t>
  </si>
  <si>
    <t>WOS:000510947100019</t>
  </si>
  <si>
    <t>Kirkland, CL; Barham, M; Danisík, M</t>
  </si>
  <si>
    <t>Kirkland, Christopher L.; Barham, Milo; Danisik, Martin</t>
  </si>
  <si>
    <t>Find a match with triple-dating: Antarctic sub-ice zircon detritus on the modern shore of Western Australia</t>
  </si>
  <si>
    <t>zircon; geochronology; Gondwana; provenance; Antarctica; detrital</t>
  </si>
  <si>
    <t>GAMBURTSEV SUBGLACIAL MOUNTAINS; PRINCE-CHARLES MOUNTAINS; U-PB; YILGARN CRATON; PERTH BASIN; PRYDZ BAY; AGE; PROVENANCE; EVOLUTION; CONSTRAINTS</t>
  </si>
  <si>
    <t>In this work we present a novel zircon triple-dating approach (Lu-Hf - U-Pb - (U-Th)/He), complimented with grain shape and trace element chemistry to test models of trans-continental transport of ultimately Gondwana interior derived detritus. Our integrated fingerprinting approach on single zircon grains provides the opportunity for robust source correlations as each isotopic system provides temporal constraints on distinct geological processes, ranging from source age (Lu-Hf), through crystallization age (U-Pb) to exhumation age ((U-Th)/He). Collectively, this detailed level of grain characterisation is much more diagnostic of source region than any single tracer alone, and together with grain shape, helps to constrain intermediate detrital grain histories between source and sink. Applying this approach to an enigmatic detrital zircon population from a modern beach sand on the south coast of Western Australia reveals a dominant 700-500 Ma U-Pb component, with a bimodal Hf-isotope composition and Silurian (U-Th)/He cooling age, all of which is strongly correlated with inferred sub-ice basement of East Antartica and the geodynamic setting of unexposed components of the Kuunga Orogen. Our work points towards multicycle sediment processing, and ongoing reworking of poorly known supra-Yilgarn Craton vestiges of Antarctica-derived sediment that became isolated during Cretaceous break-up of East Gondwana. Furthermore, Hf isotopes in these zircon grains suggest that the Kuunga Orogen in Antarctica was rooted on Archean crust. (C) 2019 Elsevier B.V. All rights reserved.</t>
  </si>
  <si>
    <t>[Kirkland, Christopher L.; Barham, Milo] Curtin Univ, Sch Earth &amp; Planetary Sci, Ctr Explorat Targeting Curtin Node, GPO Box U1987, Perth, WA 6845, Australia; [Danisik, Martin] Curtin Univ, John de Laeter Ctr, GeoHist Facil, GPO Box U1987, Perth, WA 6845, Australia</t>
  </si>
  <si>
    <t>Curtin University; Curtin University</t>
  </si>
  <si>
    <t>Kirkland, CL (corresponding author), Curtin Univ, Sch Earth &amp; Planetary Sci, Ctr Explorat Targeting Curtin Node, GPO Box U1987, Perth, WA 6845, Australia.</t>
  </si>
  <si>
    <t>c.kirkland@curtin.edu.au</t>
  </si>
  <si>
    <t>Barham, Milo/AAV-2174-2020; Danisik, Martin/GQY-6103-2022; Kirkland, Christopher/S-3305-2016</t>
  </si>
  <si>
    <t>Barham, Milo/0000-0003-0392-7306; Danisik, Martin/0000-0002-0885-4938; Kirkland, Christopher/0000-0003-3367-8961</t>
  </si>
  <si>
    <t>Auscope NCRIS2 program; Australian Research Council (ARC) [DP160102427]; Curtin Research Fellowship</t>
  </si>
  <si>
    <t>Auscope NCRIS2 program(Australian GovernmentDepartment of Industry, Innovation and Science); Australian Research Council (ARC)(Australian Research Council); Curtin Research Fellowship</t>
  </si>
  <si>
    <t>We thank An Yin and Nathan Daczko for constructive comments that improved this work. We also thank Brad McDonald for technical assistance with the LA-ICPMS analyses, Bryant Ware for technical help with solution ICPMS analyses, Adam Frew for technical help with zircon dissolution, Istvan Dunkl for sharing PepiFLEX software for ICPMS data reduction, and Elaine Miller for technical help with CL imaging. MD was supported by the Auscope NCRIS2 program, Australian Research Council (ARC) Discovery funding scheme (DP160102427) and Curtin Research Fellowship. Part of this research was undertaken using the EM instrumentation (ARC LE130100053) at the John de Laeter Centre, Curtin University.</t>
  </si>
  <si>
    <t>10.1016/j.epsl.2019.115953</t>
  </si>
  <si>
    <t>WOS:000510947100012</t>
  </si>
  <si>
    <t>Pöppelmeier, F; Gutjahr, M; Blaser, P; Oppo, DW; Jaccard, SL; Regelous, M; Huang, KF; Süfke, F; Lippold, J</t>
  </si>
  <si>
    <t>Poeppelmeier, F.; Gutjahr, M.; Blaser, P.; Oppo, D. W.; Jaccard, S. L.; Regelous, M.; Huang, K. -F.; Suefke, F.; Lippold, J.</t>
  </si>
  <si>
    <t>Water mass gradients of the mid-depth Southwest Atlantic during the past 25,000 years</t>
  </si>
  <si>
    <t>AMOC; neodymium isotopes; Antarctic Intermediate Water; Last Glacial Maximum; Southwest Atlantic</t>
  </si>
  <si>
    <t>ANTARCTIC INTERMEDIATE WATER; LAST GLACIAL MAXIMUM; WESTERN NORTH-ATLANTIC; DEEP-WATER; ATMOSPHERIC CO2; THERMOHALINE CIRCULATION; ISOTOPE COMPOSITION; IRON FERTILIZATION; OCEAN CIRCULATION; DOME C</t>
  </si>
  <si>
    <t>Antarctic Intermediate Water (AAIW) plays a central role in the Atlantic Meridional Overturning Circulation (AMOC) as the return flow of Northern Sourced Water (NSW) and is therefore of significant importance for the global climate. Past variations of the boundary between AAIW and NSW have been extensively investigated, yet available results documenting the prevailing depth of this boundary and the southern extent of NSW during the last ice age remain ambiguous. Here, we present five new timeseries focusing on the authigenic neodymium isotope signal in sediment cores retrieved from the Southwest Atlantic covering the past 25,000 years. The sites are situated along the southern Brazil Margin and form a bathymetric transect ranging between 1000 and 3000 m water depth, encompassing the modern water mass boundaries of AAIW and NSW and therefore allow their reconstruction since the Last Glacial Maximum (LGM). The new Nd isotope records show little change between the LGM and early deglaciation as well as relatively homogeneous values over the full depth range of the cores during these times. These results strongly contrast with epibenthic foraminiferal stable carbon isotope records (delta C-13) from the same sites which exhibit highest glacial values at mid-depths, presumably related to NSW mixing into southern sourced water. We propose that the discrepancy between these two independent water mass proxies is partly related to changes in Nd end member properties of glacial AAIW. The combination of elevated glacial dust fluxes and, as a result, sustained export productivity caused high sinking particle flux in the western South Atlantic, where AAIW is forming. Higher particle flux would have increased the removal (scavenging) of Nd from shallow waters thus reducing the Nd concentration and overprinting the isotopic signature of the glacial AAIW end member. Only under consideration of changes in Nd end member properties along with non-conservative processes such as remineralization of organic matter influencing past seawater delta C-13 can we reconcile the water mass reconstructions from both proxies. (C) 2019 Elsevier B.V. All rights reserved.</t>
  </si>
  <si>
    <t>[Poeppelmeier, F.; Blaser, P.; Suefke, F.; Lippold, J.] Heidelberg Univ, Inst Earth Sci, Heidelberg, Germany; [Gutjahr, M.] GEOMAR Helmholtz Ctr Ocean Res Kiel, Kiel, Germany; [Oppo, D. W.] Woods Hole Oceanog Inst, Dept Geol &amp; Geophys, Woods Hole, MA 02543 USA; [Jaccard, S. L.] Univ Bern, Inst Geol Sci, Bern, Switzerland; [Jaccard, S. L.] Univ Bern, Oeschger Ctr Climate Change Res, Bern, Switzerland; [Regelous, M.] Friedrich Alexander Univ Erlangen Nurnberg, GeoZentrum Nordbayern, Erlangen, Germany; [Huang, K. -F.] Acad Sinica, Inst Earth Sci, Taipei, Taiwan</t>
  </si>
  <si>
    <t>Ruprecht Karls University Heidelberg; Helmholtz Association; GEOMAR Helmholtz Center for Ocean Research Kiel; Woods Hole Oceanographic Institution; University of Bern; University of Bern; University of Erlangen Nuremberg; Academia Sinica - Taiwan</t>
  </si>
  <si>
    <t>Pöppelmeier, F (corresponding author), Heidelberg Univ, Inst Earth Sci, Heidelberg, Germany.</t>
  </si>
  <si>
    <t>frerk.poeppelmeier@geow.uni-heidelberg.de</t>
  </si>
  <si>
    <t>Blaser, Patrick/ABA-3175-2021; Huang, Kuo-Fang/G-2557-2015; Huang, Kuo-Fang/M-2740-2019; Gutjahr, Marcus/L-9158-2013; Gutjahr, Marcus/ABC-2674-2020; Jaccard, Samuel/G-3447-2014</t>
  </si>
  <si>
    <t>Huang, Kuo-Fang/0000-0002-7858-4865; Gutjahr, Marcus/0000-0003-2556-2619; Gutjahr, Marcus/0000-0003-2556-2619; Jaccard, Samuel/0000-0002-5793-0896; Poppelmeier, Frerk/0000-0003-4050-2550; Blaser, Patrick/0000-0001-8102-9777; Sufke, Finn/0000-0001-5271-1099; Oppo, Delia/0000-0003-2946-5904</t>
  </si>
  <si>
    <t>Emmy-Noether Programme of the German Research Foundation (DFG) [Li1815/4]; Swiss National Science Foundation (SNSF) [PPOOP2-144811, PPOOP2-172915]</t>
  </si>
  <si>
    <t>Emmy-Noether Programme of the German Research Foundation (DFG)(German Research Foundation (DFG)); Swiss National Science Foundation (SNSF)(Swiss National Science Foundation (SNSF))</t>
  </si>
  <si>
    <t>Samples were provided by the Woods Hole Oceanographic Institution (WHOI) core repository. We thank Ellen Roosen for help with sampling at WHOI. Financial support for this research was provided by the Emmy-Noether Programme of the German Research Foundation (DFG) through grant Li1815/4. SLJ acknowledges financial support from the Swiss National Science Foundation (SNSF grants PPOOP2-144811 and PPOOP2-172915). All data of this study can be found in the supporting information and on Pangaea (https://www.pangaea.de/).We thank David Wilson and one anonymous reviewer for constructive comments that helped to substantially improve the manuscript.</t>
  </si>
  <si>
    <t>10.1016/j.epsl.2019.115963</t>
  </si>
  <si>
    <t>WOS:000510947100021</t>
  </si>
  <si>
    <t>Voronovich, AG; Abbott, SW; Johnston, PE; Lataitis, RJ; Leach, JL; Zamora, RJ</t>
  </si>
  <si>
    <t>Voronovich, Alexander G.; Abbott, Scott W.; Johnston, Paul E.; Lataitis, Richard J.; Leach, Jesse L.; Zamora, Robert J.</t>
  </si>
  <si>
    <t>Ice Sheets and Fresh Water Reservoirs as Natural Dielectric Resonators</t>
  </si>
  <si>
    <t>IEEE TRANSACTIONS ON GEOSCIENCE AND REMOTE SENSING</t>
  </si>
  <si>
    <t>Ice; Resonant frequency; Resonators; Reservoirs; Dielectric constant; Geophysical measurement techniques; ice; remote sensing</t>
  </si>
  <si>
    <t>One proxy for global climate change is the change in the total mass of the Greenland and Antarctic ice sheets. Several complementary techniques have been used to estimate these changes with varying degrees of success. In this article, we describe a new approach that relies on the resonant behavior of ice masses. For very low electromagnetic (EM) frequencies (i.e., &lt;= 2 kHz), pure ice acts like a strong dielectric resonator. Resonances can be excited in ice sheets by ambient EM noise from, for example, distant thunderstorms. The EM frequency spectrum measured in the vicinity of the ice mass should exhibit corresponding resonant frequencies. The evolution of the resonant modes over time can be used to monitor changes in ice mass and shape. The same approach can be, in principle, applied to monitor changes in the volume of fresh water reservoirs.</t>
  </si>
  <si>
    <t>[Voronovich, Alexander G.; Abbott, Scott W.; Johnston, Paul E.; Lataitis, Richard J.; Leach, Jesse L.; Zamora, Robert J.] NOAA, Earth Syst Res Lab, Phys Sci Div, Boulder, CO 80305 USA; [Johnston, Paul E.] Univ Colorado, Cooperat Inst Res Environm Sci, Boulder, CO 80309 USA</t>
  </si>
  <si>
    <t>National Oceanic Atmospheric Admin (NOAA) - USA; University of Colorado System; University of Colorado Boulder</t>
  </si>
  <si>
    <t>Voronovich, AG (corresponding author), NOAA, Earth Syst Res Lab, Phys Sci Div, Boulder, CO 80305 USA.</t>
  </si>
  <si>
    <t>alexander.voronovich@noaa.gov</t>
  </si>
  <si>
    <t>Physical Sciences Division of NOAA/Earth System Research Laboratory</t>
  </si>
  <si>
    <t>This work was supported by the Physical Sciences Division of NOAA/Earth System Research Laboratory.</t>
  </si>
  <si>
    <t>IEEE-INST ELECTRICAL ELECTRONICS ENGINEERS INC</t>
  </si>
  <si>
    <t>PISCATAWAY</t>
  </si>
  <si>
    <t>445 HOES LANE, PISCATAWAY, NJ 08855-4141 USA</t>
  </si>
  <si>
    <t>0196-2892</t>
  </si>
  <si>
    <t>1558-0644</t>
  </si>
  <si>
    <t>IEEE T GEOSCI REMOTE</t>
  </si>
  <si>
    <t>IEEE Trans. Geosci. Remote Sensing</t>
  </si>
  <si>
    <t>10.1109/TGRS.2019.2946154</t>
  </si>
  <si>
    <t>Geochemistry &amp; Geophysics; Engineering, Electrical &amp; Electronic; Remote Sensing; Imaging Science &amp; Photographic Technology</t>
  </si>
  <si>
    <t>Geochemistry &amp; Geophysics; Engineering; Remote Sensing; Imaging Science &amp; Photographic Technology</t>
  </si>
  <si>
    <t>KH5SO</t>
  </si>
  <si>
    <t>WOS:000510710600052</t>
  </si>
  <si>
    <t>Hrbácek, F; Oliva, M; Fernández, JR; Knazková, M; de Pablo, MA</t>
  </si>
  <si>
    <t>Hrbacek, Filip; Oliva, Marc; Fernandez, Jesus-Ruiz; Knazkova, Michaela; Angel de Pablo, Miguel</t>
  </si>
  <si>
    <t>Modelling ground thermal regime in bordering (dis)continuous permafrost environments</t>
  </si>
  <si>
    <t>ENVIRONMENTAL RESEARCH</t>
  </si>
  <si>
    <t>Ground thermal regime; Permafrostdistribution; Snow cover; Deglaciation; Maritime Antarctica</t>
  </si>
  <si>
    <t>SOUTH SHETLAND ISLANDS; PENINSULA LIVINGSTON ISLAND; CALM-S SITE; BYERS PENINSULA; ACTIVE-LAYER; ANTARCTIC PENINSULA; LIMNOPOLAR LAKE; CLIMATE-CHANGE; DEGLACIATION; TEMPERATURE</t>
  </si>
  <si>
    <t>Permafrost controls geomorphological dynamics in maritime Antarctic ecosystems. Here, we analyze and model ground thermal regime in bordering conditions between continuous and discontinuous permafrost to better understand its relationship with the timing of glacial retreat. In February 2017, a transect including 10 sites for monitoring ground temperatures was installed in the eastern fringe of Byers Peninsula (Livingston Island, northern Antarctic Peninsula), together with one station recording air temperatures and snow thickness. The sites were selected following the Mid-Late Holocene deglaciation of the area at a distance ranging from 0.30 to 3.15 km from the current Rotch Dome glacier front. The transect provided data on the effects of topography, snow cover and the timing of ice-free exposure, on the ground thermal regime. From February 2017 to February 2019, the mean annual air temperature was - 2.0 degrees C, which was &gt; 0.5 degrees C higher than 1986-2015 average in the Western Antarctic Peninsula region. Mean annual ground temperature at 10 cm depth varied between 0.3 and -1.1 degrees C, similar to the modelled Temperatures on the Top of the Permafrost (TTOP) that ranged from 0.06 +/- 0.08 degrees C to -1.33 +/- 0.07 degrees C. The positive average temperatures at the warmest site were related to the long-lasting presence of snow which favoured warmer ground temperatures and may trigger permafrost degradation. The role of other factors (topography, and timing of the deglaciation) explained intersite differences, but the overall effect was not as strong as snow cover.</t>
  </si>
  <si>
    <t>[Hrbacek, Filip; Knazkova, Michaela] Masaryk Univ, Fac Sci, Dept Geog, Brno, Czech Republic; [Oliva, Marc] Univ Barcelona, Dept Geog, C Montalegre 6-8,3r, Barcelona 08001, Spain; [Fernandez, Jesus-Ruiz] Univ Oviedo, Dept Geog, Oviedo, Spain; [Angel de Pablo, Miguel] Univ Alcala, Dept Geol Geog &amp; Environm, Madrid 28805, Spain</t>
  </si>
  <si>
    <t>Masaryk University Brno; University of Barcelona; University of Oviedo; Universidad de Alcala</t>
  </si>
  <si>
    <t>Hrbácek, F (corresponding author), Masaryk Univ, Fac Sci, Dept Geog, Brno, Czech Republic.</t>
  </si>
  <si>
    <t>hrbacekfilip@gmail.com</t>
  </si>
  <si>
    <t>Fernandez Menendez, Javier/B-6550-2014; Hrbacek, Filip/ABG-4319-2020; De Pablo, Miguel Ángel/J-6442-2014; Oliva, Marc/K-5423-2014</t>
  </si>
  <si>
    <t>Fernandez Menendez, Javier/0000-0002-5213-3708; Hrbacek, Filip/0000-0001-5032-9216; De Pablo, Miguel Ángel/0000-0002-4496-2741; Oliva, Marc/0000-0001-6521-6388</t>
  </si>
  <si>
    <t>Ministry of Education Youth and Sports of Czech Republic [LM2015078, CZ.02.1.01/0.0/0.0/16_013/0001708]; Masaryk University [MUNI/A/1576/2018]; Ramon y Cajal Program [RYC-2015-17597]; Research Group ANTALP (Antarctic, Arctic, Alpine Environments) - Government of Catalonia through AGAUR agency [2017-SGR-1102]; Fundacao para a Ciencia e a Tecnologia [02/SAICT/2017-32002]; Cronoantar project [CTM 2016-77878-P]; Spanish Reasearch Agency, Government of Spain [CTM 2014-52021R]</t>
  </si>
  <si>
    <t>Ministry of Education Youth and Sports of Czech Republic(Ministry of Education, Youth &amp; Sports - Czech Republic); Masaryk University; Ramon y Cajal Program(Spanish Government); Research Group ANTALP (Antarctic, Arctic, Alpine Environments) - Government of Catalonia through AGAUR agency; Fundacao para a Ciencia e a Tecnologia(Fundacao para a Ciencia e a Tecnologia (FCT)); Cronoantar project; Spanish Reasearch Agency, Government of Spain</t>
  </si>
  <si>
    <t>The work of FH and MK was supported by the Ministry of Education Youth and Sports of Czech Republic large infrastructure projects LM2015078 and CZ.02.1.01/0.0/0.0/16_013/0001708 and by the Masaryk University project MUNI/A/1576/2018. MO is supported by the Ramon y Cajal Program (RYC-2015-17597) and the Research Group ANTALP (Antarctic, Arctic, Alpine Environments; 2017-SGR-1102) funded by the Government of Catalonia through the AGAUR agency. The work complements the research topics examined in the NUNANTAR project (02/SAICT/2017-32002) of the Fundacao para a Ciencia e a Tecnologia and CRONOBYERS Project of the Portuguese Polar Program (PROPOLAR), Fundacao para a Ciencia e a Tecnologia. The work of JRF was supported by Cronoantar project CTM 2016-77878-P. Work of MAdP was partially supported by CTM 2014-52021R (PERMASNOW) research project from Spanish Reasearch Agency, Government of Spain. Finally, we are grateful to two anonymous referees and the managing editor Dr. Paulo Pereira for their beneficial comments, which significantly improved the final version of manuscript.</t>
  </si>
  <si>
    <t>0013-9351</t>
  </si>
  <si>
    <t>1096-0953</t>
  </si>
  <si>
    <t>ENVIRON RES</t>
  </si>
  <si>
    <t>Environ. Res.</t>
  </si>
  <si>
    <t>10.1016/j.envres.2019.108901</t>
  </si>
  <si>
    <t>Environmental Sciences; Public, Environmental &amp; Occupational Health</t>
  </si>
  <si>
    <t>Environmental Sciences &amp; Ecology; Public, Environmental &amp; Occupational Health</t>
  </si>
  <si>
    <t>KG7DX</t>
  </si>
  <si>
    <t>WOS:000510109700037</t>
  </si>
  <si>
    <t>Xu, XW; Qiang, XK; Zhao, H; Fu, CF</t>
  </si>
  <si>
    <t>Xu, Xinwen; Qiang, Xiaoke; Zhao, Hui; Fu, Chaofeng</t>
  </si>
  <si>
    <t>Magnetic mineral dissolution recorded in a lacustrine sequence from the Heqing Basin, SW China, and its relationship with changes in the Indian monsoon</t>
  </si>
  <si>
    <t>JOURNAL OF ASIAN EARTH SCIENCES</t>
  </si>
  <si>
    <t>Lacustrine sediments; The Heqing basin; Rock magnetism; Magnetic mineral dissolution; Indian Summer Monsoon; Indian Ocean Dipole</t>
  </si>
  <si>
    <t>CLIMATE VARIABILITY; SUMMER-MONSOON; LOESS PLATEAU; LAKE BAIKAL; MARINE-SEDIMENTS; ARABIAN SEA; IRON-OXIDES; SUSCEPTIBILITY; GREIGITE; OXIDATION</t>
  </si>
  <si>
    <t>The dissolution of magnetic oxides is an important process in many lake environments. Understanding this phenomenon is crucial for the paleoenvironmental interpretation of the magnetic properties of lake sediments. In order to reveal its effects on sedimentary magnetic properties, and to assess the possible associated paleoenvironmental implications, we carried out detailed rock magnetic analyses of the selected samples from a 920-kyr lacustrine sequence from the Heqing Basin, SW China. The results indicate that the sedimentary magnetic properties are controlled by the concentration and grain size of magnetite and maghemite. High magnetic susceptibility (chi) intervals contain more fine-grained magnetite and maghemite, while low chi intervals contain only minor amounts of residual magnetite. The decreased content of fine-grained maghemite from high chi to low chi intervals reflects the dissolution of magnetic oxides during deposition. Intervals affected by strong magnetic dissolution have a high TOC content and correspond to times of high Antarctic temperatures, suggesting that magnetic mineral dissolution intensity was associated with variations in the strength of the Indian Summer Monsoon (ISM). Notably, the ISM is sensitive to Southern Hemisphere warming. Weak magnetic dissolution indicates a dry climate occurred since similar to 320 kyr in the Heqing Basin. This dry/cool event was widespread across the Eastern Bay of Bengal, Equatorial Indian Ocean and Northern Australia, and was linked to a strengthened Indian Ocean Dipole (IOD). Since the moisture source of the Heqing Basin was mainly from the above regions, we infer that the influence of the IOD extended northwards to SW China.</t>
  </si>
  <si>
    <t>[Xu, Xinwen] Northwest Univ, Shaanxi Key Lab Earth Surface Syst &amp; Environm Car, Xian 710127, Peoples R China; [Xu, Xinwen; Qiang, Xiaoke; Zhao, Hui] Chinese Acad Sci, Inst Earth Environm, State Key Lab Loess &amp; Quaternary Geol, Xian 710061, Peoples R China; [Fu, Chaofeng] Changan Univ, Key Lab Western Mineral Resources &amp; Geol Engn, Minist Educ China, Xian 710054, Peoples R China</t>
  </si>
  <si>
    <t>Northwest University Xi'an; Chinese Academy of Sciences; Institute of Earth Environment, CAS; Chang'an University</t>
  </si>
  <si>
    <t>Qiang, XK (corresponding author), 97 Yanxiang Rd, Xian 710061, Shaanxi, Peoples R China.</t>
  </si>
  <si>
    <t>qiangxk@loess.llqg.ac.cn</t>
  </si>
  <si>
    <t>qiang, xiao ke/0000-0002-0014-2477; xu, xinwen/0000-0003-4826-8703</t>
  </si>
  <si>
    <t>National Science Fund of China [41402151, 41572164, 41272208, 41977379]; National Natural Science Foundation of China [91855211]; Open Fund of the State Key Laboratory of Loess and Quaternary Geology [SKLLQG1218]; Shaanxi provincial education department special research project [14JK1738]</t>
  </si>
  <si>
    <t>National Science Fund of China(National Natural Science Foundation of China (NSFC)); National Natural Science Foundation of China(National Natural Science Foundation of China (NSFC)); Open Fund of the State Key Laboratory of Loess and Quaternary Geology; Shaanxi provincial education department special research project</t>
  </si>
  <si>
    <t>We thank Jan Bloemendal for English writing. This study was supported by the National Science Fund of China (Grants No. 41402151, 41572164, 41272208, 41977379), a major research program of the National Natural Science Foundation of China (Grant No. 91855211), and the Open Fund of the State Key Laboratory of Loess and Quaternary Geology (Grant No. SKLLQG1218), and Shaanxi provincial education department special research project (Grant No. 14JK1738). The data in this paper can be obtained by contacting the corresponding author (qiangxlc@loess.11qg.ac.cn).</t>
  </si>
  <si>
    <t>1367-9120</t>
  </si>
  <si>
    <t>1878-5786</t>
  </si>
  <si>
    <t>J ASIAN EARTH SCI</t>
  </si>
  <si>
    <t>J. Asian Earth Sci.</t>
  </si>
  <si>
    <t>10.1016/j.jseaes.2019.104081</t>
  </si>
  <si>
    <t>KG0ET</t>
  </si>
  <si>
    <t>WOS:000509615200010</t>
  </si>
  <si>
    <t>Echeverría, S; Hausner, MB; Bambach, N; Vicuña, S; Suárez, F</t>
  </si>
  <si>
    <t>Echeverria, Sebastian; Hausner, Mark B.; Bambach, Nicolas; Vicuna, Sebastian; Suarez, Francisco</t>
  </si>
  <si>
    <t>Modeling present and future ice covers in two Antarctic lakes</t>
  </si>
  <si>
    <t>JOURNAL OF GLACIOLOGY</t>
  </si>
  <si>
    <t>Climate change; ice and climate; lake ice; energy balance; ice-sheet modeling</t>
  </si>
  <si>
    <t>MCMURDO DRY VALLEYS; CLOSED-BASIN LAKE; THERMODYNAMIC MODEL; MEROMICTIC LAKES; TAYLOR VALLEY; OPTICAL-PROPERTIES; VESTFOLD HILLS; CLIMATE-CHANGE; ECOSYSTEM; SENTINELS</t>
  </si>
  <si>
    <t>Antarctic lakes with perennial ice covers provide the opportunity to investigate in-lake processes without direct atmospheric interaction, and to study their ice-cover sensitivity to climate conditions. In this study, a numerical model - driven by radiative, atmospheric and turbulent heat fluxes from the water body beneath the ice cover - was implemented to investigate the impact of climate change on the ice covers from two Antarctic lakes: west lobe of Lake Bonney (WLB) and Crooked Lake. Model results agreed well with measured ice thicknesses of both lakes (WLB - RMSE= 0.11 m over 16 years of data; Crooked Lake - RMSE= 0.07 m over 1 year of data), and had acceptable results with measured ablation data at WLB (RMSE= 0.28 m over 6 years). The differences between measured and modeled ablation occurred because the model does not consider interannual variability of the ice optical properties and seasonal changes of the lake's thermal structure. Results indicate that projected summer air temperatures will increase the ice-cover annual melting in WLB by 2050, but that the ice cover will remain perennial through the end of this century. Contrarily, at Crooked Lake the ice cover becomes ephemeral most likely due to the increase in air temperatures.</t>
  </si>
  <si>
    <t>[Echeverria, Sebastian; Vicuna, Sebastian; Suarez, Francisco] Pontificia Univ Catolica Chile, Dept Ingn Hidraul &amp; Ambiental, Santiago, Chile; [Hausner, Mark B.] Desert Res Inst, Div Hydrol Sci, Reno, NV USA; [Hausner, Mark B.] Univ Nevada, Reno, NV 89557 USA; [Bambach, Nicolas; Vicuna, Sebastian] Pontificia Univ Catolica Chile, Ctr &amp; Interdisciplinario Cambio Global, Santiago, Chile; [Vicuna, Sebastian] Fondap Conycit, Ctr Invest Gest Integrada Desastres Nat CIGIDEN, Santiago, Chile; [Suarez, Francisco] Fondap Conycit, Ctr Desarrao Urbano Sustentable CEDEUS, Santiago, Chile; [Suarez, Francisco] Fondap Conycit, Ctr Excelencia Geotermia Los Andes CEGA, Santiago, Chile</t>
  </si>
  <si>
    <t>Pontificia Universidad Catolica de Chile; Nevada System of Higher Education (NSHE); Desert Research Institute NSHE; Nevada System of Higher Education (NSHE); University of Nevada Reno; Pontificia Universidad Catolica de Chile</t>
  </si>
  <si>
    <t>Suárez, F (corresponding author), Pontificia Univ Catolica Chile, Dept Ingn Hidraul &amp; Ambiental, Santiago, Chile.;Suárez, F (corresponding author), Fondap Conycit, Ctr Desarrao Urbano Sustentable CEDEUS, Santiago, Chile.;Suárez, F (corresponding author), Fondap Conycit, Ctr Excelencia Geotermia Los Andes CEGA, Santiago, Chile.</t>
  </si>
  <si>
    <t>fsuarez@ing.puc.cl</t>
  </si>
  <si>
    <t>Vicuna, Sebastian/M-2747-2016; Hausner, Mark B./G-8356-2012; Suarez, Francisco/B-2954-2008</t>
  </si>
  <si>
    <t>Suarez, Francisco/0000-0002-4394-957X</t>
  </si>
  <si>
    <t>Comision Nacional de Investigacion Cientifica y Tecnologica (CONICYT), Chile [1170850]; Centro de Desarrollo Urbano Sustentable (CEDEUS) [CONICYT/FONDAP/15110020]; Centro de Excelencia en Geotermia de los Andes [CEGA - CONICYT/FONDAP/15090013]; Centro de Investigacion para la Gestion Integrada de Desastres Naturales [CIGIDEN - CONICYT/FONDAP/15110017]</t>
  </si>
  <si>
    <t>Comision Nacional de Investigacion Cientifica y Tecnologica (CONICYT), Chile(Comision Nacional de Investigacion Cientifica y Tecnologica (CONICYT)); Centro de Desarrollo Urbano Sustentable (CEDEUS); Centro de Excelencia en Geotermia de los Andes; Centro de Investigacion para la Gestion Integrada de Desastres Naturales</t>
  </si>
  <si>
    <t>Funding of this work was possible thanks to the Comision Nacional de Investigacion Cientifica y Tecnologica (CONICYT), Chile, through project No1170850. F. Suarez and S. Echeverria acknowledge the Centro de Desarrollo Urbano Sustentable (CEDEUS - CONICYT/FONDAP/15110020) and the Centro de Excelencia en Geotermia de los Andes CEGA - CONICYT/FONDAP/15090013) for additional support. S. Vicuna acknowledges the Centro de Investigacion para la Gestion Integrada de Desastres Naturales (CIGIDEN - CONICYT/FONDAP/15110017). We acknowledge the United States, McMurdo Dry Valleys, Long Term Ecological Research (MCM-LTER) Program, and the Australian Antarctic Data Centre for providing the meteorological data. Also, we acknowledge the CESM Large Ensemble Community Project and supercomputing resources provided by NSF/CISL/Yellowstone. The authors would like to make a special thanks to Maciej Obryk, who discussed with us about his previous work on WLB, what allowed to have a starting point for the modeling. We also thank Cathleen Geiger, Christopher McKay and one anonymous reviewer whose constructive comments greatly improved the presentation of this paper.</t>
  </si>
  <si>
    <t>EDINBURGH BLDG, SHAFTESBURY RD, CB2 8RU CAMBRIDGE, ENGLAND</t>
  </si>
  <si>
    <t>0022-1430</t>
  </si>
  <si>
    <t>1727-5652</t>
  </si>
  <si>
    <t>J GLACIOL</t>
  </si>
  <si>
    <t>J. Glaciol.</t>
  </si>
  <si>
    <t>PII S0022143019000789</t>
  </si>
  <si>
    <t>10.1017/jog.2019.78</t>
  </si>
  <si>
    <t>KG2AE</t>
  </si>
  <si>
    <t>WOS:000509742700002</t>
  </si>
  <si>
    <t>Schaap, T; Roach, MJ; Peters, LE; Cook, S; Kulessa, B; Schoof, C</t>
  </si>
  <si>
    <t>Schaap, Thomas; Roach, Michael J.; Peters, Leo E.; Cook, Sue; Kulessa, Bernd; Schoof, Christian</t>
  </si>
  <si>
    <t>Englacial drainage structures in an East Antarctic outlet glacier</t>
  </si>
  <si>
    <t>Glacier geophysics; glacier hydrology; ground-penetrating radar</t>
  </si>
  <si>
    <t>GREENLAND ICE-SHEET; SUPRAGLACIAL LAKE; MELT; ACCELERATION; MELTWATER; EVOLUTION; SHELF</t>
  </si>
  <si>
    <t>Ground-penetrating radar data acquired in the 2016/17 austral summer on Sorsdal Glacier, East Antarctica, provide evidence for meltwater lenses within porous surface ice that are conceptually similar to firn aquifers observed on the Greenland Ice Sheet and the Arctic and Alpine glaciers. These englacial water bodies are associated with a dry relict surface basin and consistent with perennial drainage into an interconnected englacial drainage system, which may explain a large englacial outburst flood observed in satellite imagery in the early 2016/17 melt season. Our observations indicate the rarely-documented presence of an englacial hydrological system in Antarctica, with implications for the storage and routing of surface meltwater. Future work should ascertain the spatial prevalence of such systems around the Antarctic coastline, and identify the degree of surface runoff redistribution and storage in the near surface, to quantify their impact on surface mass balance.</t>
  </si>
  <si>
    <t>[Schaap, Thomas; Roach, Michael J.] Univ Tasmania, Discipline Earth Sci, Hobart, Tas 7001, Australia; [Peters, Leo E.] Univ West Indies, Seism Res Ctr, St Augustine, Trinidad Tobago; [Cook, Sue] Univ Tasmania, Inst Marine &amp; Antarctic Studies, Private Bag 129, Hobart, Tas 7001, Australia; [Kulessa, Bernd] Swansea Univ, Coll Sci, Giaciol Grp, Singleton Pk, Swansea SA2 8PP, W Glam, Wales; [Kulessa, Bernd] Univ Tasmania, Sch Technol Environm &amp; Design, Hobart, Tas 7001, Australia; [Schoof, Christian] Univ British Columbia, Dept Earth &amp; Ocean Sci, Vancouver, BC, Canada</t>
  </si>
  <si>
    <t>University of Tasmania; University West Indies Mona Jamaica; University West Indies Saint Augustine; University of Tasmania; Swansea University; University of Tasmania; University of British Columbia</t>
  </si>
  <si>
    <t>Schaap, T (corresponding author), Univ Tasmania, Discipline Earth Sci, Hobart, Tas 7001, Australia.</t>
  </si>
  <si>
    <t>thomas.schaap@utas.edu.au</t>
  </si>
  <si>
    <t>Cook, Sue/E-8390-2018</t>
  </si>
  <si>
    <t>Peters, Leo/0000-0001-8608-9111; Kulessa, Bernd/0000-0002-4830-4949; Schaap, Thomas/0000-0002-4189-3760</t>
  </si>
  <si>
    <t>Australian Government's Australian Antarctic Science Grant Program [AAS 4342]; Australian Government's Business Cooperative Research Centres Programme through the Antarctic Climate and Ecosystems Cooperative Research Centre (ACE CRC); Australian Research Council's Special Research Initiative for the Antarctic Gateway Partnership [SR140300001]</t>
  </si>
  <si>
    <t>Australian Government's Australian Antarctic Science Grant Program(Australian Government); Australian Government's Business Cooperative Research Centres Programme through the Antarctic Climate and Ecosystems Cooperative Research Centre (ACE CRC)(Australian GovernmentDepartment of Industry, Innovation and ScienceCooperative Research Centres (CRC) Programme); Australian Research Council's Special Research Initiative for the Antarctic Gateway Partnership(Australian Research Council)</t>
  </si>
  <si>
    <t>Data collection was supported through the Australian Government's Australian Antarctic Science Grant Program under project AAS 4342. This work was supported by the Australian Government's Business Cooperative Research Centres Programme through the Antarctic Climate and Ecosystems Cooperative Research Centre (ACE CRC) and the Australian Research Council's Special Research Initiative for the Antarctic Gateway Partnership (project ID SR140300001). Landsat 8 imagery courtesy of the US Geological Survey. Thanks to Hugh Tassel and Will McAdam for providing advice and assistance in data processing.</t>
  </si>
  <si>
    <t>PII S0022143019000923</t>
  </si>
  <si>
    <t>10.1017/jog.2019.92</t>
  </si>
  <si>
    <t>WOS:000509742700014</t>
  </si>
  <si>
    <t>Portela, E; Kolodziejczyk, N; Maes, C; Thierry, V</t>
  </si>
  <si>
    <t>Portela, Esther; Kolodziejczyk, Nicolas; Maes, Christophe; Thierry, Virginie</t>
  </si>
  <si>
    <t>Interior Water-Mass Variability in the Southern Hemisphere Oceans during the Last Decade</t>
  </si>
  <si>
    <t>Southern Hemisphere; Water masses; storage; Isopycnal mixing; Water budget; balance; In situ oceanic observations; Decadal variability</t>
  </si>
  <si>
    <t>ANTARCTIC CIRCUMPOLAR CURRENT; INTERMEDIATE WATER; HEAT-CONTENT; MODE WATER; SEA-ICE; TRANSFORMATION; CIRCULATION; TEMPERATURE; SUBDUCTION; SALINITY</t>
  </si>
  <si>
    <t>Using an Argo dataset and the ECCOv4 reanalysis, a volume budget was performed to address the main mechanisms driving the volume change of the interior water masses in the Southern Hemisphere oceans between 2006 and 2015. The subduction rates and the isopycnal and diapycnal water-mass transformation were estimated in a density-spiciness (sigma-tau) framework. Spiciness, defined as thermohaline variations along isopycnals, was added to the potential density coordinates to discriminate between water masses spreading on isopycnal layers. The main positive volume trends were found to be associated with the Subantarctic Mode Waters (SAMW) in the South Pacific and South Indian Ocean basins, revealing a lightening of the upper waters in the Southern Hemisphere. The SAMW exhibits a two-layer density structure in which subduction and diapycnal transformation from the lower to the upper layers accounted for most of the upper-layer volume gain and lower-layer volume loss, respectively. The Antarctic Intermediate Waters, defined here between the 27.2 and 27.5 kg m(-3) isopycnals, showed the strongest negative volume trends. This volume loss can be explained by their negative isopyncal transformation southward of the Antarctic Circumpolar Current into the fresher and colder Antarctic Winter Waters (AAWW) and northward into spicier tropical/subtropical Intermediate Waters. The AAWW is destroyed by obduction back into the mixed layer so that its net volume change remains nearly zero. The proposed mechanisms to explain the transformation within the Intermediate Waters are discussed in the context of Southern Ocean dynamics. The sigma-tau decomposition provided new insight on the spatial and temporal water-mass variability and driving mechanisms over the last decade.</t>
  </si>
  <si>
    <t>[Portela, Esther; Kolodziejczyk, Nicolas; Maes, Christophe; Thierry, Virginie] Univ Brest, IFREMER, CNRS, Lab Oceanog Phys &amp; Spatiale,IRD, Plouzane, France</t>
  </si>
  <si>
    <t>Universite de Bretagne Occidentale; Ifremer; Institut de Recherche pour le Developpement (IRD); Centre National de la Recherche Scientifique (CNRS)</t>
  </si>
  <si>
    <t>Portela, E (corresponding author), Univ Brest, IFREMER, CNRS, Lab Oceanog Phys &amp; Spatiale,IRD, Plouzane, France.</t>
  </si>
  <si>
    <t>eportelah@gmail.com</t>
  </si>
  <si>
    <t>Kolodziejczyk, Nicolas/ABG-2605-2021; Thierry, Virginie/M-3086-2015</t>
  </si>
  <si>
    <t>Kolodziejczyk, Nicolas/0000-0002-0751-1351; Portela Rodriguez, Esther/0000-0003-4044-4581; Thierry, Virginie/0000-0003-1602-6478</t>
  </si>
  <si>
    <t>CNES/INSU/Ifremer postdoctoral fund; CNRS/INSU LEFE AcCOLADE project; CNES TOSCA SMOS OCEAN project in the framework of the ISAS project at LOPS SNO Argo-France</t>
  </si>
  <si>
    <t>Esther Portela was supported by CNES/INSU/Ifremer postdoctoral funding. This study was supported by the CNRS/INSU LEFE AcCOLADE project and CNES TOSCA SMOS OCEAN project in the framework of the ISAS project at LOPS SNO Argo-France. We thank Trevor McDougall for constructive discussions and the help provided with the MATLAB function to convert fromdensity and spiciness to Conservative Temperature and Absolute Salinity. We also thank the two anonymous reviewers for their valuable comments that helped to improve this paper. ISAS15 is produced at LOPS as part of the Service National d'Observation Argo-France and is freely available (http://doi.org/10.17882/52367). This work is mainly based on the Argo dataset and thus benefited from the in-depth involvement of scientists and data managers with regard to float deployment and data validation and distribution (http://www.argo.ucsd.edu/).</t>
  </si>
  <si>
    <t>45 BEACON ST, BOSTON, MA 02108-3693, UNITED STATES</t>
  </si>
  <si>
    <t>10.1175/JPO-D-19-0128.1</t>
  </si>
  <si>
    <t>KH8HO</t>
  </si>
  <si>
    <t>WOS:000510891200001</t>
  </si>
  <si>
    <t>Oh, C; Philippe, M; Mcloughlin, S; Woo, J; Leppe, M; Torres, T; Park, TYS; Choi, HG</t>
  </si>
  <si>
    <t>Oh, Changhwan; Philippe, Marc; Mcloughlin, Stephen; Woo, Jusun; Leppe, Marcelo; Torres, Teresa; Park, Tae-Yoon S.; Choi, Han-Gu</t>
  </si>
  <si>
    <t>NEW FOSSIL WOODS FROM LOWER CENOZOIC VOLCANO-SEDIMENTARY ROCKS OF THE FILDES PENINSULA, KING GEORGE ISLAND, AND THE IMPLICATIONS FOR THE TRANS-ANTARCTIC PENINSULA EOCENE CLIMATIC GRADIENT</t>
  </si>
  <si>
    <t>fossil woods; Eocene; Antarctica; growth-ring analysis; rainfall gradient; palaeoclimate</t>
  </si>
  <si>
    <t>LA MESETA FORMATION; SOUTH SHETLAND ISLANDS; PRINCE CHARLES MOUNTAINS; MARAMBIO SEYMOUR ISLAND; JAMES-ROSS-ISLAND; MARIE-BYRD-LAND; WESTERN ANTARCTICA; VICTORIA-LAND; TERTIARY WOOD; LIVINGSTON ISLAND</t>
  </si>
  <si>
    <t>Ten embedded fossil logs sampled in situ from the middle Eocene volcano-sedimentary rocks close to Suffield Point in the Fildes Peninsula, King George Island, Antarctica, are assigned to Protopodocarpoxylon araucarioides Schultze-Motel ex Vogellehner, Phyllocladoxylon antarcticum Gothan, Agathoxylon antarcticum (Poole &amp; C.,antrill) Pujana et al., A. pseudoparenchymatosum (Gothan) Pujana et al. and an unidentified angiosperm wood. Differences in the taxonomic representation and growth-ring characters of the Eocene woods on King George Island and coeval assemblages from Seymour Island, on the western and eastern sides of the Antarctic Peninsula respectively, are interpreted to result from environmental and climatic gradients across the Peninsula Orogen during the early Palaeogene. In particular, a precipitation gradient inferred across the Peninsula at that time might have been induced by a rain-shadow effect.</t>
  </si>
  <si>
    <t>[Oh, Changhwan] Chungbuk Natl Univ, Dept Earth &amp; Environm Sci, Cheongju 28644, South Korea; [Philippe, Marc] Univ Lyon 1, 7 Rue Dubois, F-69622 Villeurbanne, France; [Philippe, Marc] CNRS, UMR 5023, 7 Rue Dubois, F-69622 Villeurbanne, France; [Mcloughlin, Stephen] Swedish Museum Nat Hist, Dept Palaeobiol, Box 50007, S-10405 Stockholm, Sweden; [Woo, Jusun; Park, Tae-Yoon S.] Korea Polar Res Inst, Div Polar Earth Syst Sci, Incheon 21990, South Korea; [Leppe, Marcelo] Inst Antartico Chileno INACH, Plaza Munoz Gamero, Punta Arenas 1055, Chile; [Torres, Teresa] Univ Chile, Fac Ciencias Agron, Casilla 1004, Santiago, Chile; [Choi, Han-Gu] Korea Polar Res Inst, Div Polar Life Sci, Incheon 21990, South Korea</t>
  </si>
  <si>
    <t>Chungbuk National University; Universite Claude Bernard Lyon 1; Centre National de la Recherche Scientifique (CNRS); CNRS - Institute of Ecology &amp; Environment (INEE); Universite Claude Bernard Lyon 1; Swedish Museum of Natural History; Korea Polar Research Institute (KOPRI); Universidad de Chile; Korea Polar Research Institute (KOPRI)</t>
  </si>
  <si>
    <t>Oh, C (corresponding author), Chungbuk Natl Univ, Dept Earth &amp; Environm Sci, Cheongju 28644, South Korea.</t>
  </si>
  <si>
    <t>bluemirine@gmail.com; marc.philippe@univ-lyon1.fr; steve.mcloughlin@nrm.se; jusunwoo@kopri.re.kr; mleppe@inach.cl; ttorres@u.uchile.cl; typark@kopri.re.kr; hchoi82@kopri.re.kr</t>
  </si>
  <si>
    <t>Leppe, Marcelo/L-5447-2014</t>
  </si>
  <si>
    <t>Leppe, Marcelo/0000-0002-1545-8167</t>
  </si>
  <si>
    <t>Korea Polar Research Institute, KOREA [PE15020]; Swedish Research Council (VR grant) [2014-5234]; National Science Foundation [1636625]; Division Of Earth Sciences; Directorate For Geosciences [1636625] Funding Source: National Science Foundation</t>
  </si>
  <si>
    <t>Korea Polar Research Institute, KOREA; Swedish Research Council (VR grant)(Swedish Research Council); National Science Foundation(National Science Foundation (NSF)); Division Of Earth Sciences; Directorate For Geosciences(National Science Foundation (NSF)NSF - Directorate for Geosciences (GEO))</t>
  </si>
  <si>
    <t>The authors greatly thank Kwan-Young Song (Field Guide of KOPRI) for his kind and reliable assistance during the field work and Moon Young Choe (KOPRI) for his constructive discussions. Tania Lindner Dutra (Universidade do Vale do Rio dos Sinos) is greatly appreciated for kindly providing us with geological and palaeontological information on the Fildes Peninsula. Our thanks also go to Roberto Pujana and an anonymous reviewer for their constructive comments. The technical editor Sally Thomas is thanked for kind remarks. This research is a part of the project 'Long-Term Ecological Researches on King George Island to Predict Ecosystem Responses to Climate Change (PE15020)' funded by the Korea Polar Research Institute, KOREA. Additional financial support to S. McLoughlin from the Swedish Research Council (VR grant 2014-5234) and National Science Foundation (project #1636625) is gratefully acknowledged.</t>
  </si>
  <si>
    <t>10.1002/spp2.1256</t>
  </si>
  <si>
    <t>KH1YX</t>
  </si>
  <si>
    <t>WOS:000510443600001</t>
  </si>
  <si>
    <t>Daane, JM; Giordano, D; Coppola, D; di Prisco, G; Detrich, HW; Verde, C</t>
  </si>
  <si>
    <t>Daane, Jacob M.; Giordano, Daniela; Coppola, Daniela; di Prisco, Guido; Detrich, H. William, III; Verde, Cinzia</t>
  </si>
  <si>
    <t>Adaptations to environmental change: Globin superfamily evolution in Antarctic fishes</t>
  </si>
  <si>
    <t>MARINE GENOMICS</t>
  </si>
  <si>
    <t>Fish; Gene evolution; Oxygen-binding proteins; Southern Ocean</t>
  </si>
  <si>
    <t>AMINO-ACID-SEQUENCE; FUNCTIONALLY DISTINCT HEMOGLOBINS; NITRITE REDUCTASE-ACTIVITY; LIGAND-BINDING PROPERTIES; HYPOXIA-TOLERANT CARP; CRYSTAL-STRUCTURE; NOTOTHENIOID FISH; HUMAN NEUROGLOBIN; OXYGEN-AFFINITY; DISULFIDE BOND</t>
  </si>
  <si>
    <t>The ancient origins and functional versatility of globins make them ideal subjects for studying physiological adaptation to environmental change. Our goals in this review are to describe the evolution of the vertebrate globin gene superfamily and to explore the structure/function relationships of hemoglobin, myoglobin, neuroglobin and cytoglobin in teleost fishes. We focus on the globins of Antarctic notothenioids, emphasizing their adaptive features as inferred from comparisons with human proteins. We dedicate this review to Guido di Prisco, our co-author, colleague, friend, and husband of C.V. Ever thoughtful, creative, and enthusiastic, Guido spearheaded study of the structure, function, and evolution of the hemoglobins of polar fishes - this review is testimony to his wide-ranging contributions. Throughout his career, Guido inspired younger scientists to embrace polar biological research, and he challenged researchers of all ages to explore evolutionary adaptation in the context of global climate change. Beyond his scientific contributions, we will miss his warmth, his culture, and his great intellect. Guido has left an outstanding legacy, one that will continue to inspire us and our research.</t>
  </si>
  <si>
    <t>[Daane, Jacob M.; Detrich, H. William, III] Northeastern Univ, Dept Marine &amp; Environm Sci, Marine Sci Ctr, Nahant, MA 01908 USA; [Giordano, Daniela; Coppola, Daniela; di Prisco, Guido; Verde, Cinzia] CNR, Inst Biosci &amp; BioResources IBBR, Via Pietro Castellino 111, I-80131 Naples, Italy; [Giordano, Daniela; Coppola, Daniela; Verde, Cinzia] Stn Zool Anton Dohrn, Dept Marine Biotechnol, I-80121 Naples, Italy</t>
  </si>
  <si>
    <t>Northeastern University; Consiglio Nazionale delle Ricerche (CNR); Istituto di Bioscienze e Biorisorse (IBBR-CNR); Stazione Zoologica Anton Dohrn di Napoli</t>
  </si>
  <si>
    <t>Verde, C (corresponding author), CNR, Inst Biosci &amp; BioResources IBBR, Via Pietro Castellino 111, I-80131 Naples, Italy.</t>
  </si>
  <si>
    <t>c.verde@ibp.cnr.it</t>
  </si>
  <si>
    <t>Coppola, Daniela/ABG-4430-2020; Giordano, Daniela/AFK-7772-2022</t>
  </si>
  <si>
    <t>Giordano, Daniela/0000-0002-8891-6245; VERDE, Cinzia/0000-0001-6185-282X; Daane, Jacob/0000-0003-3631-4514</t>
  </si>
  <si>
    <t>Italian National Programme for Antarctic Research (PNRA) [2016/AZ1.06-Project PNRA16_00043, 2016/AZ1.20-Project PNRA16_00128]; American Heart Association [17POST33660801]; National Science Foundation [PLR-1444167]</t>
  </si>
  <si>
    <t>Italian National Programme for Antarctic Research (PNRA); American Heart Association(American Heart Association); National Science Foundation(National Science Foundation (NSF))</t>
  </si>
  <si>
    <t>This study was financially supported by the Italian National Programme for Antarctic Research (PNRA) (2016/AZ1.06-Project PNRA16_00043 and 2016/AZ1.20-Project PNRA16_00128). It was carried out in the framework of the SCAR Programmes Antarctic Thresholds-Ecosystem Resilience and Adaptation (AnT-ERA). The work was also supported by American Heart Association Postdoctoral Fellowship No. 17POST33660801 to J.M.D. and by National Science Foundation grant No. PLR-1444167 to H.W.D. This is contribution No. 397 from the Marine Science Center at Northeastern University.</t>
  </si>
  <si>
    <t>1874-7787</t>
  </si>
  <si>
    <t>1876-7478</t>
  </si>
  <si>
    <t>MAR GENOM</t>
  </si>
  <si>
    <t>Mar. Genom.</t>
  </si>
  <si>
    <t>10.1016/j.margen.2019.100724</t>
  </si>
  <si>
    <t>Genetics &amp; Heredity; Marine &amp; Freshwater Biology</t>
  </si>
  <si>
    <t>KG0KE</t>
  </si>
  <si>
    <t>WOS:000509629300004</t>
  </si>
  <si>
    <t>Rong, JC; Liu, Y; Yu, S; Xi, L; Chi, NY; Zhang, QF</t>
  </si>
  <si>
    <t>Rong, Jin-Cheng; Liu, Yang; Yu, Shuang; Xi, Lun; Chi, Nai-Yu; Zhang, Qing-Fang</t>
  </si>
  <si>
    <t>Complete genome sequence of Paenisporosarcina antarctica CGMCC 1.6503T, a marine psychrophilic bacterium isolated from Antarctica</t>
  </si>
  <si>
    <t>Paenisporosarcina antarctica; Marine psychrophilic bacteria; Antarctica; Cold adaptation</t>
  </si>
  <si>
    <t>SP-NOV.; GENE</t>
  </si>
  <si>
    <t>A marine psychrophilic bacterium Paenisporosarcina antarctica CGMCC 1.6503(T) (= JCM 14646(T)) was isolated off King George Island, Antarctica (62 degrees 13'31 '' S 58 degrees 57'08 '' W). In this study, we report the complete genome sequence of Paenisporosarcina antarctica, which is comprised of 3,972,524 bp with a mean G + C content of 37.0%. By gene function and metabolic pathway analyses, studies showed that strain CGMCC 1.6503(T) encodes a series of genes related to cold adaptation, including encoding fatty acid desaturases, dioxygenases, antifreeze proteins and cold shock proteins, and possesses several two-component regulatory systems, which could assist this strain in responding to the cold stress, the oxygen stress and the osmotic stress in Antarctica. The complete genome sequence of P. antarctica may provide further insights into the genetic mechanism of cold adaptation for Antarctic marine bacteria.</t>
  </si>
  <si>
    <t>[Rong, Jin-Cheng; Liu, Yang; Yu, Shuang; Xi, Lun; Chi, Nai-Yu; Zhang, Qing-Fang] Dalian Univ, Sch Life Sci &amp; Biotechnol, Dalian 116622, Peoples R China; [Rong, Jin-Cheng; Liu, Yang; Yu, Shuang; Xi, Lun; Chi, Nai-Yu; Zhang, Qing-Fang] Dalian Univ, Liaoning Marine Microbial Engn Res Ctr, Dalian 116622, Peoples R China</t>
  </si>
  <si>
    <t>Dalian University; Dalian University</t>
  </si>
  <si>
    <t>Chi, NY; Zhang, QF (corresponding author), Dalian Univ, Sch Life Sci &amp; Biotechnol, Dalian 116622, Peoples R China.;Chi, NY; Zhang, QF (corresponding author), Dalian Univ, Liaoning Marine Microbial Engn Res Ctr, Dalian 116622, Peoples R China.</t>
  </si>
  <si>
    <t>cny7566@126.com; zqf7566@126.com</t>
  </si>
  <si>
    <t>Rong, Jin-Cheng/JRW-4323-2023</t>
  </si>
  <si>
    <t>Doctor Start-up Funding of Dalian University [2017QL022]</t>
  </si>
  <si>
    <t>Doctor Start-up Funding of Dalian University</t>
  </si>
  <si>
    <t>This work was supported by Doctor Start-up Funding of Dalian University (2017QL022).</t>
  </si>
  <si>
    <t>10.1016/j.margen.2019.05.005</t>
  </si>
  <si>
    <t>WOS:000509629300009</t>
  </si>
  <si>
    <t>Barcheck, CG; Schwartz, SY; Tulaczyk, S</t>
  </si>
  <si>
    <t>Barcheck, C. Grace; Schwartz, Susan Y.; Tulaczyk, Slawek</t>
  </si>
  <si>
    <t>Icequake streaks linked to potential mega-scale glacial lineations beneath an Antarctic ice stream</t>
  </si>
  <si>
    <t>GEOLOGY</t>
  </si>
  <si>
    <t>WEST ANTARCTICA; MICRO-EARTHQUAKES; DRUMLIN FORMATION; BASAL CONDITIONS; BED; TREMOR</t>
  </si>
  <si>
    <t>Icequakes radiating from an ice-stream base provide insights into otherwise difficult to observe sub-kilometer-scale basal heterogeneity. We detect basal icequakes beneath an similar to 3-km-wide seismic sensor network installed on the Whillans Ice Plain (WIP) in West Antarctica, and we use S-wave back-projection to detect and locate thousands of basal icequakes occurring over 14 and 21 days in .January 2014 and 2015, respectively. We find flow-parallel streaks of basal icequakes beneath the WIP, which we conjecture are related to the presence of megascale glacial lineations (MSGLs) indicated by ice-penetrating radar, with at least one streak originating in a local trough adjacent to a MSGL. Patterned basal seismicity can be caused by systematic spatial variation in basal pore pressure, bed-material frictional properties, or both. We interpret these flow-parallel icequake streaks as being due to frictionally heterogeneous bed materials in the presence of a streamlined ice-stream bed: bedform ridges correspond to aseismic, high-porosity deforming till, and some troughs to ephemeral exposures of deeper, seismogenic material such as lodged till or older sediments or rocks. Our results are consistent with MSGL formation by either erosion in troughs to expose deeper seismogenic material, or deposition of aseismic high-porosity till in bedform highs. Our results also suggest that evolving subglacial geomorphology can impact basal traction by reorganizing the spatial distribution of basal materials with varying mechanical properties.</t>
  </si>
  <si>
    <t>[Barcheck, C. Grace] Cornell Univ, Dept Earth &amp; Atmospher Sci, 112 Hollister Dr, Ithaca, NY 14853 USA; [Schwartz, Susan Y.; Tulaczyk, Slawek] Univ Calif Santa Cruz, Dept Earth &amp; Planetary Sci, 1156 High St, Santa Cruz, CA 95064 USA</t>
  </si>
  <si>
    <t>Cornell University; University of California System; University of California Santa Cruz</t>
  </si>
  <si>
    <t>Barcheck, CG (corresponding author), Cornell Univ, Dept Earth &amp; Atmospher Sci, 112 Hollister Dr, Ithaca, NY 14853 USA.</t>
  </si>
  <si>
    <t>Tulaczyk, Slawek/O-7375-2018</t>
  </si>
  <si>
    <t>Tulaczyk, Slawek/0000-0002-9711-4332</t>
  </si>
  <si>
    <t>U.S. National Science Foundation (NSF) [1043784, 1443525]; NASA Operation IceBridge grant [NNX16AH54G]; NSF [ACI-1443054]; University of Kansas; Directorate For Geosciences [1043784] Funding Source: National Science Foundation; Office of Polar Programs (OPP) [1043784] Funding Source: National Science Foundation; NASA [NNX16AH54G, 901711] Funding Source: Federal RePORTER</t>
  </si>
  <si>
    <t>U.S. National Science Foundation (NSF)(National Science Foundation (NSF)); NASA Operation IceBridge grant; NSF(National Science Foundation (NSF)); University of Kansas; Directorate For Geosciences(National Science Foundation (NSF)NSF - Directorate for Geosciences (GEO)); Office of Polar Programs (OPP)(National Science Foundation (NSF)NSF - Directorate for Geosciences (GEO)); NASA(National Aeronautics &amp; Space Administration (NASA))</t>
  </si>
  <si>
    <t>This work was supported by the U.S. National Science Foundation (NSF) awards 1043784 and 1443525. Fieldwork was made possible by the logistical support of the U.S. Antarctic Program, the Antarctic Support Contract (ASC), IRIS PASSCAL (New Mexico, USA), UNAVCO (Boulder, Colorado, USA), Kenn Borek Air (Calgary, Canada), and the New York Air National Guard. We thank Dan Sampson, Matt Siegfried, Esteban Chaves, Sarah Neuhaus, Marino Protti, Marci Beitch, Neil Foley, Carolyn Begeman, Brad Lipovsky, and the entire Whillans Ice Stream Subglacial Access Research Drilling (WISSARD) team for their dedication and assistance with fieldwork and logistical support. We additionally thank our reviewers for their insightful comments. We acknowledge the use of data from the Center for Remote Sensing of Ice Sheets (CReSIS) generated with support from the University of Kansas, NASA Operation IceBridge grant NNX16AH54G, and NSF grant ACI-1443054.</t>
  </si>
  <si>
    <t>0091-7613</t>
  </si>
  <si>
    <t>1943-2682</t>
  </si>
  <si>
    <t>10.1130/G46626.1</t>
  </si>
  <si>
    <t>KF9IM</t>
  </si>
  <si>
    <t>WOS:000509553300001</t>
  </si>
  <si>
    <t>Kosugi, M; Ozawa, SI; Takahashi, Y; Kamei, Y; Itoh, S; Kudoh, S; Kashino, Y; Koike, H</t>
  </si>
  <si>
    <t>Kosugi, Makiko; Ozawa, Shin-Ichiro; Takahashi, Yuichiro; Kamei, Yasuhiro; Itoh, Shigeru; Kudoh, Sakae; Kashino, Yasuhiro; Koike, Hiroyuki</t>
  </si>
  <si>
    <t>Red-shifted chlorophyll a bands allow uphill energy transfer to photosystem II reaction centers in an aerial green alga, Prasiola crispa, harvested in Antarctica</t>
  </si>
  <si>
    <t>BIOCHIMICA ET BIOPHYSICA ACTA-BIOENERGETICS</t>
  </si>
  <si>
    <t>Antarctica; Energy transfer; Green algae; Long-wavelength chlorophylls; Prasiola crispa; Photosynthesis</t>
  </si>
  <si>
    <t>LONG-WAVELENGTH LIMIT; FAR-RED; ANTENNA COMPLEX; FLUORESCENCE SPECTROSCOPY; EXTINCTION COEFFICIENTS; SPECTRAL PROPERTIES; LIGHT; CYANOBACTERIUM; EXCITATION; LHCA4</t>
  </si>
  <si>
    <t>An aerial green alga, Prasiola crispa (Lightf.) Menegh, which is known to form large colonies in Antarctic habitats, is subject to severe environmental stresses due to low temperature, draught and strong sunlight in summer. A considerable light-absorption by long-wavelength chlorophylls (LWC) at around 710 nm, which seem to consist of chlorophyll a, was detected in thallus of P. crispa harvested at a terrestrial environment in Antarctica. Absorption level at 710 nm against that at 680 nm was correlated with fluorescence emission intensity at 713 nm at room temperature and the 77 K fluorescence emission band from LWC was found to be emitted at 735 nm. We demonstrated that the LWC efficiently transfer excitation energy to photosystem II (PSII) reaction center from measurements of action spectra of photosynthetic oxygen evolution and P700 photo-oxidation. The global quantum yield of PSII excitation in thallus by far-red light was shown to be as high as by orange light, and the excitation balance between PSII and PSI was almost same in the two light sources. It is thus proposed that the LWC increase the photosynthetic productivity in the lower parts of overlapping thalli and contribute to the predominance of alga in the severe environment.</t>
  </si>
  <si>
    <t>[Kosugi, Makiko; Koike, Hiroyuki] Chuo Univ, Fac Sci &amp; Engn, Dept Biol Sci, Bunkyo Ku, 1-13-27 Kasuga, Tokyo 1128551, Japan; [Ozawa, Shin-Ichiro; Takahashi, Yuichiro] Okayama Univ, Res Inst Interdisciplinary Sci, Okayama 7008530, Japan; [Kamei, Yasuhiro] SOKENDAI Grad Univ Adv Studies, Sch Life Sci, Dept Basic Biol, Nishigonaka 38, Okazaki, Aichi 4448585, Japan; [Kamei, Yasuhiro] Natl Inst Nat Sci, Natl Inst Basic Biol, 38 Nishigonaka, Okazaki, Aichi 4448585, Japan; [Itoh, Shigeru] Nagoya Univ, Grad Sch Sci, Dept Phys, Nagoya, Aichi 4648602, Japan; [Kudoh, Sakae] Res Org Informat &amp; Syst, Natl Inst Polar Res, 10-3 Midori Cho, Tachikawa, Tokyo 1908518, Japan; [Kudoh, Sakae] SOKENDAI Grad Univ Adv Studies, Dept Polar Sci, Sch Multidisciplinary Sci, 10-3 Midori Cho, Tachikawa, Tokyo 1908518, Japan; [Kashino, Yasuhiro] Univ Hyogo, Dept Life Sci, 3-2-1 Kohto, Kamigori, Hyogo 6781297, Japan; [Ozawa, Shin-Ichiro] Okayama Univ, Inst Plant Sci &amp; Resources, Kurashiki, Okayama 7100046, Japan</t>
  </si>
  <si>
    <t>Chuo University; Okayama University; Graduate University for Advanced Studies - Japan; National Institutes of Natural Sciences (NINS) - Japan; National Institute for Basic Biology (NIBB); Nagoya University; Research Organization of Information &amp; Systems (ROIS); National Institute of Polar Research (NIPR) - Japan; Graduate University for Advanced Studies - Japan; University of Hyogo; Okayama University</t>
  </si>
  <si>
    <t>Kosugi, M (corresponding author), Natl Inst Nat Sci, Astrobiol Ctr, 2-21-1 Mitaka, Tokyo 1818588, Japan.</t>
  </si>
  <si>
    <t>kosugi@bio.chuo-u.ac.jp</t>
  </si>
  <si>
    <t>Ozawa, Shin-Ichiro/O-7408-2015; Kamei, Yasuhiro/AAD-9281-2019; TAKAHASHI, Yuichiro/B-2062-2011</t>
  </si>
  <si>
    <t>Ozawa, Shin-Ichiro/0000-0001-7698-5350; Kamei, Yasuhiro/0000-0001-6382-1365; TAKAHASHI, Yuichiro/0000-0001-6410-0447; Itoh, Shigeru/0000-0002-3065-5812; Kosugi, Makiko/0000-0002-7415-1536</t>
  </si>
  <si>
    <t>Japan Society for the Promotion of Science [17K19431, 17K07440]; Sumitomo Foundation [151376]; National Institute of Polar Research (NIPR) [28-35]; NIBB Collaborative Research Program for the Okazaki Large Spectrograph [15-604]; Grants-in-Aid for Scientific Research [20K20303, 17K07440, 17K19431] Funding Source: KAKEN</t>
  </si>
  <si>
    <t>Japan Society for the Promotion of Science(Ministry of Education, Culture, Sports, Science and Technology, Japan (MEXT)Japan Society for the Promotion of Science); Sumitomo Foundation; National Institute of Polar Research (NIPR)(National Institute of Polar Research (NIPR) - Japan); NIBB Collaborative Research Program for the Okazaki Large Spectrograph; Grants-in-Aid for Scientific Research(Ministry of Education, Culture, Sports, Science and Technology, Japan (MEXT)Japan Society for the Promotion of ScienceGrants-in-Aid for Scientific Research (KAKENHI))</t>
  </si>
  <si>
    <t>This work was supported by the Japan Society for the Promotion of Science [grant number 17K19431, 17K07440]; the Sumitomo Foundation [grant number 151376]; National Institute of Polar Research (NIPR) through General Collaboration Project [no 28-35]; and the NIBB Collaborative Research Program for the Okazaki Large Spectrograph [no 15-604].</t>
  </si>
  <si>
    <t>0005-2728</t>
  </si>
  <si>
    <t>1879-2650</t>
  </si>
  <si>
    <t>BBA-BIOENERGETICS</t>
  </si>
  <si>
    <t>Biochim. Biophys. Acta-Bioenerg.</t>
  </si>
  <si>
    <t>10.1016/j.bbabio.2019.148139</t>
  </si>
  <si>
    <t>KE7RV</t>
  </si>
  <si>
    <t>WOS:000508749700011</t>
  </si>
  <si>
    <t>Cao, MM; Sun, JM; Liu, WG; Hou, JZ; Tian, Q; Sun, Z</t>
  </si>
  <si>
    <t>Cao, Mengmeng; Sun, Jimin; Liu, Weiguo; Hou, Juzhi; Tian, Qian; Sun, Zhe</t>
  </si>
  <si>
    <t>Paleoclimatic fluctuations inferred from leaf wax n-alkane records in Central Tibet in the late Oligocene to early Miocene</t>
  </si>
  <si>
    <t>Isotopes; Redness; Lunpola Basin; Cenozoic; Paleoclimate; Spectral analysis</t>
  </si>
  <si>
    <t>HYDROGEN-ISOTOPIC COMPOSITION; EOCENE PALYNOLOGICAL RECORD; ANTARCTIC ICE-SHEET; ATMOSPHERIC CO2; LUNPOLA BASIN; DELTA-D; ORGANIC GEOCHEMISTRY; TERRESTRIAL PLANTS; AFRICAN HYDROLOGY; VEGETATION CHANGE</t>
  </si>
  <si>
    <t>Climatic variations and their forcing mechanisms in Tibet are highly significant for understanding the environmental effects of the Tibetan Plateau through its controlling on atmospheric circulation. Here we present new leaf wax n-alkanes from Cenozoic lacustrine sediments in the Lunpola Basin of central Tibet to constrain long-term paleoclimatic changes. Our results suggest that the paleoclimate from the late Oligocene to early Miocene was generally stable, but tending slightly towards cold-dry from 25.5 to 23.2 Ma, followed by a trend towards warm-humid between 23.2 and 21.7 Ma, and finally by a more arid and highly oscillating climate after 21.7 Ma. Our results compare favorably with the proxies of marine delta O-18 records, which suggests that the general long-term trend since the late Oligocene has been a response to global temperature variations. Moreover, spectral analysis of delta C-13(31) and delta H-2(31) data reveals that relative humidity exhibits similar to 400 kyr cycles, controlled mainly by periodic changes in global ice volumes.</t>
  </si>
  <si>
    <t>[Cao, Mengmeng; Sun, Jimin] Chinese Acad Sci, Inst Geol &amp; Geophys, Key Lab Cenozo Geol &amp; Environm, Beijing 100029, Peoples R China; [Cao, Mengmeng; Sun, Jimin; Liu, Weiguo; Sun, Zhe] Univ Chinese Acad Sci, Beijing 100049, Peoples R China; [Sun, Jimin] Chinese Acad Sci, Ctr Excellence Tibetan Plateau Earth Sci, Beijing, Peoples R China; [Liu, Weiguo] Chinese Acad Sci, Inst Earth Environm, State Key Lab Loess &amp; Quaternary Geol, Xian 710061, Peoples R China; [Hou, Juzhi; Sun, Zhe] Chinese Acad Sci, Inst Tibetan Plateau Res, Key Lab Tibetan Environm Changes &amp; Land Surface P, Beijing 100101, Peoples R China; [Hou, Juzhi] China Univ Geosci, Fac Earth Sci, Wuhan 430074, Peoples R China; [Tian, Qian] Yanan Univ, Yanan 716000, Peoples R China</t>
  </si>
  <si>
    <t>Chinese Academy of Sciences; Institute of Geology &amp; Geophysics, CAS; Chinese Academy of Sciences; University of Chinese Academy of Sciences, CAS; Chinese Academy of Sciences; Chinese Academy of Sciences; Institute of Earth Environment, CAS; Chinese Academy of Sciences; Institute of Tibetan Plateau Research, CAS; China University of Geosciences; Yanan University</t>
  </si>
  <si>
    <t>Sun, JM (corresponding author), Chinese Acad Sci, Inst Geol &amp; Geophys, Key Lab Cenozo Geol &amp; Environm, Beijing 100029, Peoples R China.</t>
  </si>
  <si>
    <t>jmsun@mail.iggcas.ac.cn</t>
  </si>
  <si>
    <t>Sun, Jimin/F-1240-2018; Cao, Mengmeng/JFA-9946-2023; cao, mengmeng/HJB-1637-2022; Liu, Weiguo/R-9431-2017; Hou, Juzhi/W-5655-2018</t>
  </si>
  <si>
    <t>Sun, Jimin/0000-0003-3516-1413; Hou, Juzhi/0000-0002-8512-5739; Cao, Mengmeng/0000-0003-3385-0389</t>
  </si>
  <si>
    <t>National Natural Science Foundation of China [41672168, 41888101]; Strategic Priority Research Program of the Chinese Academy of Sciences [XDA20070202]</t>
  </si>
  <si>
    <t>National Natural Science Foundation of China(National Natural Science Foundation of China (NSFC)); Strategic Priority Research Program of the Chinese Academy of Sciences(Chinese Academy of Sciences)</t>
  </si>
  <si>
    <t>We thank Nicklas G. Pisias from Oregon State University for his assistance in performing spectral analysis, and Vincent J. Hare from the University of Cape Town for assistance in the carbon isotope calibration. We also thank the two anonymous reviewers for their critical comments and the language improvements from Brian F. Windley and Paul Hesse. This study was funded by the National Natural Science Foundation of China (41672168 and 41888101) and the Strategic Priority Research Program of the Chinese Academy of Sciences (XDA20070202).</t>
  </si>
  <si>
    <t>10.1016/j.palaeo.2019.109504</t>
  </si>
  <si>
    <t>KE7QG</t>
  </si>
  <si>
    <t>WOS:000508745600008</t>
  </si>
  <si>
    <t>Panasiuk, A; Wawrzynek-Borejko, J; Musial, A; Korczak-Abshire, M</t>
  </si>
  <si>
    <t>Panasiuk, Anna; Wawrzynek-Borejko, Justyna; Musial, Aleksandra; Korczak-Abshire, Malgorzata</t>
  </si>
  <si>
    <t>Pygoscelispenguin diets on King George Island, South Shetland Islands, with a special focus on the krillEuphausia superba</t>
  </si>
  <si>
    <t>Antarctic ecosystem; Euphausia superba; ingested plastics; Pygoscelis; sex-based differences</t>
  </si>
  <si>
    <t>CHINSTRAP PENGUINS; POPULATION-CHANGES; ADELIE PENGUINS; SIGNY ISLAND; GENTOO; COMPETITION; PREDATORS; SYSTEM; COAST; SEX</t>
  </si>
  <si>
    <t>In the krill-based ecosystem of the Antarctic, fluctuations in the distribution and abundance ofEuphausia superbamay have strong impacts on predator populations; thus, it is crucial to observe the feeding ecology of Antarctic predators, especially in the light of climate change and increasing human pressure. We determined the composition of euphausiid species in diet samples collected from Adelie (Pygoscelis adeliae), chinstrap (Pygoscelis antarcticus) and gentoo (Pygoscelis papua) penguins on King George Island (South Shetlands Islands) during a breeding season. For all three penguin species, euphausiids (mainlyE. superba) represented almost the entirety of researched stomach samples (i.e. 99.9% in the case of Adelie and chinstrap penguins), while gentoo penguins also proved to feed on fish (99.4% krill; 0.5% fish). Analysed material differed in the size of eatenE. superbaspecimens, with the smallest crustaceans consumed by Adelie penguins. Furthermore, we found differences in the ratio of consumed krill and krill size. Such disparities may be a result of sex-based differences and slight differences in feeding areas between the birds. Additionally, we noted some fragments of plastic debris in the investigated penguin diet samples.</t>
  </si>
  <si>
    <t>[Panasiuk, Anna; Wawrzynek-Borejko, Justyna; Musial, Aleksandra] Univ Gdansk, Fac Oceanog &amp; Geog, Inst Oceanog, Dept Marine Plankton Res, JM Pilsudskiego 46, PL-81378 Gdynia, Poland; [Korczak-Abshire, Malgorzata] Polish Acad Sci, Inst Biochem &amp; Biophys, Pawinskiego 5a, PL-02106 Warsaw, Poland</t>
  </si>
  <si>
    <t>Fahrenheit Universities; University of Gdansk; Polish Academy of Sciences; Institute of Biochemistry &amp; Biophysics - Polish Academy of Sciences</t>
  </si>
  <si>
    <t>Panasiuk, A (corresponding author), Univ Gdansk, Fac Oceanog &amp; Geog, Inst Oceanog, Dept Marine Plankton Res, JM Pilsudskiego 46, PL-81378 Gdynia, Poland.</t>
  </si>
  <si>
    <t>oceapc@yug.edu.pl</t>
  </si>
  <si>
    <t>Korczak-Abshire, Malgorzata/AAA-1563-2020</t>
  </si>
  <si>
    <t>Korczak-Abshire, Malgorzata/0000-0001-7695-0588; Panasiuk, Anna/0000-0002-1008-2922; Wawrzynek-Borejko, Justyna/0000-0001-7624-6814</t>
  </si>
  <si>
    <t>Polish National Science Centre [2017/01/X/NZ8/01181]</t>
  </si>
  <si>
    <t>Polish National Science Centre</t>
  </si>
  <si>
    <t>The authors would like to thank the Antarctic Ecosystem Research Division, Southwest Fisheries Science Center, National Marine Fisheries Service National Oceanic and Atmospheric Administration (USA) for providing Pygoscelis penguin diet samples and research data on the Llano Point breeding site. This work was supported by the Polish National Science Centre, Project Miniatura 1 no. 2017/01/X/NZ8/01181, received by Anna Panasiuk. Special thanks are given to Dr Jefferson Hinke and the anonymous reviewers, whose comments and suggestions substantially improved the manuscript. The data on penguin populations used in the paper were collected at the Henryk Arctowski Polish Antarctic Station.</t>
  </si>
  <si>
    <t>PII S0954102019000543</t>
  </si>
  <si>
    <t>10.1017/S0954102019000543</t>
  </si>
  <si>
    <t>WOS:000578269300004</t>
  </si>
  <si>
    <t>Wilson, JW; Marsh, LA; Van Verre, W; Rose, MC; Evatt, G; Smedley, ARD; Peyton, AJ</t>
  </si>
  <si>
    <t>Wilson, John W.; Marsh, Liam A.; Van Verre, Wouter; Rose, Michael C.; Evatt, Geoffrey; Smedley, Andrew R. D.; Peyton, Anthony J.</t>
  </si>
  <si>
    <t>Design and construction of a bespoke system for the detection of buried, iron-rich meteorites in Antarctica</t>
  </si>
  <si>
    <t>electromagnetic; iron; metal detection; meteorites</t>
  </si>
  <si>
    <t>Iron-rich meteorites are significantly underrepresented in collection statistics from Antarctica. This has led to a hypothesis that there is a sparse layer of iron-rich meteorites hidden below the surface of the ice, thereby explaining the apparent shortfall. As standard Antarctic meteorite collecting techniques rely upon a visual surface search approach, the need has thus arisen to develop a system that can detect iron objects under a few tens of centimetres of ice, where the expected number density is of the order one per square kilometre. To help answer this hypothesis, a large-scale pulse induction metal detector array has been constructed for deployment in Antarctica. The metal detector array is 6 m wide, able to travel at 15 km h(-1) and can scan 1 km(2) in similar to 11 hours. This paper details the construction of the metal detector system with respect to design criteria, notably the ruggedization of the system for Antarctic deployment. Some preliminary results from UK and Antarctic testing are presented. We show that the system performs as specified and should reach the pre-agreed target of the detection of a 100 g iron meteorite at 300 mm when deployed in Antarctica.</t>
  </si>
  <si>
    <t>[Wilson, John W.; Marsh, Liam A.; Van Verre, Wouter; Peyton, Anthony J.] Univ Manchester, Sch Elect &amp; Elect Engn, Manchester M13 9PL, Lancs, England; [Evatt, Geoffrey; Smedley, Andrew R. D.] Univ Manchester, Sch Math, Manchester M13 9PL, Lancs, England; [Rose, Michael C.] British Antarctic Survey, Cambridge CB3 0E7, England</t>
  </si>
  <si>
    <t>University of Manchester; University of Manchester; UK Research &amp; Innovation (UKRI); Natural Environment Research Council (NERC); NERC British Antarctic Survey</t>
  </si>
  <si>
    <t>Wilson, JW (corresponding author), Univ Manchester, Sch Elect &amp; Elect Engn, Manchester M13 9PL, Lancs, England.</t>
  </si>
  <si>
    <t>john.wilson@manchester.ac.uk</t>
  </si>
  <si>
    <t>Marsh, Liam A/ACN-0269-2022; Smedley, Andrew/N-7194-2019</t>
  </si>
  <si>
    <t>Marsh, Liam A/0000-0002-4302-7487; Smedley, Andrew/0000-0001-7137-6628; Wilson, John/0000-0003-2139-1250; Van Verre, Wouter/0000-0003-3331-5140</t>
  </si>
  <si>
    <t>Leverhulme Trust [RPG-2016-349]; ESPRC [EP/R002177/1]; EPSRC [EP/R002177/1] Funding Source: UKRI; NERC [bas010011] Funding Source: UKRI</t>
  </si>
  <si>
    <t>Leverhulme Trust(Leverhulme Trust); ESPRC(UK Research &amp; Innovation (UKRI)Engineering &amp; Physical Sciences Research Council (EPSRC)); EPSRC(UK Research &amp; Innovation (UKRI)Engineering &amp; Physical Sciences Research Council (EPSRC)); NERC(UK Research &amp; Innovation (UKRI)Natural Environment Research Council (NERC))</t>
  </si>
  <si>
    <t>This work was conducted under 'The Lost Meteorites of Antarctica' grant from Leverhulme Trust no.: RPG-2016-349. The authors would also like to recognize the contribution from ESPRC project EP/R002177/1 'Reducing the Threat to Public Safety: Improved metallic object characterisation, location and detection'.</t>
  </si>
  <si>
    <t>PII S0954102019000531</t>
  </si>
  <si>
    <t>10.1017/S0954102019000531</t>
  </si>
  <si>
    <t>WOS:000578269300008</t>
  </si>
  <si>
    <t>Thierry, NNB; Tang, H; Achile, NP; Xu, LX; Hu, FX; You, XX</t>
  </si>
  <si>
    <t>Thierry, Nyatchouba Nsangue Bruno; Tang, Hao; Achile, Njomoue Pandong; Xu, Liuxiong; Hu, Fuxiang; You, Xinxing</t>
  </si>
  <si>
    <t>Comparative study on the full-scale prediction performance of four trawl nets used in the coastal bottom trawl fishery by flume tank experimental investigation</t>
  </si>
  <si>
    <t>APPLIED OCEAN RESEARCH</t>
  </si>
  <si>
    <t>Bottom trawl; Bridle tension; Flume tank; Net mouth area; Energy efficiency</t>
  </si>
  <si>
    <t>DRAG; FLOW; SIMULATION; DESIGN; GEAR</t>
  </si>
  <si>
    <t>Energy efficiency, catchability, and ecological sustainability have become important issues for coastal bottom trawl fisheries. Thus, fishing gear has been modified to increase the swept area and decrease the drag and bycatch. To evaluate the effect of twine thickness, twine material, and mesh size on the drag (bridle tension) and geometrical shape of trawl nets, this study focused on the full-scale prediction performance (geometry and resistance) of bottom trawl nets used in the coastal fishery. Four 1/18-scale bottom trawl models with different twine diameters, different mesh sizes, and even the Geometrical shape of wing-end were designed and tested in a flume tank at Tokyo University of Marine Sciences and Technology (TUMST). The flume tank experimental data were evaluated to predict full-scale performance at sea and to compare the performance of trawl nets built with traditional materials (polyethylene), namely, trawl nets 1 and 4, with those built with innovative materials (Dyneema and nylon monofilament), namely, trawl nets 2 and 3, respectively. The geometrical shape of bottom trawl net was determined from the nonlinear equation constructed and solved using the experimental data with various door spreads and towing speeds. The results show that an increase in mesh size using Dyneema (trawl net 2) systematically leads to a decrease in bridle tension similar to 34.55%, a decrease of twine diameter using nylon monofilament (trawl net 3) lead to a decrease in bridle tension similar to 35.4%, and an increase in mesh size using triangular shape in the wing-end (trawl net 4) lead to a decrease in bridle tension similar to 19.92%. The net mouth area of trawl net 1 is 4.36%, 10.88%, and 6.47% greater than those of trawl nets 2, 3, and 4, respectively. The filtered volume of trawl net 3 is 1.29%, 7.48%, and 4.13% greater than those of trawl nets 1, 2, and 4, respectively, indicating that trawl net 3 has better catch performance than other trawl nets. The shapes of floating rope of all the four trawl nets are very close with a gap of less than 1.5%, indicating that the increase in mesh size and decrease in twine diameter do not affect the geometrical shape significantly as the drag force. The results also show that the ratio between bridle tension and net mouth area of trawl net 1 is 31.57 %, 27.61%, and 14.37% greater than those of trawl nets 2, 3, and 4, respectively.</t>
  </si>
  <si>
    <t>[Thierry, Nyatchouba Nsangue Bruno; Tang, Hao; Xu, Liuxiong] Shanghai Ocean Univ, Coll Marine Sci, 999 Huchenghuan Rd, Shanghai 201306, Peoples R China; [Tang, Hao; Xu, Liuxiong] Natl Engn Res Ctr Ocean Fisheries, Shanghai 201306, Peoples R China; [Tang, Hao; Xu, Liuxiong] Minist Agr &amp; Rural Affairs, Key Lab Ocean Fisheries Explorat, Shanghai 201306, Peoples R China; [Tang, Hao; Xu, Liuxiong] Shanghai Ocean Univ, Minist Educ, Key Lab Sustainable Exploitat Ocean Fisheries Res, Shanghai 201306, Peoples R China; [Tang, Hao; Xu, Liuxiong] Minist Agr &amp; Rural Affairs, Sci Observing &amp; Expt Stn Ocean Fishery Resources, Shanghai 201306, Peoples R China; [Hu, Fuxiang; You, Xinxing] Tokyo Univ Marine Sci &amp; Technol, Fac Marine Sci, Minato Ku, Tokyo 1088477, Japan; [Achile, Njomoue Pandong] Univ Douala, Fac Ind Engn, Douala, Cameroon</t>
  </si>
  <si>
    <t>Shanghai Ocean University; National Engineering Research Center for Oceanic Fisheries; Ministry of Agriculture &amp; Rural Affairs; Shanghai Ocean University; Ministry of Agriculture &amp; Rural Affairs; Tokyo University of Marine Science &amp; Technology</t>
  </si>
  <si>
    <t>Tang, H (corresponding author), Shanghai Ocean Univ, Coll Marine Sci, 999 Huchenghuan Rd, Shanghai 201306, Peoples R China.</t>
  </si>
  <si>
    <t>htang@shou.edu.cn</t>
  </si>
  <si>
    <t>Zhang, Han/JMR-0670-2023; xu, liu/KCL-1154-2024; Bruno, Nyatchouba Nsangue Thierry/AAZ-5386-2021; Tang, Hao/GXH-6097-2022</t>
  </si>
  <si>
    <t>Tang, Hao/0000-0002-3393-1683</t>
  </si>
  <si>
    <t>National Natural Science Foundation of China [31902426]; Shanghai Sailing Program [19YF1419800]; China Postdoctoral Science Foundation [2018M630471]; Special project for the exploitation and utilization of Antarctic biological resources of Ministry of Agriculture and Rural Affairs [D-8002-18-0097]</t>
  </si>
  <si>
    <t>National Natural Science Foundation of China(National Natural Science Foundation of China (NSFC)); Shanghai Sailing Program; China Postdoctoral Science Foundation(China Postdoctoral Science Foundation); Special project for the exploitation and utilization of Antarctic biological resources of Ministry of Agriculture and Rural Affairs</t>
  </si>
  <si>
    <t>This study was financially sponsored by the National Natural Science Foundation of China (Grand No. 31902426), Shanghai Sailing Program (19YF1419800), China Postdoctoral Science Foundation funded project (2018M630471), and Special project for the exploitation and utilization of Antarctic biological resources of Ministry of Agriculture and Rural Affairs (D-8002-18-0097).</t>
  </si>
  <si>
    <t>0141-1187</t>
  </si>
  <si>
    <t>1879-1549</t>
  </si>
  <si>
    <t>APPL OCEAN RES</t>
  </si>
  <si>
    <t>Appl. Ocean Res.</t>
  </si>
  <si>
    <t>10.1016/j.apor.2019.102022</t>
  </si>
  <si>
    <t>Engineering, Ocean; Oceanography</t>
  </si>
  <si>
    <t>Engineering; Oceanography</t>
  </si>
  <si>
    <t>KL2WV</t>
  </si>
  <si>
    <t>WOS:000513290200011</t>
  </si>
  <si>
    <t>Dou, J; Wu, ZW; Li, JP</t>
  </si>
  <si>
    <t>Dou, Juan; Wu, Zhiwei; Li, Jianping</t>
  </si>
  <si>
    <t>The strengthened relationship between the Yangtze River Valley summer rainfall and the Southern Hemisphere annular mode in recent decades</t>
  </si>
  <si>
    <t>SAM; Yangtze River valley summer rainfall; Interdecadal change</t>
  </si>
  <si>
    <t>SEA-SURFACE TEMPERATURE; SPRING ANTARCTIC OSCILLATION; INTERANNUAL VARIABILITY; MONTHLY PRECIPITATION; WINTER PRECIPITATION; TIBETAN PLATEAU; LEVEL PRESSURE; EAST-ASIA; EL-NINO; PART I</t>
  </si>
  <si>
    <t>This paper reveals a change in the relationship between the Yangtze River valley (YRV) summer rainfall (YRVSR) and the spring Southern Hemisphere annular mode (SAM) during the period of 1958-2012. It is found that the positive correlation between the YRVSR and the previous May SAM is insignificant during the period of 1958-1987 (P1), while it becomes significant during the period of 1988-2012 (P2). Such interdecadal change is relevant to the interdecadal change of the relationship between the May SAM and the Indian Ocean sea surface temperature anomaly (SSTA). During P2, the strong exchange of the air-sea heat flux related to the May SAM can excite a prominent meridional Indian Ocean tri-pole (IOT) SSTA pattern, whereas during P1, the May SAM associated air-sea heat exchange is weak and the IOT SSTA is not evident. Further observational and simulated evidences show that the May SAM associated IOT SSTA can persist through the following boreal summer and modulate the rainfall anomalies over the Maritime Continent (MC) by changing the zonal circulation over the tropical Indian Ocean-MC region. Subsequently, wave energies generated by the latent heat release of the MC rainfall (MCR) anomalies can propagate northward to the YRV along the great circle route. Responding to the positive (or negative) MCR heating forcing, anticyclonic (or cyclonic) circulation anomalies are excited over the western North Pacific, transporting more (or less) moisture to the YRV. Correspondingly, abnormal ascending (or sinking) motions are induced over the YRV, favoring sufficient (or insufficient) YRVSR. Thus, the IOT SSTA and MCR act as the ocean and atmosphere bridge role in connecting the May SAM and the YRVSR, respectively. Those models from phase 5 of the Coupled Model Intercomparison Project (CMIP5) which well capture the May SAM-YRVSR relation can reproduce the IOT SSTA pattern and MCR anomalies associated with the May SAM. This further affirms that both the IOT SSTA and MCR are responsible for the strengthened relationship between the SAM and the YRVSR.</t>
  </si>
  <si>
    <t>[Dou, Juan; Wu, Zhiwei] Fudan Univ, Inst Atmospher Sci, Dept Atmospher &amp; Ocean Sci, Shanghai 200438, Peoples R China; [Li, Jianping] Ocean Univ China, Inst Adv Ocean Studies, Key Lab Phys Oceanog, Qingdao 266003, Peoples R China; [Li, Jianping] Qingdao Natl Lab Marine Sci &amp; Technol, Qingdao 266003, Peoples R China</t>
  </si>
  <si>
    <t>Fudan University; Ocean University of China; Laoshan Laboratory</t>
  </si>
  <si>
    <t>Wu, ZW (corresponding author), Fudan Univ, Inst Atmospher Sci, Dept Atmospher &amp; Ocean Sci, Shanghai 200438, Peoples R China.</t>
  </si>
  <si>
    <t>zhiweiwu@fudan.edu.cn</t>
  </si>
  <si>
    <t>Wu, Zhiwei/KHE-4328-2024; Li, Jianping/I-2661-2012</t>
  </si>
  <si>
    <t>Li, Jianping/0000-0003-0625-1575</t>
  </si>
  <si>
    <t>10.1007/s00382-019-05078-4</t>
  </si>
  <si>
    <t>KR8ZT</t>
  </si>
  <si>
    <t>WOS:000517904100009</t>
  </si>
  <si>
    <t>Lei, RB; Gui, DW; Heil, P; Hutchings, JK; Ding, MH</t>
  </si>
  <si>
    <t>Lei, Ruibo; Gui, Dawei; Heil, Petra; Hutchings, Jennifer K.; Ding, Minghu</t>
  </si>
  <si>
    <t>Comparisons of sea ice motion and deformation, and their responses to ice conditions and cyclonic activity in the western Arctic Ocean between two summers</t>
  </si>
  <si>
    <t>COLD REGIONS SCIENCE AND TECHNOLOGY</t>
  </si>
  <si>
    <t>Arctic; Sea ice; Cyclonic activity; Ice concentration; Ice deformation</t>
  </si>
  <si>
    <t>MASS-BALANCE; TEMPORAL CHARACTERIZATION; N-ICE2015; DRIFT</t>
  </si>
  <si>
    <t>Measurements from 30 and 31 ice drifters during the seasonal transition from mid-August to late September of 2014 and 2016, respectively, were used to characterize sea ice motion and deformation in the western Arctic Ocean. The dispersion distance for the ice deformation in summer was markedly reduced because the mechanical behavior of sea ice in summer is closer to free drift and more granular compared to that in winter. For unconsolidated sea ice in late summer the logarithmic relationship between deformation and spatial scale is 2.4-3.1 times that for ice under freezing conditions. For 2007 to 2016 late summer (August - September) sea ice compactness in the Arctic was the highest (lowest) in 2014 (2016). Along the trajectories of the 2016 (2014) ice camp, the average 10-m wind speed in August-September was larger (smaller) than that averaged in 1979-2016 by 20% (13%). Relative to the great Arctic cyclone in August 2012, cyclones in summer 2016 had comparable sizes and intensity but with longer persistence. Lower ice compactness coupled with stronger cyclonic activity in late summer 2016 led to increased ice speed and enhanced deformation compared to 2014. Sea ice during late summer 2016 was closer to free drift, resulting in greater homogeneity of the drift field, a larger ice-wind speed ratio, as well as weaker multifractality, localization, and space-time coupling of the deformation field compared to late summer 2014. The localization of ice deformation in late summer 2014 was comparable to that obtained in the freezing season because of the high ice compactness. The enhanced ice dynamics in summer 2016 promoted ice melt and area loss via the positive albedo feedback.</t>
  </si>
  <si>
    <t>[Lei, Ruibo; Gui, Dawei] Polar Res Inst China, MNR Key Lab Polar Sci, Key Lab Polar Sci State Ocean Adm, Shanghai 200136, Peoples R China; [Gui, Dawei] Wuhan Univ, Chinese Antarctic Ctr Surveying &amp; Mapping, Wuhan 430079, Peoples R China; [Heil, Petra] Australian Antarctic Div, Hobart, Tas 7150, Australia; [Heil, Petra] Univ Tasmania, Antarctic Climate &amp; Ecosyst Cooperat Res Ctr, Hobart, Tas 7004, Australia; [Hutchings, Jennifer K.] Oregon State Univ, Coll Earth Ocean &amp; Atmospher Sci, Corvallis, OR 97331 USA; [Ding, Minghu] Chinese Acad Meteorol Sci, Beijing 100081, Peoples R China</t>
  </si>
  <si>
    <t>Polar Research Institute of China; Wuhan University; Australian Antarctic Division; Antarctic Climate &amp; Ecosystems Cooperative Research Centre (ACE CRC); University of Tasmania; Oregon State University; China Meteorological Administration; Chinese Academy of Meteorological Sciences (CAMS)</t>
  </si>
  <si>
    <t>Lei, RB (corresponding author), Polar Res Inst China, MNR Key Lab Polar Sci, Key Lab Polar Sci State Ocean Adm, Shanghai 200136, Peoples R China.</t>
  </si>
  <si>
    <t>leiruibo@pric.org.cn</t>
  </si>
  <si>
    <t>Hutchings, Jennifer K/P-6356-2017; Ding, Minghu/AFU-3600-2022</t>
  </si>
  <si>
    <t>Ding, Minghu/0000-0002-1142-6598; Heil, Petra/0000-0003-2078-0342</t>
  </si>
  <si>
    <t>National Key Research and Development Program [2018YFA0605903, 2016YFC14003]; National Natural Science Foundation of China [41722605]; U.S.A. National Science Foundation [OPP1722729, OPP1740768]; Antarctic Climate and Ecosystems CRC program; AAS grants [4301, 4390]</t>
  </si>
  <si>
    <t>National Key Research and Development Program; National Natural Science Foundation of China(National Natural Science Foundation of China (NSFC)); U.S.A. National Science Foundation(National Science Foundation (NSF)); Antarctic Climate and Ecosystems CRC program(Australian GovernmentDepartment of Industry, Innovation and ScienceCooperative Research Centres (CRC) Programme); AAS grants</t>
  </si>
  <si>
    <t>This work was supported by grants from the National Key Research and Development Program (2018YFA0605903 &amp; 2016YFC14003) and the National Natural Science Foundation of China (41722605). J.H. was supported by the U.S.A. National Science Foundation grants OPP1722729 and OPP1740768. P.H. was supported by the Antarctic Climate and Ecosystems CRC program and AAS grants 4301 and 4390. The data of ice-tethered buoys are publicly available in the CHINARE database: http://www.chinare.org.cn/difDetailPublic/?id=9721 (DOI: 10.11856/NNS.D.2019.001.v0). Three anonymous reviewers are greatly thanked for their constructive reviews.</t>
  </si>
  <si>
    <t>0165-232X</t>
  </si>
  <si>
    <t>1872-7441</t>
  </si>
  <si>
    <t>COLD REG SCI TECHNOL</t>
  </si>
  <si>
    <t>Cold Reg. Sci. Tech.</t>
  </si>
  <si>
    <t>10.1016/j.coldregions.2019.102925</t>
  </si>
  <si>
    <t>Engineering, Environmental; Engineering, Civil; Geosciences, Multidisciplinary</t>
  </si>
  <si>
    <t>Engineering; Geology</t>
  </si>
  <si>
    <t>KB7JE</t>
  </si>
  <si>
    <t>WOS:000506666000023</t>
  </si>
  <si>
    <t>Laptikhovsky, V; Bell, JB; Benedet, R; Glass, J; Glass, W; Green, R; Robson, GR; Yates, O; Collins, MA</t>
  </si>
  <si>
    <t>Laptikhovsky, Vladimir; Bell, James B.; Benedet, Ramon; Glass, James; Glass, Warren; Green, Rodney; Robson, Georgia R.; Yates, Oliver; Collins, Martin A.</t>
  </si>
  <si>
    <t>Feeding habits of bluenose warehou, Hyperoglyphe antarctica (Carmichael, 1819) (Centrolophidae) at seamounts of the Southern Atlantic</t>
  </si>
  <si>
    <t>Bluenose warehou; Hyperoglyphe; Tristan da Cunha; Feeding; Seamount; Deep-sea ecology</t>
  </si>
  <si>
    <t>DIETARY OVERLAP; ISLANDS; FISHES; INFORMATION; TREVALLA; TASMANIA; PISCES; FAUNA; SIZE; FOOD</t>
  </si>
  <si>
    <t>Diet of bluenose warehou, Hyperoglyphe antarctica, was investigated from samples collected during commercial fishing (trawling and longlining) on seamounts in the Tristan da Cunha EEZ in the South Atlantic Ocean. Bluenose warehou (57-123 cm TL, N = 309) was found to forage on a broad range of prey, dominated by mesopelagic cephalopods (squid families Onychoteuthidae and Histioteuthidae, Pholidoteuthis massyae and octopus Haliphron atlanticus), Thaliacea (salps and pyrosomes) and a sternoptychid Maurolicus inventionis. Bluenose warehou exhibited a range of foraging strategies from browsing on dense , aggregations of passively drifting jelly-like zooplankton to catching mobile nektonic fish. Bluenose also consumed body parts of the gelatinous giant octopus H. adanticus, which may have been scavenged or predated. The study indicates that bluenose warehou has an unusually broad prey range for a teleost. The diversity of prey and high flexibility of the hunting strategies permitted the bluenose warehou to prosper in the highly changeable and dynamic environments of underwater seamounts.</t>
  </si>
  <si>
    <t>[Laptikhovsky, Vladimir; Bell, James B.; Benedet, Ramon; Robson, Georgia R.; Yates, Oliver] Cefas, Pakefield Rd, Lowestoft NR33 0HT, Suffolk, England; [Glass, James; Glass, Warren; Green, Rodney] Tristan da Cunha Fisheries Dept, Edinburgh Seas 7, Tristan TDCU 1ZZ, Tristan Da Cunh, St Helena; [Collins, Martin A.] British Antarctic Survey High Cross, Madingley Rd, Cambridge CB3 0ET, England; [Collins, Martin A.] Univ Coll Cork, Sch Biol Environm &amp; Earth Sci, Cork T23 N73K, Ireland</t>
  </si>
  <si>
    <t>Centre for Environment Fisheries &amp; Aquaculture Science; UK Research &amp; Innovation (UKRI); Natural Environment Research Council (NERC); NERC British Antarctic Survey; University College Cork</t>
  </si>
  <si>
    <t>Laptikhovsky, V (corresponding author), Cefas, Pakefield Rd, Lowestoft NR33 0HT, Suffolk, England.</t>
  </si>
  <si>
    <t>vladimir.laptikhovsky@cefas.co.uk</t>
  </si>
  <si>
    <t>, Martin/ABE-6728-2020</t>
  </si>
  <si>
    <t>, Martin/0000-0001-7132-8650</t>
  </si>
  <si>
    <t>UK Government through the Blue Belt Programme; NERC [bas0100035] Funding Source: UKRI</t>
  </si>
  <si>
    <t>UK Government through the Blue Belt Programme; NERC(UK Research &amp; Innovation (UKRI)Natural Environment Research Council (NERC))</t>
  </si>
  <si>
    <t>This work was funded by the UK Government through the Blue Belt Programme (https://www.gov.uk/government/publications/the-bluebelt-programme).Authors sincerely thank masters and crew of IN Edinburgh and FV Argos Vigo for assisting in sample collection.</t>
  </si>
  <si>
    <t>10.1016/j.dsr.2019.103182</t>
  </si>
  <si>
    <t>WOS:000514247800005</t>
  </si>
  <si>
    <t>Friedl, P; Weiser, F; Fluhrer, A; Braun, MH</t>
  </si>
  <si>
    <t>Friedl, Peter; Weiser, Frank; Fluhrer, Anke; Braun, Matthias H.</t>
  </si>
  <si>
    <t>Remote sensing of glacier and ice sheet grounding lines: A review</t>
  </si>
  <si>
    <t>Grounding line; Remote sensing; Ice shelf; Glacier; Antarctica; Greenland</t>
  </si>
  <si>
    <t>PINE ISLAND GLACIER; DIGITAL ELEVATION MODEL; SATELLITE RADAR INTERFEROMETRY; BASAL MELT RATES; WEST ANTARCTICA; TIDAL FLEXURE; MASS-BALANCE; JAKOBSHAVN ISBRAE; OUTLET GLACIERS; TANDEM-X</t>
  </si>
  <si>
    <t>The precise positioning and long-term monitoring of the grounding line, forming the boundary between grounded and floating ice of marine ice sheets and tidewater glaciers, is critical for assessing ice sheet/glacier stability, ice sheet/glacier mass balance calculations and numerical ice modelling. However, mapping of the grounding line is a challenging task, since it is a subglacial and transient feature. Remote sensing techniques do not map the grounding line directly but locate surface features in the grounding zone that serve as proxies for the true grounding line position. The large variety of methods, products and publications, as well as an inconsistent use of terminology additionally complicate the topic. We present the first detailed review of existing remote sensing techniques and data for grounding line mapping. Benefits and limitations of the different techniques and data sources are discussed and illustrated with examples. We identify a present tradeoff between accuracy and both spatial coverage and temporal resolution of the derived grounding line products. Rather new methods like Sentinel-1-SAR (Synthetic Aperture Radar) Differential Range Offset Tracking (DROT) and Pseudo Crossover Radar Altimetry (PCRA) offer the potential for recent measurements and to fill gaps in some areas. Nevertheless, there is a high demand of new spaceborne radar sensors that provide time series of very short repeat pass data to enable regular grounding line monitoring with most accurate Differential SAR Interferometry (DInSAR) on a continental scale.</t>
  </si>
  <si>
    <t>[Friedl, Peter; Fluhrer, Anke; Braun, Matthias H.] Friedrich Alexander Univ Erlangen Nuremberg, Inst Geog, D-91058 Erlangen, Germany; [Friedl, Peter; Weiser, Frank; Fluhrer, Anke] German Aerosp Ctr DLR, German Remote Sensing Data Ctr DFD, D-82234 Oberpfaffenhofen, Germany; [Weiser, Frank] Univ Bayreuth, Dept Biogeog, D-95445 Bayreuth, Germany</t>
  </si>
  <si>
    <t>University of Erlangen Nuremberg; Helmholtz Association; German Aerospace Centre (DLR); University of Bayreuth</t>
  </si>
  <si>
    <t>Friedl, P (corresponding author), Friedrich Alexander Univ Erlangen Nuremberg, Inst Geog, D-91058 Erlangen, Germany.</t>
  </si>
  <si>
    <t>peter.friedl@fau.de</t>
  </si>
  <si>
    <t>Weiser, Frank/HHN-4592-2022; Friedl, Peter/HTL-2333-2023; Fluhrer, Anke/HLQ-5169-2023; Braun, Matthias H/S-4693-2016; Braun, Matthias/A-4968-2009</t>
  </si>
  <si>
    <t>Weiser, Frank/0000-0002-1289-9418; Friedl, Peter/0009-0000-9891-6655; Fluhrer, Anke/0000-0002-1188-5313; Braun, Matthias/0000-0001-5169-1567</t>
  </si>
  <si>
    <t>DLR VO-R Young Investigator Group Antarctic Research; DLR/BMWi [50EE1716]</t>
  </si>
  <si>
    <t>DLR VO-R Young Investigator Group Antarctic Research; DLR/BMWi(Helmholtz AssociationGerman Aerospace Centre (DLR)Federal Ministry for Economic Affairs and Energy (BMWi))</t>
  </si>
  <si>
    <t>The project was partially funded by the DLR VO-R Young Investigator Group Antarctic Research and the DLR/BMWi project50EE1716. Sentinel-1 and OIB data were kindly freely made available by ESA and NASA, respectively. We would like to thank Stefan Lippl, David Farias Barahona and Thomas Jagdhuber for their helpful comments on early versions of the manuscript. Finally, we are grateful to the editor, Shuhab Khan, as well as Adrian Luckman and an anonymous reviewer for their useful suggestions that helped to further improve the manuscript.</t>
  </si>
  <si>
    <t>10.1016/j.earscirev.2019.102948</t>
  </si>
  <si>
    <t>WOS:000520949700001</t>
  </si>
  <si>
    <t>Chandra, D; Gayathri, P; Vats, M; Nagaraj, R; Ray, MK; Jagannadham, MV</t>
  </si>
  <si>
    <t>Chandra, Deepika; Gayathri, P.; Vats, Mudita; Nagaraj, R.; Ray, M. K.; Jagannadham, M., V</t>
  </si>
  <si>
    <t>Mass spectral analysis of acetylated peptides: Implications in proteomics</t>
  </si>
  <si>
    <t>EUROPEAN JOURNAL OF MASS SPECTROMETRY</t>
  </si>
  <si>
    <t>Peptide sequence; ESI-MS; MS; Pseudomonas syringae; tryptic peptides; acetylation; b-ions; y-ions; de novo sequencing; synthetic peptides; MS; MS spectra</t>
  </si>
  <si>
    <t>B-IONS; PROTEIN IDENTIFICATION; TANDEM; PSEUDOMONAS; MEMBRANE; FRAGMENTATION; SPECTROMETRY; OXAZOLONE; SEQUENCES</t>
  </si>
  <si>
    <t>Sequence determination of peptides using mass spectrometry plays a crucial role in the bottom-up approaches for the identification of proteins. It is crucially important to minimise false detection and validate sequence of the peptides in order to correctly identify a protein. Chemical modification of peptides followed by mass spectrometry is an option for improving the spectral quality. In silico-derived tryptic peptides with different N-terminal amino acids were designed from human proteins and synthesized. The effect of acetylation on the fragmentation of peptides was studied. N-terminal acetylation of the tryptic peptides was shown to form b(1)-ions, improve the abundance and occurrence of b-ions. In some cases, the intensity and occurrence of some y-ions also varied. Thus, it is demonstrated that acetylation plays an important role in improving the de novo sequencing efficiency of the peptides. The acetylation method was extended to tryptic peptides generated from the proteome of an Antarctic bacterium Pseudomonas syringae Lz4W using the proteomics work flow and mass spectra of the peptides were analysed. Comparison of the MS/MS spectra of the acetylated and unacetylated peptides revealed that acetylation helped in improving the spectral quality and validated the peptide sequences. Using this method, 673 proteins of the 1070 proteins identified were validated.</t>
  </si>
  <si>
    <t>[Chandra, Deepika; Gayathri, P.; Vats, Mudita; Nagaraj, R.; Ray, M. K.; Jagannadham, M., V] CSIR, Ctr Cellular &amp; Mol Biol, Hyderabad 500007, Andhra Pradesh, India</t>
  </si>
  <si>
    <t>Council of Scientific &amp; Industrial Research (CSIR) - India; CSIR - Centre for Cellular &amp; Molecular Biology (CCMB)</t>
  </si>
  <si>
    <t>Jagannadham, MV (corresponding author), CSIR, Ctr Cellular &amp; Mol Biol, Hyderabad 500007, Andhra Pradesh, India.</t>
  </si>
  <si>
    <t>jagan@ccmb.res.in</t>
  </si>
  <si>
    <t>Jagannadham, Medicharla V. V./AAW-6773-2021</t>
  </si>
  <si>
    <t>Jagannadham, Medicharla V/0000-0001-9371-6275; Chandra, Deepika/0000-0002-8396-474X</t>
  </si>
  <si>
    <t>1469-0667</t>
  </si>
  <si>
    <t>1751-6838</t>
  </si>
  <si>
    <t>EUR J MASS SPECTROM</t>
  </si>
  <si>
    <t>Eur. J. Mass Spectrom.</t>
  </si>
  <si>
    <t>10.1177/1469066719857564</t>
  </si>
  <si>
    <t>Physics, Atomic, Molecular &amp; Chemical; Spectroscopy</t>
  </si>
  <si>
    <t>Physics; Spectroscopy</t>
  </si>
  <si>
    <t>KB3NO</t>
  </si>
  <si>
    <t>WOS:000506406800003</t>
  </si>
  <si>
    <t>Williams, SE; Hobday, AJ; Falconi, L; Hero, JM; Holbrook, NJ; Capon, S; Bond, NR; Ling, SD; Hughes, L</t>
  </si>
  <si>
    <t>Williams, Stephen E.; Hobday, Alistair J.; Falconi, Lorena; Hero, Jean-Marc; Holbrook, Neil J.; Capon, Samantha; Bond, Nick R.; Ling, Scott D.; Hughes, Lesley</t>
  </si>
  <si>
    <t>Research priorities for natural ecosystems in a changing global climate</t>
  </si>
  <si>
    <t>adaptation; freshwater; global change biology; marine; natural ecosystems; research prioritization; terrestrial</t>
  </si>
  <si>
    <t>Climate change poses significant emerging risks to biodiversity, ecosystem function and associated socioecological systems. Adaptation responses must be initiated in parallel with mitigation efforts, but resources are limited. As climate risks are not distributed equally across taxa, ecosystems and processes, strategic prioritization of research that addresses stakeholder-relevant knowledge gaps will accelerate effective uptake into adaptation policy and management action. After a decade of climate change adaptation research within the Australian National Climate Change Adaptation Research Facility, we synthesize the National Adaptation Research Plans for marine, terrestrial and freshwater ecosystems. We identify the key, globally relevant priorities for ongoing research relevant to informing adaptation policy and environmental management aimed at maximizing the resilience of natural ecosystems to climate change. Informed by both global literature and an extensive stakeholder consultation across all ecosystems, sectors and regions in Australia, involving thousands of participants, we suggest 18 priority research topics based on their significance, urgency, technical and economic feasibility, existing knowledge gaps and potential for cobenefits across multiple sectors. These research priorities provide a unified guide for policymakers, funding organizations and researchers to strategically direct resources, maximize stakeholder uptake of resulting knowledge and minimize the impacts of climate change on natural ecosystems. Given the pace of climate change, it is imperative that we inform and accelerate adaptation progress in all regions around the world.</t>
  </si>
  <si>
    <t>[Williams, Stephen E.; Falconi, Lorena; Hero, Jean-Marc] James Cook Univ, Coll Sci &amp; Engn, Nat Ecosyst Network, Natl Climate Change Adaptat Res Facil, Townsville, Qld, Australia; [Hobday, Alistair J.] CSIRO Oceans &amp; Atmosphere, Hobart, Tas, Australia; [Hero, Jean-Marc] Flinders Univ S Australia, Coll Sci &amp; Engn, Adelaide, SA, Australia; [Hero, Jean-Marc] Univ Sunshine Coast, Sch Sci &amp; Engn, Maroochydore, Qld, Australia; [Hero, Jean-Marc] Univ Kent, Durrell Inst Conservat &amp; Ecol, Canterbury, Kent, England; [Holbrook, Neil J.; Ling, Scott D.] Univ Tasmania, Inst Marine &amp; Antarctic Studies, Hobart, Tas, Australia; [Holbrook, Neil J.] Univ Tasmania, ARC Ctr Excellence Climate Extremes, Hobart, Tas, Australia; [Capon, Samantha] Griffith Univ, Australian Rivers Inst, Griffith Sch Environm &amp; Sci, Nathan, Qld, Australia; [Bond, Nick R.] La Trobe Univ, Ctr Freshwater Ecosyst, Wodonga, Vic, Australia; [Hughes, Lesley] Macquarie Univ, Dept Biol Sci, N Ryde, NSW, Australia</t>
  </si>
  <si>
    <t>James Cook University; Commonwealth Scientific &amp; Industrial Research Organisation (CSIRO); Flinders University South Australia; University of the Sunshine Coast; University of Kent; University of Tasmania; University of Tasmania; Griffith University; La Trobe University; Macquarie University</t>
  </si>
  <si>
    <t>Williams, SE (corresponding author), James Cook Univ, Natl Climate Change Adaptat Res Facil, Ctr Trop Environm &amp; Sustainabil Sci, Coll Sci &amp; Engn,Nat Ecosyst Network, Townsville, Qld 4811, Australia.</t>
  </si>
  <si>
    <t>stephen.williams@jcu.edu.au</t>
  </si>
  <si>
    <t>Bond, Nick R./A-1129-2016; Capon, Samantha J/L-4944-2019; Hobday, Alistair/A-1460-2012; Ling, Scott/J-7161-2014; Holbrook, Neil/M-7544-2013; Williams, Stephen/A-7250-2008</t>
  </si>
  <si>
    <t>Bond, Nick R./0000-0003-4294-6008; Hero, Jean-Marc/0000-0003-0409-7885; Hobday, Alistair/0000-0002-3194-8326; Ling, Scott/0000-0002-5544-8174; Holbrook, Neil/0000-0002-3523-6254; Williams, Stephen/0000-0002-2510-7408; Hughes, Lesley/0000-0003-0313-9780</t>
  </si>
  <si>
    <t>10.1111/gcb.14856</t>
  </si>
  <si>
    <t>KJ2WD</t>
  </si>
  <si>
    <t>WOS:000511917700017</t>
  </si>
  <si>
    <t>Nunes, CI; Massini, JLG; Escapa, IH; Guido, DM; Campbell, K</t>
  </si>
  <si>
    <t>Isabel Nunes, Cristina; Garcia Massini, Juan Leandro; Hernan Escapa, Ignacio; Guido, Diego M.; Campbell, Kathleen</t>
  </si>
  <si>
    <t>Conifer Root Nodules Colonized by Arbuscular Mycorrhizal Fungi in Jurassic Geothermal Settings from Patagonia, Argentina</t>
  </si>
  <si>
    <t>INTERNATIONAL JOURNAL OF PLANT SCIENCES</t>
  </si>
  <si>
    <t>root nodules; arbuscular mycorrhizal fungi; hot spring settings; Araucariales; Jurassic</t>
  </si>
  <si>
    <t>LA MATILDE FORMATION; SANTA-CRUZ PROVINCE; MOLECULAR PHYLOGENY; ANTARCTIC PENINSULA; DESEADO MASSIF; ARUM-TYPE; CLASSIFICATION; WOOD; PLANTS; BASIN</t>
  </si>
  <si>
    <t>Premise of research. Despite the ecological significance of arbuscular mycorrhizae in modern terrestrial ecosystems, knowledge about their evolution based on the fossil record is still scarce, especially concerning the case of root nodules harboring arbuscular mycorrhizal fungi, as in some extant gymnosperms and angiosperms. Exceptionally preserved conifer nodular roots were found in the Jurassic fossil-bearing chert deposits of the Deseado Massif (Santa Cruz, Argentina), raising the possibility of studying them in association with arbuscular mycorrhizal fungi. The aim of this study is to describe the plant organs and their fungal partners and to discuss the ecological significance of the interactions observed, particularly with respect to their occurrence in the hot spring settings. Methodology. Thin sections of chert samples from the Canadon Nahuel locality of the La Matilde Formation, Deseado Massif (Santa Cruz, Argentina) were observed using light microscopy. Pivotal results. The cortex of the nodules is occupied by several glomeromycotan fungal structures. The structures occur in a specific zone of the cortex-toward its center-and include intracellular hyphal coils and arbuscules. Glomoid spores and coenocytic hyphae possibly penetrating the epidermal cells are also described and analyzed. Conclusions. The root nodules have affinities with the Araucariales, representing the oldest record of such structures for this conifer clade. This is also the first record of nodules harboring arbuscular mycorrhizal fungi for the Jurassic; it extends our knowledge of the fossil record for this particular type of fungal association.</t>
  </si>
  <si>
    <t>[Isabel Nunes, Cristina; Hernan Escapa, Ignacio] Consejo Nacl Invest Cient &amp; Tecn, Museo Paleontol Egidio Feruglio, Ave Fontana 140, RA-9100 Trelew, Chubut, Argentina; [Garcia Massini, Juan Leandro] Univ Nacl La Rioja, Univ Nacl Catamarca, CONICET La Rioja, Serv Geol Minero Argentino, Entre Rios &amp; Mendoza S-N, RA-5301 Anillaco, La Rioja, Argentina; [Guido, Diego M.] Univ Nacl La Plata, Inst Recursos Minerales INREMI, Fac Ciencias Nat &amp; Museo, CONICET, Calle 64 &amp; 120, RA-1900 La Plata, Buenos Aires, Argentina; [Campbell, Kathleen] Univ Auckland, Sch Environm, Geol Programme, Private Bag 92019, Auckland 1142, New Zealand</t>
  </si>
  <si>
    <t>Consejo Nacional de Investigaciones Cientificas y Tecnicas (CONICET); Consejo Nacional de Investigaciones Cientificas y Tecnicas (CONICET); National University of La Plata; Museo La Plata; University of Auckland</t>
  </si>
  <si>
    <t>Nunes, CI (corresponding author), Consejo Nacl Invest Cient &amp; Tecn, Museo Paleontol Egidio Feruglio, Ave Fontana 140, RA-9100 Trelew, Chubut, Argentina.</t>
  </si>
  <si>
    <t>cnunes@mef.org.ar</t>
  </si>
  <si>
    <t>E., Ignacio/AAA-3569-2021</t>
  </si>
  <si>
    <t>Guido, Diego/0000-0003-4696-5644</t>
  </si>
  <si>
    <t>CONICET [2318, P. 202, 173]; ANPCyT [PICT 2014-3496]</t>
  </si>
  <si>
    <t>CONICET(Consejo Nacional de Investigaciones Cientificas y Tecnicas (CONICET)); ANPCyT(ANPCyT)</t>
  </si>
  <si>
    <t>We kindly thank the anonymous reviewers for their very detailed and helpful comments and suggestions that considerably improved the manuscript. We thank Dr. Ian Dickie for kindly providing images of root nodules of extant Podocarpaceae. C. I. Nunes thanks all MEF-CONICET fellows for kind support and Licenciates Ana Andruchow Colombo and Andres Elgorriaga for insightful discussions. We also thank the Culture Bureau of Santa Cruz Province for granting us the research permits to study the geothermal deposits in the Deseado Massif and the authorities and personnel of Patagonian Gold and local people for logistical support. This contribution was funded by CONICET (Res. 2318, P. 202 and 173 to J. L. Garcia Massini) and ANPCyT (PICT 2014-3496 to J. L. Garcia Massini and D. Guido).</t>
  </si>
  <si>
    <t>UNIV CHICAGO PRESS</t>
  </si>
  <si>
    <t>CHICAGO</t>
  </si>
  <si>
    <t>1427 E 60TH ST, CHICAGO, IL 60637-2954 USA</t>
  </si>
  <si>
    <t>1058-5893</t>
  </si>
  <si>
    <t>1537-5315</t>
  </si>
  <si>
    <t>INT J PLANT SCI</t>
  </si>
  <si>
    <t>Int. J. Plant Sci.</t>
  </si>
  <si>
    <t>10.1086/706857</t>
  </si>
  <si>
    <t>KG8MU</t>
  </si>
  <si>
    <t>WOS:000510205300004</t>
  </si>
  <si>
    <t>Kassab, CM; Licht, KJ; Petersson, R; Lindbäck, K; Graly, JA; Kaplan, MR</t>
  </si>
  <si>
    <t>Kassab, Christine M.; Licht, Kathy J.; Petersson, Rickard; Lindback, Katrin; Graly, Joseph A.; Kaplan, Michael R.</t>
  </si>
  <si>
    <t>Formation and evolution of an extensive blue ice moraine in central Transantarctic Mountains, Antarctica</t>
  </si>
  <si>
    <t>Blue ice; ground-penetrating radar; moraine formation</t>
  </si>
  <si>
    <t>GROUND-PENETRATING RADAR; GEOLOGIC CONSTRAINTS; CLIMATE ARCHIVES; SHEET ELEVATIONS; BEACON VALLEY; ALLAN HILLS; GLACIER; SURFACE; ORIGIN; AREAS</t>
  </si>
  <si>
    <t>Mount Achernar moraine is a terrestrial sediment archive that preserves a record of ice-sheet dynamics and climate over multiple glacial cycles. Similar records exist in other blue ice moraines elsewhere on the continent, but an understanding of how these moraines form is limited. We propose a model to explain the formation of extensive, coherent blue ice moraine sequences based on the integration of ground-penetrating radar (GPR) data with ice velocity and surface exposure ages. GPR transects (100 and 25 MHz) both perpendicular and parallel to moraine ridges at Mount Achernar reveal an internal structure defined by alternating relatively clean ice and steeply dipping debris bands extending to depth, and where visible, to the underlying bedrock surface. Sediment is carried to the surface from depth along these debris bands, and sublimates out of the ice, accumulating over time (&gt;300 ka). The internal pattern of dipping reflectors, combined with increasing surface exposure ages, suggest sequential exposure of the sediment where ice and debris accretes laterally to form the moraine. Subsurface structure varies across the moraine and can be linked to changes in basal entrainment conditions. We speculate that higher concentrations of debris may have been entrained in the ice during colder glacial periods or entrained more proximal to the moraine sequence.</t>
  </si>
  <si>
    <t>[Kassab, Christine M.; Licht, Kathy J.; Graly, Joseph A.] Indiana Univ Purdue Univ, Dept Earth Sci, 723 W Michigan St,SL118, Indianapolis, IN 46202 USA; [Petersson, Rickard] Uppsala Univ, Geoctr, Dept Earth Sci, Villav 16, S-75236 Uppsala, Sweden; [Lindback, Katrin] Norwegian Polar Res Inst, Fram Ctr, POB 6606, NO-9296 Tromso, Norway; [Graly, Joseph A.] Northumbria Univ, Dept Geog &amp; Environm Sci, Ellison Pl, Newcastle Upon Tyne NE1 8ST, Tyne &amp; Wear, England; [Kaplan, Michael R.] Lamont Doherty Earth Observ, Div Geochem, Palisades, NY 10964 USA</t>
  </si>
  <si>
    <t>Indiana University System; Indiana University-Purdue University Indianapolis; Uppsala University; Norwegian Polar Institute; Northumbria University; Columbia University</t>
  </si>
  <si>
    <t>Kassab, CM (corresponding author), Indiana Univ Purdue Univ, Dept Earth Sci, 723 W Michigan St,SL118, Indianapolis, IN 46202 USA.</t>
  </si>
  <si>
    <t>ckassab@iupui.edu</t>
  </si>
  <si>
    <t>Kaplan, Michael R/D-4720-2011</t>
  </si>
  <si>
    <t>Graly, Joseph/0000-0002-7939-6022; Licht, Kathy/0000-0002-2233-2853; Lindback, Katrin/0000-0002-5941-6743</t>
  </si>
  <si>
    <t>National Science Foundation Office of Polar Programs [PLR-1443433, PLR-1443213]; United States Antarctic Program; Kenn Borek Air Ltd.</t>
  </si>
  <si>
    <t>National Science Foundation Office of Polar Programs(National Science Foundation (NSF)NSF - Directorate for Geosciences (GEO)); United States Antarctic Program; Kenn Borek Air Ltd.</t>
  </si>
  <si>
    <t>This research was supported by the National Science Foundation Office of Polar Programs grant PLR-1443433 and PLR-1443213. S.J. Townsend and G. Johnston provided helpful suggestions and discussion in the development of this paper. We thank the United States Antarctic Program, Crary Lab staff, Kenn Borek Air Ltd., and mountaineer Peter Braddock for fieldwork support and the Polar Geospatial Center for satellite imagery. The final version of this paper benefited greatly from anonymous reviewers. This is LDEO contribution 8361.</t>
  </si>
  <si>
    <t>PII S0022143019000832</t>
  </si>
  <si>
    <t>10.1017/jog.2019.83</t>
  </si>
  <si>
    <t>WOS:000509742700005</t>
  </si>
  <si>
    <t>Yan, P; Li, ZW; Li, F; Yang, YD; Hao, WF</t>
  </si>
  <si>
    <t>Yan, Peng; Li, Zhiwei; Li, Fei; Yang, Yuande; Hao, Weifeng</t>
  </si>
  <si>
    <t>Antarctic ice-sheet structures retrieved from P-wave coda autocorrelation method and comparisons with two other single-station passive seismic methods</t>
  </si>
  <si>
    <t>Antarctic glaciology; glacier geophysics; ice-sheet modeling; ice thickness measurements; seismology</t>
  </si>
  <si>
    <t>MOHO DEPTH; THICKNESS; RATIO; GLACIER; NOISE; REFLECTIVITY; BENEATH; CRUSTAL; ZONE; ANISOTROPY</t>
  </si>
  <si>
    <t>Passive seismology is becoming increasingly popular for glacier/ice-sheet structure investigations in Polar regions. Single-station passive seismic methods including P-wave receiver functions (PRFs), horizontal-to-vertical spectral ratio (HVSR) and a recently proposed autocorrelation method have been used to retrieve glacier/ice-sheet structures. Despite their successful applications, analysis regarding their detection abilities in different glaciological environments has not been reported. In this study, we compare ice thicknesses and v(p)/v(s) ratios obtained from the three methods using data collected at GAMSEIS and POLENET/ANET seismic arrays in Antarctica. Ice thickness estimates derived from the three methods are found to be consistent. Comparisons conducted under various model setups, including those involving tiled layers and sedimentary layers, show that the effectiveness of the autocorrelation method is not superior to the PRF method for retrieving ice-sheet structures. The autocorrelation method however can complement other methods as it only requires a single component seismic record.</t>
  </si>
  <si>
    <t>[Yan, Peng; Li, Fei; Yang, Yuande; Hao, Weifeng] Wuhan Univ, Chinese Antarctic Ctr Surveying &amp; Mapping, Wuhan 430079, Peoples R China; [Li, Zhiwei] Chinese Acad Sci, Inst Geodesy &amp; Geophys, State Key Lab Geodesy &amp; Earths Dynam, Wuhan 430077, Peoples R China; [Li, Fei] Wuhan Univ, State Key Lab Informat Engn Surveying Mapping &amp; R, Wuhan 430079, Peoples R China</t>
  </si>
  <si>
    <t>Wuhan University; Chinese Academy of Sciences; Innovation Academy for Precision Measurement Science &amp; Technology, CAS; Wuhan University</t>
  </si>
  <si>
    <t>Li, F (corresponding author), Wuhan Univ, Chinese Antarctic Ctr Surveying &amp; Mapping, Wuhan 430079, Peoples R China.;Li, ZW (corresponding author), Chinese Acad Sci, Inst Geodesy &amp; Geophys, State Key Lab Geodesy &amp; Earths Dynam, Wuhan 430077, Peoples R China.;Li, F (corresponding author), Wuhan Univ, State Key Lab Informat Engn Surveying Mapping &amp; R, Wuhan 430079, Peoples R China.</t>
  </si>
  <si>
    <t>zwli@whigg.ac.cn; fli@whu.edu.cn</t>
  </si>
  <si>
    <t>Li, Zhiwei/D-4288-2013</t>
  </si>
  <si>
    <t>Yan, Peng/0000-0003-4210-533X</t>
  </si>
  <si>
    <t>State Key Program of National Natural Science of China [41531069, NSFC41476163, NSFC41674065]; CAST-BISEE Foundation; Chinese Polar Environment Comprehensive Investigation and Assessment Programs [CHINARE2017-02-03]</t>
  </si>
  <si>
    <t>State Key Program of National Natural Science of China(National Natural Science Foundation of China (NSFC)); CAST-BISEE Foundation; Chinese Polar Environment Comprehensive Investigation and Assessment Programs</t>
  </si>
  <si>
    <t>We thank the editor and reviewers for their constructive comments that greatly improved the manuscript. This work was supported by the State Key Program of National Natural Science of China under Grant 41531069, NSFC41476163, NSFC41674065, CAST-BISEE Foundation and the Chinese Polar Environment Comprehensive Investigation and Assessment Programs under Grant CHINARE2017-02-03. Seismic data used in this study are obtained from the Incorporated Research Institutions for Seismology (IRIS). Figures in this study were plotted using Generic Mapping Tools (GMT).</t>
  </si>
  <si>
    <t>PII S0022143019000959</t>
  </si>
  <si>
    <t>10.1017/jog.2019.95</t>
  </si>
  <si>
    <t>WOS:000509742700013</t>
  </si>
  <si>
    <t>Aartsen, MG; Ackermann, M; Adams, J; Aguilar, JA; Ahlers, M; Ahrens, M; Alispach, C; Andeen, K; Anderson, T; Ansseau, I; Anton, G; Argüelles, C; Arlen, TC; Auffenberg, J; Axani, S; Backes, P; Bagherpour, H; Bai, X; Balagopal, VA; Barbano, A; Bartos, I; Barwick, SW; Bastian, B; Baum, V; Baur, S; Bay, R; Beatty, JJ; Becker, KH; Tjus, JB; BenZvi, S; Berley, D; Bernardini, E; Besson, DZ; Binder, G; Bindig, D; Blaufuss, E; Blot, S; Bohm, C; Bohmer, M; Börner, M; Böser, S; Botner, O; Böttcher, J; Bourbeau, E; Bourbeau, J; Bradascio, F; Braun, J; Bretz, T; Bron, S; Brostean-Kaiser, J; Burgman, A; Buscher, J; Busse, RS; Carver, T; Chen, C; Cheung, E; Chirkin, D; Choi, S; Clark, K; Classen, L; Coleman, A; Collin, GH; Conrad, JM; Coppin, P; Correa, P; Cowen, DF; Cross, R; Dave, P; De Clercq, C; DeLaunay, JJ; Dembinski, H; Deoskar, K; De Ridder, S; Desiati, P; de Vries, KD; de Wasseige, G; de With, M; DeYoung, T; Diaz, A; Díaz-Vélez, JC; Dujmovic, H; Dunkman, M; DuVernois, MA; Dvorak, E; Eberhardt, B; Ehrhardt, T; Eller, P; Engel, R; Evans, JJ; Evenson, PA; Fahey, S; Farrag, K; Fazely, AR; Felde, J; Filimonov, K; Finley, C; Fox, D; Franckowiak, A; Friedman, E; Fritz, A; Gaisser, TK; Gallagher, J; Ganster, E; Garrappa, S; Gartner, A; Gerhardt, L; Gernhaeuser, R; Ghorbani, K; Glauch, T; Glüsenkamp, T; Goldschmidt, A; Gonzalez, JG; Grant, D; Griffith, Z; Griswold, S; Günder, M; Gündüz, M; Haack, C; Hallgren, A; Halliday, R; Halve, L; Halzen, F; Hanson, K; Haugen, J; Haungs, A; Hebecker, D; Heereman, D; Heix, P; Helbing, K; Hellauer, R; Henningsen, F; Hickford, S; Hignight, J; Hill, GC; Hoffman, KD; Hoffmann, B; Hoffmann, R; Hoinka, T; Hokanson-Fasig, B; Holzapfel, K; Hoshina, K; Huang, F; Huber, M; Huber, T; Huege, T; Hultqvist, K; Hünnefeld, M; Hussain, R; In, S; Iovine, N; Ishihara, A; Japaridze, GS; Jeong, M; Jero, K; Jones, BJP; Jonske, F; Joppe, R; Kalekin, O; Kang, D; Kang, W; Kappes, A; Kappesser, D; Karg, T; Karl, M; Karle, A; Katori, T; Katz, U; Kauer, M; Keivani, A; Kelley, JL; Kheirandish, A; Kim, J; Kintscher, T; Kiryluk, J; Kittler, T; Klein, SR; Koirala, R; Kolanoski, H; Köpke, L; Kopper, C; Kopper, S; Koskinen, DJ; Kowalski, M; Krauss, CB; Krings, K; Krückl, G; Kulacz, N; Kurahashi, N; Kyriacou, A; Labare, M; Lanfranchi, JL; Larson, MJ; Lauber, F; Lazar, JP; Leonard, K; Leszczynska, A; Leuermann, M; Liu, QR; Lohfink, E; LoSecco, J; Mariscal, CJL; Lu, L; Lucarelli, F; Lünemann, J; Luszczak, W; Lyu, Y; Ma, WY; Madsen, J; Maggi, G; Mahn, KBM; Makino, Y; Mallik, P; Mallot, K; Mancina, S; Mandalia, S; Maris, IC; Marka, S; Marka, Z; Maruyama, R; Mase, K; Maunu, R; McNally, F; Meagher, K; Medici, M; Medina, A; Meier, M; Meighen-Berger, S; Menne, T; Merino, G; Meures, T; Micallef, J; Mockler, D; Momenté, G; Montaruli, T; Moore, RW; Morse, R; Moulai, M; Muth, P; Nagai, R; Nakarmi, P; Naumann, U; Neer, G; Niederhausen, H; Nisa, MU; Nowicki, SC; Nygren, DR; Pollmann, AO; Oehler, M; Olivas, A; O'Murchadha, A; O'Sullivan, E; Palczewski, T; Pandya, H; Pankova, DV; Papp, L; Park, N; Peiffer, P; de los Heros, CP; Petersen, TC; Philippen, S; Pieloth, D; Pinat, E; Pinfold, JL; Pizzuto, A; Plum, M; Porcelli, A; Price, PB; Przybylski, GT; Raab, C; Rädel, L; Raissi, A; Rameez, M; Rauch, L; Rawlins, K; Rea, IC; Reimann, R; Relethford, B; Renschler, M; Renzi, G; Resconi, E; Rhode, W; Richman, M; Riegel, M; Robertson, S; Rongen, M; Rott, C; Ruhe, T; Ryckbosch, D; Rysewyk, D; Safa, I; Herrera, SES; Sandrock, A; Sandroos, J; Sandstrom, P; Santander, M; Sarkar, S; Satalecka, K; Schaufel, M; Schieler, H; Schlunder, P; Schmidt, T; Schneider, A; Schneider, J; Schoenen, S; Schröder, FG; Schumacher, J; Schumacher, L; Sclafani, S; Seckel, D; Seunarine, S; Shaevitz, MH; Shefali, S; Silva, M; Snihur, R; Soedingrekso, J; Soldin, D; Söldner-Rembold, S; Song, M; Spiczak, GM; Spiering, C; Stachurska, J; Stamatikos, M; Stanev, T; Stein, R; Steinmüller, P; Stettner, J; Steuer, A; Stezelberger, T; Stokstad, RG; Stössl, A; Strotjohann, NL; Stürwald, T; Stuttard, T; Sullivan, GW; Taboada, I; Taketa, A; Tanaka, HKM; Tenholt, F; Ter-Antonyan, S; Terliuk, A; Tilav, S; Tollefson, K; Tomankova, L; Tönnis, C; Toscano, S; Tosi, D; Trettin, A; Tselengidou, M; Tung, CF; Turcati, A; Turcotte, R; Turley, CF; Ty, B; Unger, E; Elorrieta, MAU; Usner, M; Vandenbroucke, J; Van Driessche, W; van Eijk, D; van Eijndhoven, N; Vanheule, S; van Santen, J; Veberic, D; Vraeghe, M; Walck, C; Wallace, A; Wallraff, M; Wandkowsky, N; Watson, TB; Weaver, C; Weindl, A; Weiss, MJ; Weldert, J; Wendt, C; Werthebach, J; Whelan, BJ; Whitehorn, N; Wiebe, K; Wiebusch, CH; Wille, L; Williams, DR; Wills, L; Wolf, M; Wood, J; Wood, TR; Woschnagg, K; Wrede, G; Wren, S; Xu, DL; Xu, XW; Xu, Y; Yanez, JP; Yodh, G; Yoshida, S; Yuan, T; Zöcklein, M</t>
  </si>
  <si>
    <t>Aartsen, M. G.; Ackermann, M.; Adams, J.; Aguilar, J. A.; Ahlers, M.; Ahrens, M.; Alispach, C.; Andeen, K.; Anderson, T.; Ansseau, I; Anton, G.; Arguelles, C.; Arlen, T. C.; Auffenberg, J.; Axani, S.; Backes, P.; Bagherpour, H.; Bai, X.; Balagopal, A., V; Barbano, A.; Bartos, I; Barwick, S. W.; Bastian, B.; Baum, V; Baur, S.; Bay, R.; Beatty, J. J.; Becker, K-H; Tjus, J. Becker; BenZvi, S.; Berley, D.; Bernardini, E.; Besson, D. Z.; Binder, G.; Bindig, D.; Blaufuss, E.; Blot, S.; Bohm, C.; Bohmer, M.; Boerner, M.; Boeser, S.; Botner, O.; Boettcher, J.; Bourbeau, E.; Bourbeau, J.; Bradascio, F.; Braun, J.; Bretz, T.; Bron, S.; Brostean-Kaiser, J.; Burgman, A.; Buscher, J.; Busse, R. S.; Carver, T.; Chen, C.; Cheung, E.; Chirkin, D.; Choi, S.; Clark, K.; Classen, L.; Coleman, A.; Collin, G. H.; Conrad, J. M.; Coppin, P.; Correa, P.; Cowen, D. F.; Cross, R.; Dave, P.; De Clercq, C.; DeLaunay, J. J.; Dembinski, H.; Deoskar, K.; De Ridder, S.; Desiati, P.; de Vries, K. D.; de Wasseige, G.; de With, M.; DeYoung, T.; Diaz, A.; Diaz-Velez, J. C.; Dujmovic, H.; Dunkman, M.; DuVernois, M. A.; Dvorak, E.; Eberhardt, B.; Ehrhardt, T.; Eller, P.; Engel, R.; Evans, J. J.; Evenson, P. A.; Fahey, S.; Farrag, K.; Fazely, A. R.; Felde, J.; Filimonov, K.; Finley, C.; Fox, D.; Franckowiak, A.; Friedman, E.; Fritz, A.; Gaisser, T. K.; Gallagher, J.; Ganster, E.; Garrappa, S.; Gartner, A.; Gerhardt, L.; Gernhaeuser, R.; Ghorbani, K.; Glauch, T.; Gluesenkamp, T.; Goldschmidt, A.; Gonzalez, J. G.; Grant, D.; Griffith, Z.; Griswold, S.; Guender, M.; Guenduez, M.; Haack, C.; Hallgren, A.; Halliday, R.; Halve, L.; Halzen, F.; Hanson, K.; Haugen, J.; Haungs, A.; Hebecker, D.; Heereman, D.; Heix, P.; Helbing, K.; Hellauer, R.; Henningsen, F.; Hickford, S.; Hignight, J.; Hill, G. C.; Hoffman, K. D.; Hoffmann, B.; Hoffmann, R.; Hoinka, T.; Hokanson-Fasig, B.; Holzapfel, K.; Hoshina, K.; Huang, F.; Huber, M.; Huber, T.; Huege, T.; Hultqvist, K.; Huennefeld, M.; Hussain, R.; In, S.; Iovine, N.; Ishihara, A.; Japaridze, G. S.; Jeong, M.; Jero, K.; Jones, B. J. P.; Jonske, F.; Joppe, R.; Kalekin, O.; Kang, D.; Kang, W.; Kappes, A.; Kappesser, D.; Karg, T.; Karl, M.; Karle, A.; Katori, T.; Katz, U.; Kauer, M.; Keivani, A.; Kelley, J. L.; Kheirandish, A.; Kim, J.; Kintscher, T.; Kiryluk, J.; Kittler, T.; Klein, S. R.; Koirala, R.; Kolanoski, H.; Koepke, L.; Kopper, C.; Kopper, S.; Koskinen, D. J.; Kowalski, M.; Krauss, C. B.; Krings, K.; Krueckl, G.; Kulacz, N.; Kurahashi, N.; Kyriacou, A.; Labare, M.; Lanfranchi, J. L.; Larson, M. J.; Lauber, F.; Lazar, J. P.; Leonard, K.; Leszczynska, A.; Leuermann, M.; Liu, Q. R.; Lohfink, E.; LoSecco, J.; Mariscal, C. J. Lozano; Lu, L.; Lucarelli, F.; Lunemann, J.; Luszczak, W.; Lyu, Y.; Ma, W. Y.; Madsen, J.; Maggi, G.; Mahn, K. B. M.; Makino, Y.; Mallik, P.; Mallot, K.; Mancina, S.; Mandalia, S.; Maris, I. C.; Marka, S.; Marka, Z.; Maruyama, R.; Mase, K.; Maunu, R.; McNally, F.; Meagher, K.; Medici, M.; Medina, A.; Meier, M.; Meighen-Berger, S.; Menne, T.; Merino, G.; Meures, T.; Micallef, J.; Mockler, D.; Momente, G.; Montaruli, T.; Moore, R. W.; Morse, R.; Moulai, M.; Muth, P.; Nagai, R.; Nakarmi, P.; Naumann, U.; Neer, G.; Niederhausen, H.; Nisa, M. U.; Nowicki, S. C.; Nygren, D. R.; Pollmann, A. Obertacke; Oehler, M.; Olivas, A.; O'Murchadha, A.; O'Sullivan, E.; Palczewski, T.; Pandya, H.; Pankova, D., V; Papp, L.; Park, N.; Peiffer, P.; de los Heros, C. Perez; Petersen, T. C.; Philippen, S.; Pieloth, D.; Pinat, E.; Pinfold, J. L.; Pizzuto, A.; Plum, M.; Porcelli, A.; Price, P. B.; Przybylski, G. T.; Raab, C.; Raedel, L.; Raissi, A.; Rameez, M.; Rauch, L.; Rawlins, K.; Rea, I. C.; Reimann, R.; Relethford, B.; Renschler, M.; Renzi, G.; Resconi, E.; Rhode, W.; Richman, M.; Riegel, M.; Robertson, S.; Rongen, M.; Rott, C.; Ruhe, T.; Ryckbosch, D.; Rysewyk, D.; Safa, I; Herrera, S. E. Sanchez; Sandrock, A.; Sandroos, J.; Sandstrom, P.; Santander, M.; Sarkar, S.; Satalecka, K.; Schaufel, M.; Schieler, H.; Schlunder, P.; Schmidt, T.; Schneider, A.; Schneider, J.; Schoenen, S.; Schroeder, F. G.; Schumacher, J.; Schumacher, L.; Sclafani, S.; Seckel, D.; Seunarine, S.; Shaevitz, M. H.; Shefali, S.; Silva, M.; Snihur, R.; Soedingrekso, J.; Soldin, D.; Soldner-Rembold, S.; Song, M.; Spiczak, G. M.; Spiering, C.; Stachurska, J.; Stamatikos, M.; Stanev, T.; Stein, R.; Steinmueller, P.; Stettner, J.; Steuer, A.; Stezelberger, T.; Stokstad, R. G.; Stossl, A.; Strotjohann, N. L.; Stuerwald, T.; Stuttard, T.; Sullivan, G. W.; Taboada, I; Taketa, A.; Tanaka, H. K. M.; Tenholt, F.; Ter-Antonyan, S.; Terliuk, A.; Tilav, S.; Tollefson, K.; Tomankova, L.; Tonnis, C.; Toscano, S.; Tosi, D.; Trettin, A.; Tselengidou, M.; Tung, C. F.; Turcati, A.; Turcotte, R.; Turley, C. F.; Ty, B.; Unger, E.; Elorrieta, M. A. Unland; Usner, M.; Vandenbroucke, J.; Van Driessche, W.; van Eijk, D.; van Eijndhoven, N.; Vanheule, S.; van Santen, J.; Veberic, D.; Vraeghe, M.; Walck, C.; Wallace, A.; Wallraff, M.; Wandkowsky, N.; Watson, T. B.; Weaver, C.; Weindl, A.; Weiss, M. J.; Weldert, J.; Wendt, C.; Werthebach, J.; Whelan, B. J.; Whitehorn, N.; Wiebe, K.; Wiebusch, C. H.; Wille, L.; Williams, D. R.; Wills, L.; Wolf, M.; Wood, J.; Wood, T. R.; Woschnagg, K.; Wrede, G.; Wren, S.; Xu, D. L.; Xu, X. W.; Xu, Y.; Yanez, J. P.; Yodh, G.; Yoshida, S.; Yuan, T.; Zoecklein, M.</t>
  </si>
  <si>
    <t>IceCube-Gen2 Collaboration</t>
  </si>
  <si>
    <t>Design and performance of the first IceAct demonstrator at the South Pole</t>
  </si>
  <si>
    <t>JOURNAL OF INSTRUMENTATION</t>
  </si>
  <si>
    <t>Cherenkov detectors; Gamma telescopes; Large detector systems for particle and astroparticle physics; Neutrino detectors</t>
  </si>
  <si>
    <t>In this paper we describe the first results of IceAct, a compact imaging air-Cherenkov telescope operating in coincidence with the IceCube Neutrino Observatory (IceCube) at the geographic South Pole. An array of IceAct telescopes (referred to as the IceAct project) is under consideration as part of the IceCube-Gen2 extension to IceCube. Surface detectors in general will be a powerful tool in IceCube-Gen2 for distinguishing astrophysical neutrinos from the dominant backgrounds of cosmic-ray induced atmospheric muons and neutrinos: the IceTop array is already in place as part of IceCube, but has a high energy threshold. Although the duty cycle will be lower for the IceAct telescopes than the present IceTop tanks, the IceAct telescopes may prove to be more effective at lowering the detection threshold for air showers. Additionally, small imaging air-Cherenkov telescopes in combination with IceTop, the deep IceCube detector or other future detector systems might improve measurements of the composition of the cosmic ray energy spectrum. In this paper we present measurements of a first 7-pixel imaging air Cherenkov telescope demonstrator, proving the capability of this technology to measure air showers at the South Pole in coincidence with IceTop and the deep IceCube detector.</t>
  </si>
  <si>
    <t>[Auffenberg, J.; Backes, P.; Boettcher, J.; Bretz, T.; Buscher, J.; Ganster, E.; Guender, M.; Haack, C.; Halve, L.; Heix, P.; Jonske, F.; Joppe, R.; Leuermann, M.; Mallik, P.; Muth, P.; Philippen, S.; Raedel, L.; Reimann, R.; Rongen, M.; Schaufel, M.; Schoenen, S.; Schumacher, J.; Schumacher, L.; Shefali, S.; Stettner, J.; Stuerwald, T.; Wallraff, M.; Wiebusch, C. H.; Zoecklein, M.] Rhein Westfal TH Aachen, Phys Inst 3, D-52056 Aachen, Germany; [Hill, G. C.; Kyriacou, A.; Wallace, A.; Whelan, B. J.] Univ Adelaide, Dept Phys, Adelaide, SA 5005, Australia; [Rawlins, K.] Univ Alaska Anchorage, Dept Phys &amp; Astron, 3211 Providence Dr, Anchorage, AK 99508 USA; [Jones, B. J. P.; Watson, T. B.] Univ Texas Arlington, Dept Phys, 502 Yates St,Sci Hall Rm 108,Box 19059, Arlington, TX 76019 USA; [Japaridze, G. S.] Clark Atlanta Univ, CTSPS, Atlanta, GA 30314 USA; [Chen, C.; Dave, P.; Taboada, I; Tung, C. F.] Georgia Inst Technol, Sch Phys, Atlanta, GA 30332 USA; [Chen, C.; Dave, P.; Taboada, I; Tung, C. F.] Georgia Inst Technol, Ctr Relativist Astrophys, Atlanta, GA 30332 USA; [Fazely, A. R.; Ter-Antonyan, S.; Xu, X. W.] Southern Univ, Dept Phys, Baton Rouge, LA 70813 USA; [Bay, R.; Binder, G.; Filimonov, K.; Klein, S. R.; Lyu, Y.; Palczewski, T.; Price, P. B.; Woschnagg, K.] Univ Calif Berkeley, Dept Phys, Berkeley, CA 94720 USA; [Binder, G.; Gerhardt, L.; Goldschmidt, A.; Klein, S. R.; Lyu, Y.; Nygren, D. R.; Palczewski, T.; Przybylski, G. T.; Robertson, S.; Stezelberger, T.; Stokstad, R. G.] Lawrence Berkeley Natl Lab, Berkeley, CA 94720 USA; [de With, M.; Hebecker, D.; Kolanoski, H.; Kowalski, M.] Humboldt Univ, Inst Phys, D-12489 Berlin, Germany; [Tjus, J. Becker; Guenduez, M.; Tenholt, F.; Tomankova, L.] Ruhr Univ Bochum, Fak Phys &amp; Astron, D-44780 Bochum, Germany; [Aguilar, J. A.; Ansseau, I; Baur, S.; Heereman, D.; Iovine, N.; Maris, I. C.; Meures, T.; Mockler, D.; O'Murchadha, A.; Pinat, E.; Raab, C.; Renzi, G.; Toscano, S.] Univ Libre Bruxelles, Sci Fac, CP230, B-1050 Brussels, Belgium; [Coppin, P.; Correa, P.; De Clercq, C.; de Vries, K. D.; de Wasseige, G.; Lunemann, J.; Maggi, G.; van Eijndhoven, N.] Vrije Univ Brussel, Dienst ELEM, B-1050 Brussels, Belgium; [Arguelles, C.; Axani, S.; Collin, G. H.; Conrad, J. M.; Diaz, A.; Moulai, M.] MIT, Dept Phys, Cambridge, MA 02139 USA; [Ishihara, A.; Lu, L.; Makino, Y.; Mase, K.; Nagai, R.; Stossl, A.; Yoshida, S.] Chiba Univ, Dept Phys, Chiba 2638522, Japan; [Ishihara, A.; Lu, L.; Makino, Y.; Mase, K.; Nagai, R.; Stossl, A.; Yoshida, S.] Chiba Univ, Inst Global Prominent Res, Chiba 2638522, Japan; [Aartsen, M. G.; Adams, J.; Bagherpour, H.; Raissi, A.] Univ Canterbury, Dept Phys &amp; Astron, Private Bag 4800, Christchurch, New Zealand; [Berley, D.; Blaufuss, E.; Cheung, E.; Felde, J.; Friedman, E.; Hellauer, R.; Hoffman, K. D.; Larson, M. J.; Maunu, R.; Olivas, A.; Schmidt, T.; Song, M.; Sullivan, G. W.] Univ Maryland, Dept Phys, College Pk, MD 20742 USA; [Beatty, J. J.] Ohio State Univ, Dept Astron, Columbus, OH 43210 USA; [Beatty, J. J.; Medina, A.; Stamatikos, M.] Ohio State Univ, Dept Phys, Columbus, OH 43210 USA; [Beatty, J. J.; Medina, A.; Stamatikos, M.] Ohio State Univ, Ctr Cosmol &amp; Astroparticle Phys, Columbus, OH 43210 USA; [Ahlers, M.; Bourbeau, E.; Koskinen, D. J.; Medici, M.; Petersen, T. C.; Rameez, M.; Stuttard, T.] Univ Copenhagen, Niels Bohr Inst, DK-2100 Copenhagen, Denmark; [Boerner, M.; Hoinka, T.; Huennefeld, M.; Meier, M.; Menne, T.; Pieloth, D.; Rhode, W.; Ruhe, T.; Sandrock, A.; Schlunder, P.; Soedingrekso, J.] TU Dortmund Univ, Dept Phys, D-44221 Dortmund, Germany; [DeYoung, T.; Grant, D.; Halliday, R.; Kopper, C.; Mahn, K. B. M.; Micallef, J.; Neer, G.; Nisa, M. U.; Nowicki, S. C.; Rysewyk, D.; Herrera, S. E. Sanchez; Tollefson, K.] Michigan State Univ, Dept Phys &amp; Astron, E Lansing, MI 48824 USA; [Hignight, J.; Krauss, C. B.; Kulacz, N.; Moore, R. W.; Pinfold, J. L.; Sarkar, S.; Weaver, C.; Wood, T. R.; Yanez, J. P.] Univ Alberta, Dept Phys, Edmonton, AB T6G 2E1, Canada; [Anton, G.; Gluesenkamp, T.; Kalekin, O.; Katz, U.; Kittler, T.; Schneider, J.; Tselengidou, M.; Wrede, G.] Friedrich Alexander Univ Erlangen Nurnberg, Erlangen Ctr Astroparticle Phys, D-91058 Erlangen, Germany; [Bohmer, M.; Gartner, A.; Gernhaeuser, R.; Glauch, T.; Henningsen, F.; Holzapfel, K.; Huber, M.; Karl, M.; Krings, K.; Meighen-Berger, S.; Niederhausen, H.; Papp, L.; Rea, I. C.; Resconi, E.; Turcati, A.; Wolf, M.] Tech Univ Munich, Phys Dept, D-85748 Garching, Germany; [Alispach, C.; Barbano, A.; Bron, S.; Carver, T.; Lucarelli, F.; Montaruli, T.] Univ Geneva, Dept Phys Nucl &amp; Corpusculaire, CH-1211 Geneva, Switzerland; [De Ridder, S.; Labare, M.; Porcelli, A.; Ryckbosch, D.; Van Driessche, W.; Vanheule, S.; Vraeghe, M.] Univ Ghent, Dept Phys &amp; Astron, B-9000 Ghent, Belgium; [Barwick, S. W.; Yodh, G.] Univ Calif Irvine, Dept Phys &amp; Astron, Irvine, CA 92697 USA; [Balagopal, A., V; Dujmovic, H.; Engel, R.; Haungs, A.; Hoffmann, B.; Huber, T.; Huege, T.; Kang, D.; Leszczynska, A.; Oehler, M.; Renschler, M.; Riegel, M.; Schieler, H.; Schroeder, F. G.; Steinmueller, P.; Turcotte, R.; Veberic, D.; Weindl, A.] Karlsruhe Inst Technol, Inst Kernphys, D-76021 Karlsruhe, Germany; [Besson, D. Z.] Univ Kansas, Dept Phys &amp; Astron, Lawrence, KS 66045 USA; [Clark, K.] SNOLAB, 1039 Reg Rd 24,Creighton Mine 9, Lively, ON P3Y 1N2, Canada; [Farrag, K.; Katori, T.; Mandalia, S.] Queen Mary Univ London, Sch Phys &amp; Astron, London E1 4NS, England; [Whitehorn, N.] Univ Calif Los Angeles, Dept Phys &amp; Astron, Los Angeles, CA 90095 USA; [McNally, F.] Mercer Univ, Dept Phys, Macon, GA 31207 USA; [Gallagher, J.] Univ Wisconsin, Dept Astron, Madison, WI 53706 USA; [Bourbeau, J.; Braun, J.; Chirkin, D.; Desiati, P.; Diaz-Velez, J. C.; DuVernois, M. A.; Eberhardt, B.; Fahey, S.; Ghorbani, K.; Griffith, Z.; Halzen, F.; Hanson, K.; Haugen, J.; Hokanson-Fasig, B.; Hoshina, K.; Hussain, R.; Jero, K.; Karle, A.; Kauer, M.; Kelley, J. L.; Kheirandish, A.; Lazar, J. P.; Leonard, K.; Liu, Q. R.; Luszczak, W.; Mallot, K.; Mancina, S.; Meagher, K.; Merino, G.; Morse, R.; Park, N.; Pizzuto, A.; Safa, I; Sandstrom, P.; Schneider, A.; Silva, M.; Snihur, R.; Tosi, D.; Ty, B.; Vandenbroucke, J.; van Eijk, D.; Wandkowsky, N.; Wendt, C.; Werthebach, J.; Wille, L.; Wood, J.; Xu, D. L.; Yuan, T.] Univ Wisconsin, Dept Phys, 1150 Univ Ave, Madison, WI 53706 USA; [Bourbeau, J.; Braun, J.; Chirkin, D.; Desiati, P.; Diaz-Velez, J. C.; DuVernois, M. A.; Eberhardt, B.; Fahey, S.; Ghorbani, K.; Griffith, Z.; Halzen, F.; Hanson, K.; Haugen, J.; Hokanson-Fasig, B.; Hoshina, K.; Hussain, R.; Jero, K.; Karle, A.; Kauer, M.; Kelley, J. L.; Kheirandish, A.; Lazar, J. P.; Leonard, K.; Liu, Q. R.; Luszczak, W.; Mallot, K.; Mancina, S.; Meagher, K.; Merino, G.; Morse, R.; Park, N.; Pizzuto, A.; Safa, I; Sandstrom, P.; Schneider, A.; Silva, M.; Snihur, R.; Tosi, D.; Ty, B.; Vandenbroucke, J.; van Eijk, D.; Wandkowsky, N.; Wendt, C.; Werthebach, J.; Wille, L.; Wood, J.; Xu, D. L.; Yuan, T.] Univ Wisconsin, IceCube Particle Astrophys Ctr, Madison, WI 53706 USA; [Baum, V; Boeser, S.; Ehrhardt, T.; Fritz, A.; Kappesser, D.; Koepke, L.; Krueckl, G.; Lohfink, E.; Momente, G.; Peiffer, P.; Sandroos, J.; Steuer, A.; Weldert, J.; Wiebe, K.] Johannes Gutenberg Univ Mainz, Inst Phys, Staudinger Weg 7, D-55099 Mainz, Germany; [Evans, J. J.; Soldner-Rembold, S.; Wren, S.] Univ Manchester, Sch Phys &amp; Astron, Oxford Rd, Manchester M13 9PL, Lancs, England; [Andeen, K.; Plum, M.] Marquette Univ, Dept Phys, Milwaukee, WI 53201 USA; [Busse, R. S.; Classen, L.; Kappes, A.; Mariscal, C. J. Lozano; Elorrieta, M. A. Unland] Westfalische Wilhelms Univ Munster, Inst Kernphys, D-48149 Munster, Germany; [Coleman, A.; Dembinski, H.; Evenson, P. A.; Gaisser, T. K.; Gonzalez, J. G.; Koirala, R.; Pandya, H.; Schroeder, F. G.; Seckel, D.; Soldin, D.; Stanev, T.; Tilav, S.] Univ Delaware, Bartol Res Inst, Newark, DE 19716 USA; [Coleman, A.; Dembinski, H.; Evenson, P. A.; Gaisser, T. K.; Gonzalez, J. G.; Koirala, R.; Pandya, H.; Schroeder, F. G.; Seckel, D.; Soldin, D.; Stanev, T.; Tilav, S.] Univ Delaware, Dept Phys &amp; Astron, Newark, DE 19716 USA; [Maruyama, R.] Yale Univ, Dept Phys, New Haven, CT 06520 USA; [Bartos, I; Keivani, A.; Marka, S.; Marka, Z.; Shaevitz, M. H.] Columbia Univ, Columbia Astrophys &amp; Nevis Labs, New York, NY 10027 USA; [LoSecco, J.] Univ Notre Dame Lac, Dept Phys, 225 Nieuwland Sci Hall, Notre Dame, IN 46556 USA; [Sarkar, S.] Univ Oxford, Dept Phys, Parks Rd, Oxford OX1 3PU, England; [Kurahashi, N.; Relethford, B.; Richman, M.; Sclafani, S.; Wills, L.] Drexel Univ, Dept Phys, 3141 Chestnut St, Philadelphia, PA 19104 USA; [Bai, X.; Dvorak, E.] South Dakota Sch Mines &amp; Technol, Phys Dept, Rapid City, SD 57701 USA; [Madsen, J.; Seunarine, S.; Spiczak, G. M.] Univ Wisconsin, Dept Phys, River Falls, WI 54022 USA; [BenZvi, S.; Cross, R.; Griswold, S.] Univ Rochester, Dept Phys &amp; Astron, Rochester, NY 14627 USA; [Ahrens, M.; Bohm, C.; Deoskar, K.; Finley, C.; Hultqvist, K.; O'Sullivan, E.; Walck, C.] Stockholm Univ, Oskar Klein Ctr &amp; Dept Phys, SE-10691 Stockholm, Sweden; [Kiryluk, J.; Xu, Y.] UNY Stony Brook, Dept Phys &amp; Astron, Stony Brook, NY 11794 USA; [Choi, S.; In, S.; Jeong, M.; Kang, W.; Kim, J.; Rott, C.] Sungkyunkwan Univ, Dept Phys, Suwon 16419, South Korea; [Tonnis, C.] Sungkyunkwan Univ, Inst Basic Sci, Suwon 16419, South Korea; [Hoshina, K.; Taketa, A.; Tanaka, H. K. M.] Univ Tokyo, Earthquake Res Inst, Bunkyo Ku, Tokyo 1130032, Japan; [Kopper, S.; Nakarmi, P.; Santander, M.; Williams, D. R.] Univ Alabama, Dept Phys &amp; Astron, Tuscaloosa, AL 35487 USA; [Cowen, D. F.; Fox, D.] Penn State Univ, Dept Astron &amp; Astrophys, 525 Davey Lab, University Pk, PA 16802 USA; [Anderson, T.; Arlen, T. C.; Cowen, D. F.; DeLaunay, J. J.; Dunkman, M.; Eller, P.; Huang, F.; Lanfranchi, J. L.; Pankova, D., V; Turley, C. F.; Weiss, M. J.] Penn State Univ, Dept Phys, 104 Davey Lab, University Pk, PA 16802 USA; [Botner, O.; Burgman, A.; Hallgren, A.; de los Heros, C. Perez; Unger, E.] Uppsala Univ, Dept Phys &amp; Astron, Box 516, S-75120 Uppsala, Sweden; [Becker, K-H; Bindig, D.; Helbing, K.; Hickford, S.; Hoffmann, R.; Lauber, F.; Naumann, U.; Pollmann, A. Obertacke] Univ Wuppertal, Dept Phys, D-42119 Wuppertal, Germany; [Ackermann, M.; Bastian, B.; Bernardini, E.; Blot, S.; Bradascio, F.; Brostean-Kaiser, J.; Franckowiak, A.; Garrappa, S.; Huber, T.; Karg, T.; Kintscher, T.; Kowalski, M.; Ma, W. Y.; Rauch, L.; Satalecka, K.; Spiering, C.; Stachurska, J.; Stein, R.; Strotjohann, N. L.; Terliuk, A.; Trettin, A.; Usner, M.; van Santen, J.] DESY, D-15738 Zeuthen, Germany; [Bernardini, E.] Univ Padua, I-35131 Padua, Italy; [Besson, D. Z.] Natl Res Nucl Univ, Moscow Engn Phys Inst MEPhI, Moscow 115409, Russia</t>
  </si>
  <si>
    <t>RWTH Aachen University; University of Adelaide; University of Alaska System; University of Alaska Anchorage; University of Texas System; University of Texas Arlington;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United States Department of Energy (DOE); Lawrence Berkeley National Laboratory; Humboldt University of Berlin; University of Wurzburg; Ruhr University Bochum; Universite Libre de Bruxelles; Vrije Universiteit Brussel; Massachusetts Institute of Technology (MIT); Chiba University; Chiba University; University of Canterbury; University System of Maryland; University of Maryland College Park; University System of Ohio; Ohio State University; University System of Ohio; Ohio State University; University System of Ohio; Ohio State University; University of Copenhagen; Niels Bohr Institute; Dortmund University of Technology; Michigan State University; University of Alberta; University of Erlangen Nuremberg; Technical University of Munich; University of Geneva; Ghent University; University of California System; University of California Irvine; Helmholtz Association; Karlsruhe Institute of Technology; University of Kansas; University of London; University College London; Queen Mary University London; University of California System; University of California Los Angeles; Mercer University; University of Wisconsin System; University of Wisconsin Madison; University of Wisconsin System; University of Wisconsin Madison; University of Wisconsin System; University of Wisconsin Madison; Johannes Gutenberg University of Mainz; University of Manchester; Marquette University; University of Munster; University of Delaware; University of Delaware; Yale University; Columbia University; University of Notre Dame; University of Oxford; Drexel University; South Dakota School Mines &amp; Technology; University of Wisconsin System; University of Rochester; Stockholm University; Sungkyunkwan University (SKKU); Institute for Basic Science - Korea (IBS); Sungkyunkwan University (SKKU); University of Tokyo;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 University of Padua; National Research Nuclear University MEPhI (Moscow Engineering Physics Institute)</t>
  </si>
  <si>
    <t>Huber, Thomas/A-5278-2008; Katori, Teppei/S-8685-2019; Huang, Feifei/AAX-2156-2020; Reimann, René/AAS-8239-2020; Schneider, Austin/JGC-9796-2023; LU, LU/JEZ-4760-2023; Díaz Vélez, Juan Carlos/AAD-5211-2022; xu, ye/GQO-8972-2022; Sánchez, Juan Antonio Aguilar/H-4467-2015; sanchez, juan/GSD-8167-2022; Marka, Szabolcs/ABE-7493-2021; Anton, Gisela/C-4840-2013; Resconi, Elisa/I-3874-2016; Sarkar, Subir/G-5978-2011; Silva, Miguel/GYD-8029-2022; Whitehorn, Nathan/HDM-8864-2022; xu, ye/JYO-6282-2024; Schroeder, Frank G./IRH-9416-2023; Kowalski, Marek P/G-5546-2012; lu, lu/HII-7530-2022; Williams, David/HKN-3732-2023; Strotjohann, Nora Linn/GPX-7122-2022; Haungs, Andreas/JXW-9490-2024; Kauer, Matt/AAY-7581-2020; Bretz, Thomas/AAK-8726-2020; Rea, Immacolata Carmen/AAV-4830-2021; Bartos, Ivo/L-7159-2013; Rott, Carsten/ABB-1304-2021; Sarkar, Subir/GPT-4902-2022; Katz, Uli F/E-1925-2013; Sandrock, Alexander/AAT-1285-2020; Beatty, James/D-9310-2011; Ma, Wing Yan/HLW-7686-2023; Bernardini, Elisa/AAA-4810-2020; Satalecka, Konstancja/AAT-1309-2020; lu, lu/HGA-0894-2022; Tjus, Julia/G-8145-2012; Ahlers, Markus/V-8757-2017; Koskinen, David/G-3236-2014; Petersen, Troels/P-5538-2015</t>
  </si>
  <si>
    <t>Katori, Teppei/0000-0002-9429-9482; Huang, Feifei/0000-0002-6014-5928; Reimann, René/0000-0002-1983-8271; Díaz Vélez, Juan Carlos/0000-0002-0087-0693; Anton, Gisela/0000-0003-2039-4724; Resconi, Elisa/0000-0003-0705-2770; Sarkar, Subir/0000-0002-3542-858X; Whitehorn, Nathan/0000-0002-3157-0407; Schroeder, Frank G./0000-0001-8495-7210; Haungs, Andreas/0000-0002-9638-7574; Kauer, Matt/0000-0003-1830-9076; Bretz, Thomas/0000-0002-3800-5531; Rea, Immacolata Carmen/0000-0002-3954-7754; Rott, Carsten/0000-0002-6958-6033; Sandrock, Alexander/0000-0002-6779-1172; Beatty, James/0000-0003-0481-4952; Ma, Wing Yan/0000-0003-1251-5493; Bernardini, Elisa/0000-0003-3108-1141; Satalecka, Konstancja/0000-0002-7669-266X; Tjus, Julia/0000-0002-1748-7367; Franckowiak, Anna/0000-0002-5605-2219; van Eijndhoven, Nick/0000-0001-5558-3328; Fox, Derek/0000-0002-3714-672X; Montaruli, Teresa/0000-0001-5014-2152; Meighen-Berger, Stephan/0000-0001-6579-2000; Huege, Tim/0000-0002-2783-4772; Bron, Stephanie/0000-0002-6305-3041; Schumacher, Lisa Johanna/0000-0001-8945-6722; Stuttard, Thomas/0000-0001-7944-279X; Lyu, Yangxintong/0000-0002-2501-9010; Desiati, Paolo/0000-0001-9768-1858; Kappes, Alexander/0000-0003-1315-3711; Merino, Gonzalo/0000-0002-9540-5742; Plum, Matthias/0000-0001-8691-242X; Ahlers, Markus/0000-0003-0709-5631; Bottcher, Jakob/0000-0002-3387-4236; Moore, Roger/0000-0003-4160-4700; Schneider, Austin/0000-0002-0895-3477; Spiczak, Glenn/0000-0002-0030-0519; LYU, Yan/0000-0002-7108-2109; Pandya, Hershal/0000-0002-6138-4808; BenZvi, Segev/0000-0001-5537-4710; Sclafani, Stephen/0000-0001-9446-1219; Kang, Woosik/0000-0003-3980-3778; Mancina, Sarah/0009-0003-9879-3896; Sarkar, Sourav/0000-0002-1206-4330; Andeen, Karen/0000-0001-9394-0007; Meier, Maximilian/0000-0002-9483-9450; Stein, Robert/0000-0003-2434-0387; Haack, Christian/0000-0003-3932-2448; Taboada, Ignacio/0000-0003-3509-3457; Chen, Chujie/0000-0002-8139-4106; /0000-0001-7909-5812; De Clercq, Catherine/0000-0001-5266-7059; Stettner, Joran/0000-0003-1042-3675; Strotjohann, Nora Linn/0000-0002-4667-6730; Tung, Chun Fai/0000-0001-6920-7841; Stachurska, Juliana/0000-0002-0238-5608; Koskinen, David/0000-0002-0514-5917; Coppin, Paul/0000-0001-6869-1280; Unland Elorrieta, Martin Antonio/0000-0002-6124-3255; Leonard DeHolton, Kayla/0000-0002-8795-0601; Petersen, Troels/0000-0003-0221-3037; Santander, Juan Marcos/0000-0001-7297-8217; Ganster, Erik/0000-0003-4393-6944; LIU, QINRUI/0000-0003-3379-6423; Deoskar, Kunal/0000-0002-1668-2347; de Vries, Krijn/0000-0002-9842-4068; Blot, Summer/0000-0003-1089-3001; Correa, Pablo/0000-0002-1158-6735; Pizzuto, Alex/0000-0002-8466-8168; Rongen, Martin/0000-0002-7057-1007; Lucarelli, Francesco/0000-0002-9558-8788; Huennefeld, Mirco/0000-0002-2827-6522; Maris, Ioana/0000-0002-5771-1124; Choi, Suyong/0000-0001-6225-9876; Conrad, Janet/0000-0002-6393-0438; Lu, Lu/0000-0003-3175-7770; Eller, Philipp/0000-0001-6354-5209; Kheirandish, Ali/0000-0001-7074-0539; Rhode, Wolfgang/0000-0003-2636-5000</t>
  </si>
  <si>
    <t>U.S.A. - U.S. National Science Foundation-Office of Polar Programs; U.S.A. -U.S. National Science Foundation-Physics Division; U.S.A. - Wisconsin Alumni Research Foundation; U.S.A. - Center for High Throughput Computing (CHTC) at the University ofWisconsin-Madison; U.S.A. - Open Science Grid (OSG); U.S.A. - Extreme Science and Engineering Discovery Environment (XSEDE); U.S.A. - U.S. Department of Energy-National Energy Research Scientific Computing Center; U.S.A. - Particle astrophysics research computing center at the University of Maryland; U.S.A. - Institute for Cyber-Enabled Research at Michigan State University; U.S.A. - Astroparticle physics computational facility at Marquette University; Belgium -Funds for Scientific Research (FRS-FNRS); Belgium - FWO Odysseus and Big Science programmes; Belgium - Belgian Federal Science Policy Office (Belspo); Germany -Bundesministerium fur Bildung und Forschung (BMBF); Germany -Deutsche Forschungsgemeinschaft (DFG); Germany -Helmholtz Alliance for Astroparticle Physics (HAP); Germany -Initiative and Networking Fund of the Helmholtz Association; Germany -Deutsches Elektronen Synchrotron (DESY); Germany -High Performance Computing cluster of the RWTH Aachen; Sweden -Swedish Research Council; Sweden - Swedish Polar Research Secretariat; Sweden -Swedish National Infrastructure for Computing (SNIC); Sweden - Knut and Alice Wallenberg Foundation; Australia -Australian Research Council; Canada -Natural Sciences and Engineering Research Council of Canada; Canada -Calcul Quebec; Canada -Compute Ontario; Canada -Canada Foundation for Innovation; Canada -Compute Canada; Denmark -Villum Fonden; Denmark - Danish National Research Foundation (DNRF); Denmark -Carlsberg Foundation; New Zealand -Marsden Fund; Japan -Japan Society for Promotion of Science (JSPS); Japan - Institute for Global Prominent Research (IGPR) of Chiba University; Korea National Research Foundation of Korea (NRF); Switzerland -Swiss National Science Foundation (SNSF); United Kingdom -Department of Physics, University of Oxford; Canada -WestGrid; Belgium -Funds for Scientific Research (FWO); NASA Radiation Sciences Program; Earth Observing System; STFC [ST/P006892/1, ST/S006176/1, ST/P000770/1] Funding Source: UKRI</t>
  </si>
  <si>
    <t>U.S.A. - U.S. National Science Foundation-Office of Polar Programs; U.S.A. -U.S. National Science Foundation-Physics Division(National Science Foundation (NSF)); U.S.A. - Wisconsin Alumni Research Foundation; U.S.A. - Center for High Throughput Computing (CHTC) at the University ofWisconsin-Madison; U.S.A. - Open Science Grid (OSG); U.S.A. - Extreme Science and Engineering Discovery Environment (XSEDE); U.S.A. - U.S. Department of Energy-National Energy Research Scientific Computing Center(United States Department of Energy (DOE)); U.S.A. - Particle astrophysics research computing center at the University of Maryland; U.S.A. - Institute for Cyber-Enabled Research at Michigan State University; U.S.A. - Astroparticle physics computational facility at Marquette University; Belgium -Funds for Scientific Research (FRS-FNRS)(Fonds de la Recherche Scientifique - FNRS); Belgium - FWO Odysseus and Big Science programmes; Belgium - Belgian Federal Science Policy Office (Belspo); Germany -Bundesministerium fur Bildung und Forschung (BMBF)(Federal Ministry of Education &amp; Research (BMBF)); Germany -Deutsche Forschungsgemeinschaft (DFG)(German Research Foundation (DFG)); Germany -Helmholtz Alliance for Astroparticle Physics (HAP); Germany -Initiative and Networking Fund of the Helmholtz Association; Germany -Deutsches Elektronen Synchrotron (DESY); Germany -High Performance Computing cluster of the RWTH Aachen; Sweden -Swedish Research Council; Sweden - Swedish Polar Research Secretariat; Sweden -Swedish National Infrastructure for Computing (SNIC); Sweden - Knut and Alice Wallenberg Foundation(Knut &amp; Alice Wallenberg Foundation); Australia -Australian Research Council; Canada -Natural Sciences and Engineering Research Council of Canada; Canada -Calcul Quebec; Canada -Compute Ontario; Canada -Canada Foundation for Innovation; Canada -Compute Canada; Denmark -Villum Fonden(Villum Fonden); Denmark - Danish National Research Foundation (DNRF)(National Research Foundation of Korea); Denmark -Carlsberg Foundation; New Zealand -Marsden Fund(Royal Society of New ZealandMarsden Fund (NZ)); Japan -Japan Society for Promotion of Science (JSPS); Japan - Institute for Global Prominent Research (IGPR) of Chiba University; Korea National Research Foundation of Korea (NRF)(National Research Foundation of Korea); Switzerland -Swiss National Science Foundation (SNSF); United Kingdom -Department of Physics, University of Oxford; Canada -WestGrid; Belgium -Funds for Scientific Research (FWO); NASA Radiation Sciences Program(National Aeronautics &amp; Space Administration (NASA)); Earth Observing System; STFC(UK Research &amp; Innovation (UKRI)Science &amp; Technology Facilities Council (STFC))</t>
  </si>
  <si>
    <t>The IceCube collaboration acknowledges the significant contributions to this manuscript from Jan Auffenberg and Erik Ganster. The authors gratefully acknowledge the support from the following agencies and institutions: U.S.A. - U.S. National Science Foundation-Office of Polar Programs, U.S. National Science Foundation-Physics Division, Wisconsin Alumni Research Foundation, Center for High Throughput Computing (CHTC) at the University ofWisconsin-Madison, Open Science Grid (OSG), Extreme Science and Engineering Discovery Environment (XSEDE), U.S. Department of Energy-National Energy Research Scientific Computing Center, Particle astrophysics research computing center at the University of Maryland, Institute for Cyber-Enabled Research at Michigan State University, and Astroparticle physics computational facility at Marquette University; Belgium -Funds for Scientific Research (FRS-FNRS and FWO), FWO Odysseus and Big Science programmes, and Belgian Federal Science Policy Office (Belspo); Germany -Bundesministerium fur Bildung und Forschung (BMBF), Deutsche Forschungsgemeinschaft (DFG), Helmholtz Alliance for Astroparticle Physics (HAP), Initiative and Networking Fund of the Helmholtz Association, Deutsches Elektronen Synchrotron (DESY), and High Performance Computing cluster of the RWTH Aachen; Sweden -Swedish Research Council, Swedish Polar Research Secretariat, Swedish National Infrastructure for Computing (SNIC), and Knut and Alice Wallenberg Foundation; Australia -Australian Research Council; Canada -Natural Sciences and Engineering Research Council of Canada, Calcul Quebec, Compute Ontario, Canada Foundation for Innovation, WestGrid, and Compute Canada; Denmark -Villum Fonden, Danish National Research Foundation (DNRF), Carlsberg Foundation; New Zealand -Marsden Fund; Japan -Japan Society for Promotion of Science (JSPS) and Institute for Global Prominent Research (IGPR) of Chiba University; Korea National Research Foundation of Korea (NRF); Switzerland -Swiss National Science Foundation (SNSF); United Kingdom -Department of Physics, University of Oxford.r The MPLNET project is funded by the NASA Radiation Sciences Program and Earth Observing System. We thank NOAA staff for operating and maintaining the MPLNET lidar at the South Pole. Logistical support for this project in Antarctica was provided by the U.S. National Science Foundation through the U.S. Antarctic Program.</t>
  </si>
  <si>
    <t>1748-0221</t>
  </si>
  <si>
    <t>J INSTRUM</t>
  </si>
  <si>
    <t>J. Instrum.</t>
  </si>
  <si>
    <t>T02002</t>
  </si>
  <si>
    <t>10.1088/1748-0221/15/02/T02002</t>
  </si>
  <si>
    <t>Instruments &amp; Instrumentation</t>
  </si>
  <si>
    <t>LG2NT</t>
  </si>
  <si>
    <t>WOS:000527944800002</t>
  </si>
  <si>
    <t>Caruso, G</t>
  </si>
  <si>
    <t>Caruso, Gabriella</t>
  </si>
  <si>
    <t>Microbial Colonization in Marine Environments: Overview of Current Knowledge and Emerging Research Topics</t>
  </si>
  <si>
    <t>JOURNAL OF MARINE SCIENCE AND ENGINEERING</t>
  </si>
  <si>
    <t>biofilms; microbes; colonization; substrates; temperate areas; polar regions</t>
  </si>
  <si>
    <t>ARTIFICIAL SURFACES; BALANUS-AMPHITRITE; BIOFILM FORMATION; BACTERIAL-COLONIZATION; COMMUNITY COMPOSITION; UNIDIRECTIONAL FLOW; EXPERIMENTAL-MODELS; MINIATURE PIPES; PLASTIC DEBRIS; ATTACHMENT</t>
  </si>
  <si>
    <t>Microbial biofilms are biological structures composed of surface-attached microbial communities embedded in an extracellular polymeric matrix. In aquatic environments, the microbial colonization of submerged surfaces is a complex process involving several factors, related to both environmental conditions and to the physical-chemical nature of the substrates. Several studies have addressed this issue; however, more research is still needed on microbial biofilms in marine ecosystems. After a brief report on environmental drivers of biofilm formation, this study reviews current knowledge of microbial community attached to artificial substrates, as obtained by experiments performed on several material types deployed in temperate and extreme polar marine ecosystems. Depending on the substrate, different microbial communities were found, sometimes highlighting the occurrence of species-specificity. Future research challenges and concluding remarks are also considered. Emphasis is given to future perspectives in biofilm studies and their potential applications, related to biofouling prevention (such as cell-to-cell communication by quorum sensing or improved knowledge of drivers/signals affecting biological settlement) as well as to the potential use of microbial biofilms as sentinels of environmental changes and new candidates for bioremediation purposes.</t>
  </si>
  <si>
    <t>[Caruso, Gabriella] Natl Reasearch Council ISP CNR, Inst Polar Sci, Spianata S Raineri 86, I-98122 Messina, Italy</t>
  </si>
  <si>
    <t>Consiglio Nazionale delle Ricerche (CNR); Istituto di Scienze Polari (ISP-CNR)</t>
  </si>
  <si>
    <t>Caruso, G (corresponding author), Natl Reasearch Council ISP CNR, Inst Polar Sci, Spianata S Raineri 86, I-98122 Messina, Italy.</t>
  </si>
  <si>
    <t>gabriella.caruso@cnr.it</t>
  </si>
  <si>
    <t>Caruso, Gabriella/F-5450-2013</t>
  </si>
  <si>
    <t>Caruso, Gabriella/0000-0002-3819-5486</t>
  </si>
  <si>
    <t>PROGRAMMA NAZIONALE DI RICERCHE IN ANTARTIDE (PNRA), National Antarctic Research Program [PNRA16_00105]</t>
  </si>
  <si>
    <t>PROGRAMMA NAZIONALE DI RICERCHE IN ANTARTIDE (PNRA), National Antarctic Research Program</t>
  </si>
  <si>
    <t>This research was funded by PROGRAMMA NAZIONALE DI RICERCHE IN ANTARTIDE (PNRA), National Antarctic Research Program with the grant number PNRA16_00105 (Microbial colonization of benthic environments in Antarctica: responses of microbial abundance, diversity and activities and larval settlement to natural or anthropogenic disturbances and search for secondary metabolites; ANT-Biofilm project).</t>
  </si>
  <si>
    <t>2077-1312</t>
  </si>
  <si>
    <t>J MAR SCI ENG</t>
  </si>
  <si>
    <t>J. Mar. Sci. Eng.</t>
  </si>
  <si>
    <t>10.3390/jmse8020078</t>
  </si>
  <si>
    <t>Engineering, Marine; Engineering, Ocean; Oceanography</t>
  </si>
  <si>
    <t>KT8EG</t>
  </si>
  <si>
    <t>WOS:000519244200028</t>
  </si>
  <si>
    <t>Marlow, J; Haris, A; Jompa, J; Werorilangi, S; Bates, T; Bennett, H; Bell, JJ</t>
  </si>
  <si>
    <t>Marlow, Joseph; Haris, Abdul; Jompa, Jamal; Werorilangi, Shinta; Bates, Tracey; Bennett, Holly; Bell, James J.</t>
  </si>
  <si>
    <t>Spatial variation in the benthic community composition of coral reefs in the Wakatobi Marine National Park, Indonesia: updated baselines and limited benthic community shifts</t>
  </si>
  <si>
    <t>JOURNAL OF THE MARINE BIOLOGICAL ASSOCIATION OF THE UNITED KINGDOM</t>
  </si>
  <si>
    <t>Baseline; benthic community; coral reef; monitoring; Wakatobi Marine National Park</t>
  </si>
  <si>
    <t>PHASE-SHIFTS; SPONGE ASSEMBLAGES; ALGAL TURFS; MAJOR CAUSE; BIODIVERSITY; DEGRADATION; MORTALITY; SULAWESI; RECOVERY; IMPACTS</t>
  </si>
  <si>
    <t>Coral reefs have experienced extensive degradation across the world over the last 50 years as a result of a variety of stressors operating at a range of spatial and temporal scales. In order to assess whether declines are continuing, or if reefs are recovering, detailed baseline information is required from across wide spatial scales. Unfortunately, for some regions this information is not readily available, making future reef trajectories difficult to determine. Here we characterized the current benthic community state for coral reefs in the Wakatobi region of Indonesia, one of the most biodiverse marine regions in the world. We surveyed 10 reef sites (5, 10 and 15 m depth) to explore spatial variation in coral reef benthic communities and provide a detailed baseline. Previous data (2002-2011) were available for coral, sponges, algae and soft coral at six of our study sites. Using this information, we determined if any changes had occurred in dominance of these benthic groups. We found that benthic assemblage composition differed significantly over relatively small spatial scales (2-10 km) and hard coral cover was highly variable, ranging from 7-48% (average 19.5% +/- 1.5 SE). While coral cover appears to have declined at all sites where data were available since 2002, we found little evidence for widespread increases in other benthic groups or regime shifts. Our study provides a comprehensive baseline dataset for the region that can be used in the future to determine rates of change in benthic communities.</t>
  </si>
  <si>
    <t>[Marlow, Joseph; Bates, Tracey; Bennett, Holly; Bell, James J.] Victoria Univ Wellington, Sch Biol Sci, Wellington 6140, New Zealand; [Marlow, Joseph] British Antarctic Survey, Madingley Rd, Cambridge CB3 0ET, England; [Haris, Abdul; Jompa, Jamal; Werorilangi, Shinta] Hasanuddin Univ, Res &amp; Dev Ctr Marine Coastal &amp; Small Isl, Makassar, Indonesia; [Bates, Tracey] Minist Primary Ind, Charles Fergusson Bldg,34-38 Bowen St, Wellington 6011, New Zealand; [Bennett, Holly] Cawthron Inst, 98 Halifax St East, Nelson 7010, New Zealand</t>
  </si>
  <si>
    <t>Victoria University Wellington; UK Research &amp; Innovation (UKRI); Natural Environment Research Council (NERC); NERC British Antarctic Survey; Universitas Hasanuddin</t>
  </si>
  <si>
    <t>Bell, JJ (corresponding author), Victoria Univ Wellington, Sch Biol Sci, Wellington 6140, New Zealand.</t>
  </si>
  <si>
    <t>james.bell@vuw.ac.nz</t>
  </si>
  <si>
    <t>haris, abdul/GPG-0863-2022; Jompa, Jamaluddin/AAD-9280-2021; Werorilangi, Shinta/HDN-9410-2022</t>
  </si>
  <si>
    <t>haris, abdul/0000-0001-7535-4514; Jompa, Jamaluddin/0000-0001-9740-333X; Bell, James/0000-0001-9996-945X</t>
  </si>
  <si>
    <t>Operation Wallacea; Victoria University of Wellington doctoral scholarships; NERC [bas0100036] Funding Source: UKRI</t>
  </si>
  <si>
    <t>Operation Wallacea; Victoria University of Wellington doctoral scholarships; NERC(UK Research &amp; Innovation (UKRI)Natural Environment Research Council (NERC))</t>
  </si>
  <si>
    <t>This study was facilitated by Operation Wallacea who provided travel funding and access to research facilities in the Wakatobi. Funding was also provided by Victoria University of Wellington doctoral scholarships to Joseph Marlow and Holly Bennett. Joseph Marlow conducted this research as an exchange student of Hasanuddin University and under a research permit issued to Hasanuddin University from the Indonesian Ministry of Research and Technology (RISTEK).</t>
  </si>
  <si>
    <t>0025-3154</t>
  </si>
  <si>
    <t>1469-7769</t>
  </si>
  <si>
    <t>J MAR BIOL ASSOC UK</t>
  </si>
  <si>
    <t>J. Mar. Biol. Assoc. U.K.</t>
  </si>
  <si>
    <t>PII S0025315419001012</t>
  </si>
  <si>
    <t>10.1017/S0025315419001012</t>
  </si>
  <si>
    <t>KK3DD</t>
  </si>
  <si>
    <t>WOS:000512625900004</t>
  </si>
  <si>
    <t>Weir, CR; Stanworth, A</t>
  </si>
  <si>
    <t>Weir, Caroline R.; Stanworth, Andrew</t>
  </si>
  <si>
    <t>The Falkland Islands (Malvinas) as sub-Antarctic foraging, migratory and wintering habitat for southern right whales</t>
  </si>
  <si>
    <t>Eubalaena australis; feeding ground; mating; migration; socializing; South-west Atlantic; whaling catches; wintering ground</t>
  </si>
  <si>
    <t>EUBALAENA-AUSTRALIS; PENINSULA VALDES; POPULATION; BEHAVIOR; GROUNDS; AREA</t>
  </si>
  <si>
    <t>The historical and contemporary presence of southern right whales (SRWs; Eubalaena australis) around the Falkland Islands (Malvinas) has received little recognition. We assessed SRW occurrence in the Falklands via whaling records, a literature review, systematic surveys (boat, aerial and shore-based), and citizen science sightings. The combined data sources indicated a year-round (peaking in austral summer) presence of SRWs in pelagic areas around the Falklands. In contrast, most nearshore records originated in the austral late autumn and winter (May to August), including a marked increase in sightings along the north-east coast during 2017 compared with previous years. The data support spatio-temporal variation in the use of Falklands waters by SRWs. Pelagic waters appear to comprise summer foraging habitat, and may also be used by animals migrating between the Patagonian shelf and feeding grounds located further south and east. The peak numbers observed in nearshore waters occurred earlier in the winter (July) than those on the Argentinean or Brazilian calving grounds (Aug-Oct). Consequently, some whales may have continued migrating northwards to established breeding areas after departing Falklands waters. A component of the south-west Atlantic population could also be using the islands as a novel wintering destination, for mating and/or socializing (no calving has been confirmed to date). The importance of Falklands waters as a multi-use SRW habitat appears to be increasing. The region is important in the context of addressing current knowledge gaps regarding feeding grounds and migratory corridors highlighted in international SRW conservation and management plans for the wider South-west Atlantic.</t>
  </si>
  <si>
    <t>[Weir, Caroline R.; Stanworth, Andrew] Falklands Conservat, Ross Rd, Stanley FIQQ 1ZZ, Falkland Island</t>
  </si>
  <si>
    <t>Weir, CR (corresponding author), Falklands Conservat, Ross Rd, Stanley FIQQ 1ZZ, Falkland Island.</t>
  </si>
  <si>
    <t>whales@conservation.org.fk</t>
  </si>
  <si>
    <t>Weir, Caroline/0000-0002-2052-5037</t>
  </si>
  <si>
    <t>European Union BEST 2.0 Programme; Royal Society for the Protection of Birds</t>
  </si>
  <si>
    <t>The 2017 fieldwork was funded by the European Union BEST 2.0 Programme and The Royal Society for the Protection of Birds.</t>
  </si>
  <si>
    <t>PII S0025315419001024</t>
  </si>
  <si>
    <t>10.1017/S0025315419001024</t>
  </si>
  <si>
    <t>WOS:000512625900016</t>
  </si>
  <si>
    <t>Coleine, C; Pombubpa, N; Zucconi, L; Onofri, S; Stajich, JE; Selbmann, L</t>
  </si>
  <si>
    <t>Coleine, Claudia; Pombubpa, Nuttapon; Zucconi, Laura; Onofri, Silvano; Stajich, Jason E.; Selbmann, Laura</t>
  </si>
  <si>
    <t>Endolithic Fungal Species Markers for Harshest Conditions in the McMurdo Dry Valleys, Antarctica</t>
  </si>
  <si>
    <t>LIFE-BASEL</t>
  </si>
  <si>
    <t>Antarctica; cryptoendolithic communities; McMurdo Dry Valleys; ITS metabarcoding; fungi; marker species</t>
  </si>
  <si>
    <t>BLACK FUNGI; FRIEDMANNIOMYCES-ENDOLITHICUS; CRYPTOENDOLITHIC COMMUNITIES; MICROBIAL DIVERSITY; SURVIVAL; SPACE; ICE; MICROORGANISMS; BIODIVERSITY; ADAPTATION</t>
  </si>
  <si>
    <t>The microbial communities that inhabit lithic niches inside sandstone in the Antarctic McMurdo Dry Valleys of life's limits on Earth. The cryptoendolithic communities survive in these ice-free areas that have the lowest temperatures on Earth coupled with strong thermal fluctuations, extreme aridity, oligotrophy and high levels of solar and UV radiation. In this study, based on DNA metabarcoding, targeting the fungal Internal Transcribed Spacer region 1 (ITS1) and multivariate statistical analyses, we supply the first comprehensive overview onto the fungal diversity and composition of these communities sampled over a broad geographic area of the Antarctic hyper-arid cold desert. Six locations with surfaces that experience variable sun exposure were sampled to compare communities from a common area across a gradient of environmental pressure. The Operational Taxonomic Units (OTUs) identified were primarily members of the Ascomycota phylum, comprised mostly of the Lecanoromycetes and Dothideomycetes classes. The fungal species Friedmanniomyces endolithicus, endemic to Antarctica, was found to be a marker species to the harshest conditions occurring in the shady, south exposed rock surfaces. Analysis of community composition showed that sun exposure was an environmental property that explained community diversity and structured endolithic colonization.</t>
  </si>
  <si>
    <t>[Coleine, Claudia; Zucconi, Laura; Onofri, Silvano; Selbmann, Laura] Univ Tuscia, Dept Ecol &amp; Biol Sci, I-01100 Viterbo, Italy; [Pombubpa, Nuttapon; Stajich, Jason E.] Univ Calif Riverside, Dept Microbiol &amp; Plant Pathol, Riverside, CA 92521 USA; [Pombubpa, Nuttapon; Stajich, Jason E.] Univ Calif Riverside, Inst Integrat Genome Biol, Riverside, CA 92521 USA; [Selbmann, Laura] Italian Natl Antarctic Museum MNA, Mycol Sect, I-16166 Genoa, Italy</t>
  </si>
  <si>
    <t>Selbmann, L (corresponding author), Univ Tuscia, Dept Ecol &amp; Biol Sci, I-01100 Viterbo, Italy.;Stajich, JE (corresponding author), Univ Calif Riverside, Dept Microbiol &amp; Plant Pathol, Riverside, CA 92521 USA.;Stajich, JE (corresponding author), Univ Calif Riverside, Inst Integrat Genome Biol, Riverside, CA 92521 USA.;Selbmann, L (corresponding author), Italian Natl Antarctic Museum MNA, Mycol Sect, I-16166 Genoa, Italy.</t>
  </si>
  <si>
    <t>coleine@unitus.it; npomb001@ucr.edu; zucconi@unitus.it; onofri@unitus.it; jason.stajich@ucr.edu; selbmann@unitus.it</t>
  </si>
  <si>
    <t>Selbmann, Laura/L-3056-2013; Stajich, Jason Eric/C-7297-2008; Zucconi, L./U-9781-2018; Coleine, Claudia/AAE-1889-2020</t>
  </si>
  <si>
    <t>Selbmann, Laura/0000-0002-8967-3329; Stajich, Jason Eric/0000-0002-7591-0020; Zucconi, L./0000-0001-9793-2303; Coleine, Claudia/0000-0002-9289-6179</t>
  </si>
  <si>
    <t>Italian National Program for Antarctic Researches; Italian Antarctic National Museum (MNA); United States Department of Agriculture - National Institute of Food and Agriculture Hatch project [CA-R-PPA-5062-H]; Royal Thai government fellowship; NSF [DBI-1429826]; NIH [S10-OD016290]</t>
  </si>
  <si>
    <t>Italian National Program for Antarctic Researches; Italian Antarctic National Museum (MNA); United States Department of Agriculture - National Institute of Food and Agriculture Hatch project; Royal Thai government fellowship; NSF(National Science Foundation (NSF)); NIH(United States Department of Health &amp; Human ServicesNational Institutes of Health (NIH) - USA)</t>
  </si>
  <si>
    <t>L.S., C.C., and L.Z. wish to thank the Italian National Program for Antarctic Researches for funding sampling campaigns and research activities in Italy in the frame of PNRA projects. The Italian Antarctic National Museum (MNA) is kindly acknowledged for financial support to the Mycological Section of the MNA and for providing rock samples used in this study and stored in the Culture Collection of Fungi from Extreme Environments (CCFEE), University of Tuscia, Italy. Fungal ITS primer sequences and arrayed barcodes were provided by the Alfred P. Sloan Foundation Indoor Microbiome Project. Sequencing was supported by funds through United States Department of Agriculture - National Institute of Food and Agriculture Hatch project CA-R-PPA-5062-H to J.E.S. J.E.S. is a CIFAR fellow in the Fungal Kingdom: Threats and Opportunities program. N.P. was supported by a Royal Thai government fellowship. Data analyses were performed on the High-Performance Computing Cluster at the University of California-Riverside in the Institute of Integrative Genome Biology supported by NSF DBI-1429826 and NIH S10-OD016290.</t>
  </si>
  <si>
    <t>2075-1729</t>
  </si>
  <si>
    <t>Life-Basel</t>
  </si>
  <si>
    <t>10.3390/life10020013</t>
  </si>
  <si>
    <t>Biology; Microbiology</t>
  </si>
  <si>
    <t>Life Sciences &amp; Biomedicine - Other Topics; Microbiology</t>
  </si>
  <si>
    <t>LP0ZD</t>
  </si>
  <si>
    <t>WOS:000534049200003</t>
  </si>
  <si>
    <t>Li, FJ; Janussen, D; Tasdemir, D</t>
  </si>
  <si>
    <t>Li, Fengjie; Janussen, Dorte; Tasdemir, Deniz</t>
  </si>
  <si>
    <t>New Discorhabdin B Dimers with Anticancer Activity from the Antarctic Deep-Sea Sponge Latrunculia biformis</t>
  </si>
  <si>
    <t>MARINE DRUGS</t>
  </si>
  <si>
    <t>Latrunculia biformis; discorhabdin B dimer; deep-sea sponge; Antarctica; anticancer activity; ECD spectroscopy</t>
  </si>
  <si>
    <t>GENUS LATRUNCULIA; ALKALOIDS; DEMOSPONGIAE</t>
  </si>
  <si>
    <t>Latrunculia sponges represent a rich source of discorhabdin-type pyrroloiminoquinone alkaloids, a few of which comprise a dimeric structure. The anticancer-activity-guided isolation of the n-hexane subextract of the Antarctic deep-sea sponge Latrunculia biformis yielded the known compound (-)-(1R,2R,6R,8S,6'S)-discorhabdin B dimer (1) and two new derivatives, (-)-(1S,2R,6R,8S,6'S)-discorhabdin B dimer (2) and (-)-(1R,2R,6R,8S,6'S)-16',17'-dehydrodiscorhabdin B dimer (3). The chemical structures of compounds 1-3 were elucidated by means of HR-ESIMS, NMR, [alpha](D), ECD spectroscopy, and a comparison with the previously reported discorhabdin analogs. Compounds 1 and 2 showed significant in vitro anticancer activity against the human colon cancer cell line (HCT-116), with IC50 values of 0.16 and 2.01 mu M, respectively. Compared to monomeric discorhabdins, dimeric discorhabdins are very rare in Nature. This study adds two new discorhabdin dimers (2 and 3) to this small pyrroloiminoquinone subfamily. This is also the first report of compound 1 as a natural product and the first assessment of its in vitro anticancer activity.</t>
  </si>
  <si>
    <t>[Li, Fengjie; Tasdemir, Deniz] GEOMAR Helmholtz Ctr Ocean Res Kiel, GEOMAR Ctr Marine Biotechnol GEOMAR Biotech, Res Unit Marine Nat Prod Chem, Kiel Kanal 44, D-24106 Kiel, Germany; [Janussen, Dorte] Senckenberg Res Inst, Senckenberganlage 25, D-60325 Frankfurt, Germany; [Janussen, Dorte] Nat Hist Museum, Senckenberganlage 25, D-60325 Frankfurt, Germany; [Tasdemir, Deniz] Univ Kiel, Fac Math &amp; Nat Sci, Christian Albrechts Pl 4, D-24118 Kiel, Germany</t>
  </si>
  <si>
    <t>Helmholtz Association; GEOMAR Helmholtz Center for Ocean Research Kiel; Senckenberg Gesellschaft fur Naturforschung (SGN); University of Kiel</t>
  </si>
  <si>
    <t>Tasdemir, D (corresponding author), GEOMAR Helmholtz Ctr Ocean Res Kiel, GEOMAR Ctr Marine Biotechnol GEOMAR Biotech, Res Unit Marine Nat Prod Chem, Kiel Kanal 44, D-24106 Kiel, Germany.;Tasdemir, D (corresponding author), Univ Kiel, Fac Math &amp; Nat Sci, Christian Albrechts Pl 4, D-24118 Kiel, Germany.</t>
  </si>
  <si>
    <t>fli@geomar.de; dorte.janussen@senckenberg.de; dtasdemir@geomar.de</t>
  </si>
  <si>
    <t>Tasdemir, Deniz/0000-0002-7841-6271; li, Fengjie/0000-0001-7825-7509</t>
  </si>
  <si>
    <t>China Scholarship Council; Deutsche Forschungsgemeinschaft (DFG) [JA 1063/17-1]; Land Schleswig-Holstein within the funding program Open Access Publikationsfonds</t>
  </si>
  <si>
    <t>China Scholarship Council(China Scholarship Council); Deutsche Forschungsgemeinschaft (DFG)(German Research Foundation (DFG)); Land Schleswig-Holstein within the funding program Open Access Publikationsfonds</t>
  </si>
  <si>
    <t>Fengjie Li thanks the China Scholarship Council for a Ph.D. fellowship. The Deutsche Forschungsgemeinschaft (DFG) is acknowledged by Dorte Janussen for financial support to her Antarctic sponge research (JA 1063/17-1). We are grateful to Arlette Wenzel-Storjohann and Jana Heumann for performing anticancer assays. Joachim Grotzinger is acknowledged for granting access to J-810 CD spectrometer. We acknowledge financial support by Land Schleswig-Holstein within the funding program Open Access Publikationsfonds.</t>
  </si>
  <si>
    <t>1660-3397</t>
  </si>
  <si>
    <t>MAR DRUGS</t>
  </si>
  <si>
    <t>Mar. Drugs</t>
  </si>
  <si>
    <t>10.3390/md18020107</t>
  </si>
  <si>
    <t>Chemistry, Medicinal; Pharmacology &amp; Pharmacy</t>
  </si>
  <si>
    <t>Pharmacology &amp; Pharmacy</t>
  </si>
  <si>
    <t>KS9XP</t>
  </si>
  <si>
    <t>WOS:000518664600038</t>
  </si>
  <si>
    <t>Sun, WW; Huang, WC; Shi, BW; Xue, CH; Jiang, XM</t>
  </si>
  <si>
    <t>Sun, Weiwei; Huang, Wencan; Shi, Bowen; Xue, Changhu; Jiang, Xiaoming</t>
  </si>
  <si>
    <t>Effective Antarctic krill oil extraction using switchable hydrophilicity solvents</t>
  </si>
  <si>
    <t>MARINE LIFE SCIENCE &amp; TECHNOLOGY</t>
  </si>
  <si>
    <t>Krill oil; Switchable hydrophilicity solvents; N; N-dimethylcyclohexylamine; Phospholipids; Polyunsaturated fatty acids; Astaxanthin</t>
  </si>
  <si>
    <t>EUPHAUSIA-SUPERBA; LIPID EXTRACTION; FATTY-ACIDS; MEAL; CAROTENOIDS; MICROALGAE; CHEMISTRY; BIODIESEL</t>
  </si>
  <si>
    <t>Antarctic krill has been widely studied because of its abundant biomass, rich nutritional value, and great production potential. Notably, krill oil (KO) is rich in phospholipids (PLs), polyunsaturated fatty acids (PUFAs), and astaxanthin. A method based on a green switchable hydrophilicity solvent N,N-dimethylcyclohexylamine (DMCHA), which can reversibly change from oil soluble to water soluble in the presence of CO2 was used to extract KO from frozen Antarctic krill as it consumes less energy than traditional methods. We showed that DMCHA destroyed the surface structure of Antarctic krill and accelerated the dissolution of KO. In addition, this method enabled the PL extraction to reach up to 80.2% of total PLs, among which PC accounted for the highest proportion, up to 90.91% in PL. In fact, the astaxanthin extraction reached up to 81.44% of total astaxanthin while the fatty acid (FA) extraction up to 84.35%. The KO extracted through DMCHA was rich in PUFA, up to 47.74%, and the content of EPA + DHA reached 42.16% of total FA content. Furthermore, the amount of residual solvent in the lipid phase was just 0.23% of the DMCHA used for the extraction and the recovery rate of solvent was up to 93.2%. Our results demonstrated the high efficiency of oil extraction and the environmental friendliness of this method.</t>
  </si>
  <si>
    <t>[Sun, Weiwei; Huang, Wencan; Shi, Bowen; Xue, Changhu; Jiang, Xiaoming] Ocean Univ China, Coll Food Sci &amp; Engn, Qingdao 266003, Peoples R China; [Xue, Changhu] Qingdao Natl Lab Marine Sci &amp; Technol, Lab Marine Drugs &amp; Bioprod, Qingdao 266237, Peoples R China</t>
  </si>
  <si>
    <t>Ocean University of China; Laoshan Laboratory</t>
  </si>
  <si>
    <t>Jiang, XM (corresponding author), Ocean Univ China, Coll Food Sci &amp; Engn, Qingdao 266003, Peoples R China.</t>
  </si>
  <si>
    <t>jxm@ouc.edu.cn</t>
  </si>
  <si>
    <t>Jiang, Xiaoming/AES-5733-2022</t>
  </si>
  <si>
    <t>Jiang, Xiaoming/0000-0002-1444-6121</t>
  </si>
  <si>
    <t>National Natural Science Foundation of China [U606403]</t>
  </si>
  <si>
    <t>Financial support provided by the National Natural Science Foundation of China (U606403): Marine Drugs and Biological Products was appreciated.</t>
  </si>
  <si>
    <t>SPRINGERNATURE</t>
  </si>
  <si>
    <t>2096-6490</t>
  </si>
  <si>
    <t>2662-1746</t>
  </si>
  <si>
    <t>MAR LIFE SCI TECH</t>
  </si>
  <si>
    <t>Mar. Life Sci. Tech.</t>
  </si>
  <si>
    <t>10.1007/s42995-019-00019-w</t>
  </si>
  <si>
    <t>SA7AO</t>
  </si>
  <si>
    <t>WOS:000649453200006</t>
  </si>
  <si>
    <t>Yang, ZF; Xiao, X; Zhang, Y</t>
  </si>
  <si>
    <t>Yang, Zhifeng; Xiao, Xiang; Zhang, Yu</t>
  </si>
  <si>
    <t>Microbial diversity of sediments from an inactive hydrothermal vent field, Southwest Indian Ridge</t>
  </si>
  <si>
    <t>Hydrothermal; Microbial diversity; High-throughput sequencing; Deep-sea sediments; Ultraslow-spreading ridge</t>
  </si>
  <si>
    <t>16S RIBOSOMAL-RNA; BACTERIAL COMMUNITY STRUCTURE; PARTICULATE ORGANIC-CARBON; DEEP-SEA SEDIMENTS; OXIDIZING BACTERIA; FAM. NOV.; GEN. NOV.; OCEAN; OXIDATION; PHYCISPHAERAE</t>
  </si>
  <si>
    <t>The Southwest Indian Ridge, which is the slowest-spreading of the main ridges, separates the African and Antarctic plates. The slow expanding rate is associated with less density of hydrothermal vent fields, shorter longevity of hydrothermal activity, cold mantle temperatures and thick lithosphere. However, the microbial communities adapting to such specific characteristics of this area have remained largely unexplored. To study the microbial diversity at the Southwest Indian Ridge, we sampled three sediment cores in a newly found inactive vent field, the Tianzuo field, and used high-throughput sequencing of 16S rRNA genes to reveal the microbial composition. Microbial communities of three sampling sites were very similar at the surface, and underwent a gradient change along depth. Gammaproteobacteria, namely Alteromonadaceae, Nitrosococcus and the JTB255 marine benthic group, were the most dominant bacterial taxa. Marine Group I was the dominant archaeal taxon in our samples. In addition, microbial populations capable of ammonia oxidation, nitrite oxidation, sulfur oxidation and manganese oxidation were detected to be the main chemolithoautotrophs. The enrichment of sulfur-oxidizing and manganese-oxidizing bacteria was observed in deep layers. When compared with other vent fields along different ocean ridges, the Tianzuo field showed distinct composition in both archaeal and bacterial communities. These results provide the first view of microbial communities of the Tianzuo field at the Southwest Indian Ridge, and give a better understanding of metabolic potential possessed by the microbial populations.</t>
  </si>
  <si>
    <t>[Yang, Zhifeng; Zhang, Yu] Shanghai Jiao Tong Univ, Sch Oceanog, Shanghai 200240, Peoples R China; [Xiao, Xiang; Zhang, Yu] Shanghai Jiao Tong Univ, State Key Lab Ocean Engn, Shanghai 200240, Peoples R China; [Xiao, Xiang] Shanghai Jiao Tong Univ, State Key Lab Microbial Metab, Shanghai 200240, Peoples R China; [Xiao, Xiang] Shanghai Jiao Tong Univ, Sch Life Sci &amp; Biotechnol, Shanghai 200240, Peoples R China</t>
  </si>
  <si>
    <t>Shanghai Jiao Tong University; Shanghai Jiao Tong University; Shanghai Jiao Tong University; Shanghai Jiao Tong University</t>
  </si>
  <si>
    <t>Zhang, Y (corresponding author), Shanghai Jiao Tong Univ, Sch Oceanog, Shanghai 200240, Peoples R China.;Zhang, Y (corresponding author), Shanghai Jiao Tong Univ, State Key Lab Ocean Engn, Shanghai 200240, Peoples R China.</t>
  </si>
  <si>
    <t>zhang.yusjtu@sjtu.edu.cn</t>
  </si>
  <si>
    <t>xiao, xiang/GWU-6035-2022; , yu/GYD-8364-2022; Xiao, Xiao/IAN-3011-2023</t>
  </si>
  <si>
    <t>, yu/0000-0002-0379-7882;</t>
  </si>
  <si>
    <t>National Science Foundation of China [41530967, 41776173, 41576129]; National Key Research and Development Program of China [2016YFC03007]</t>
  </si>
  <si>
    <t>National Science Foundation of China(National Natural Science Foundation of China (NSFC)); National Key Research and Development Program of China</t>
  </si>
  <si>
    <t>This work was supported by the National Science Foundation of China (41530967, 41776173, 41576129) and the National Key Research and Development Program of China (2016YFC03007). We acknowledge the crew of the Dayang 35th cruise.</t>
  </si>
  <si>
    <t>10.1007/s42995-019-00007-0</t>
  </si>
  <si>
    <t>WOS:000649453200009</t>
  </si>
  <si>
    <t>Morlighem, M; Rignot, E; Binder, T; Blankenship, D; Drews, R; Eagles, G; Eisen, O; Ferraccioli, F; Forsberg, R; Fretwell, P; Goel, V; Greenbaum, JS; Gudmundsson, H; Guo, JX; Helm, V; Hofstede, C; Howat, I; Humbert, A; Jokat, W; Karlsson, NB; Lee, WS; Matsuoka, K; Millan, R; Mouginot, J; Paden, J; Pattyn, F; Roberts, J; Rosier, S; Ruppel, A; Seroussi, H; Smith, EC; Steinhage, D; Sun, B; van den Broeke, MR; van Ommen, TD; van Wessem, M; Young, DA</t>
  </si>
  <si>
    <t>Morlighem, Mathieu; Rignot, Eric; Binder, Tobias; Blankenship, Donald; Drews, Reinhard; Eagles, Graeme; Eisen, Olaf; Ferraccioli, Fausto; Forsberg, Rene; Fretwell, Peter; Goel, Vikram; Greenbaum, Jamin S.; Gudmundsson, Hilmar; Guo, Jingxue; Helm, Veit; Hofstede, Coen; Howat, Ian; Humbert, Angelika; Jokat, Wilfried; Karlsson, Nanna B.; Lee, Won Sang; Matsuoka, Kenichi; Millan, Romain; Mouginot, Jeremie; Paden, John; Pattyn, Frank; Roberts, Jason; Rosier, Sebastian; Ruppel, Antonia; Seroussi, Helene; Smith, Emma C.; Steinhage, Daniel; Sun, Bo; van den Broeke, Michiel R.; van Ommen, Tas D.; van Wessem, Melchior; Young, Duncan A.</t>
  </si>
  <si>
    <t>Deep glacial troughs and stabilizing ridges unveiled beneath the margins of the Antarctic ice sheet</t>
  </si>
  <si>
    <t>WEST ANTARCTICA; THWAITES GLACIER; BED TOPOGRAPHY; PINE ISLAND; RETREAT; BATHYMETRY; GREENLAND; CLIMATE; SURFACE</t>
  </si>
  <si>
    <t>The Antarctic ice sheet has been losing mass over past decades through the accelerated flow of its glaciers, conditioned by ocean temperature and bed topography. Glaciers retreating along retrograde slopes (that is, the bed elevation drops in the inland direction) are potentially unstable, while subglacial ridges slow down the glacial retreat. Despite major advances in the mapping of subglacial bed topography, significant sectors of Antarctica remain poorly resolved and critical spatial details are missing. Here we present a novel, high-resolution and physically based description of Antarctic bed topography using mass conservation. Our results reveal previously unknown basal features with major implications for glacier response to climate change. For example, glaciers flowing across the Transantarctic Mountains are protected by broad, stabilizing ridges. Conversely, in the marine basin of Wilkes Land, East Antarctica, we find retrograde slopes along Ninnis and Denman glaciers, with stabilizing slopes beneath Moscow University, Totten and Lambert glacier system, despite corrections in bed elevation of up to 1 km for the latter. This transformative description of bed topography redefines the high- and lower-risk sectors for rapid sea level rise from Antarctica; it will also significantly impact model projections of sea level rise from Antarctica in the coming centuries.</t>
  </si>
  <si>
    <t>[Morlighem, Mathieu; Rignot, Eric; Millan, Romain; Mouginot, Jeremie] Univ Calif Irvine, Dept Earth Syst Sci, Irvine, CA 92697 USA; [Rignot, Eric; Seroussi, Helene] CALTECH, Jet Prop Lab, Pasadena, CA USA; [Binder, Tobias; Drews, Reinhard; Eagles, Graeme; Eisen, Olaf; Helm, Veit; Hofstede, Coen; Humbert, Angelika; Jokat, Wilfried; Karlsson, Nanna B.; Smith, Emma C.; Steinhage, Daniel] Helmholtz Ctr Polar &amp; Marine Res, Alfred Wegener Inst, Bremerhaven, Germany; [Blankenship, Donald; Greenbaum, Jamin S.; Young, Duncan A.] UT Austin, Jackson Sch Geosci, Austin, TX USA; [Drews, Reinhard] Univ Tubingen, Dept Geosci, Tubingen, Germany; [Eisen, Olaf; Humbert, Angelika] Univ Bremen, Bremen, Germany; [Ferraccioli, Fausto; Fretwell, Peter] British Antarctic Survey, Cambridge, England; [Forsberg, Rene] Tech Univ Denmark, Lyngby, Denmark; [Goel, Vikram] Natl Ctr Polar &amp; Ocean Res, Vasco, Goa, India; [Gudmundsson, Hilmar; Rosier, Sebastian] Northumbria Univ, Newcastle Upon Tyne, Tyne &amp; Wear, England; [Guo, Jingxue; Sun, Bo] Polar Res Inst China, Shanghai, Peoples R China; [Howat, Ian] Ohio State Univ, Sch Earth Sci, Columbus, OH 43210 USA; [Karlsson, Nanna B.] Geol Survey Denmark &amp; Greenland, Copenhagen, Denmark; [Lee, Won Sang] Korea Polar Res Inst, Incheon, South Korea; [Matsuoka, Kenichi] Norwegian Polar Res Inst, Tromso, Norway; [Mouginot, Jeremie] Univ Grenoble Alpes, CNRS, Inst Geosci Environm, Grenoble, France; [Paden, John] Univ Kansas, Ctr Remote Sensing Ice Sheets, Lawrence, KS 66045 USA; [Pattyn, Frank] Univ Libre Bruxelles, Brussels, Belgium; [Roberts, Jason; van Ommen, Tas D.] Australian Antarctic Div, Kingston, Tas, Australia; [Roberts, Jason; van Ommen, Tas D.] Antarctic Climate &amp; Ecosyst Cooperat Res Ctr, Kingston, Tas, Australia; [Roberts, Jason; van Ommen, Tas D.] Univ Tasmania, Inst Marine &amp; Antarctic Studies, Hobart, Tas, Australia; [Ruppel, Antonia] Federal Inst Geosci &amp; Nat Resources, Hannover, NH, Germany; [van den Broeke, Michiel R.; van Wessem, Melchior] Univ Utrecht, Inst Marine &amp; Atmospher Res, Utrecht, Netherlands</t>
  </si>
  <si>
    <t>University of California System; University of California Irvine; California Institute of Technology; National Aeronautics &amp; Space Administration (NASA); NASA Jet Propulsion Laboratory (JPL); Helmholtz Association; Alfred Wegener Institute, Helmholtz Centre for Polar &amp; Marine Research; University of Texas System; University of Texas Austin; Eberhard Karls University of Tubingen; University of Bremen; UK Research &amp; Innovation (UKRI); Natural Environment Research Council (NERC); NERC British Antarctic Survey; Technical University of Denmark; Ministry of Earth Sciences (MoES) - India; National Centre for Polar and Ocean Research (NCPOR); Northumbria University; Polar Research Institute of China; University System of Ohio; Ohio State University; Geological Survey Of Denmark &amp; Greenland; Korea Polar Research Institute (KOPRI); Norwegian Polar Institute; Communaute Universite Grenoble Alpes; Universite Grenoble Alpes (UGA); Centre National de la Recherche Scientifique (CNRS); University of Kansas; Universite Libre de Bruxelles; Australian Antarctic Division; Antarctic Climate &amp; Ecosystems Cooperative Research Centre (ACE CRC); University of Tasmania; Utrecht University</t>
  </si>
  <si>
    <t>Morlighem, M (corresponding author), Univ Calif Irvine, Dept Earth Syst Sci, Irvine, CA 92697 USA.</t>
  </si>
  <si>
    <t>Mathieu.Morlighem@uci.edu</t>
  </si>
  <si>
    <t>Smith, Emma/AAO-5329-2021; Young, Duncan A./G-6256-2010; Van den Broeke, Michiel R./F-7867-2011; Goel, Vikram/ABV-7985-2022; Pattyn, Frank/AAA-9640-2019; Eisen, Olaf/K-3846-2012; Karlsson, Nanna Bjørnholt/G-4621-2018; Roberts, Jason L/B-2235-2012; Gudmundsson, Gudmundur Hilmar/AAU-5987-2020; Hofstede, Coen/JXM-4966-2024; Howat, Ian M/A-3474-2008; sun, bo/JFA-9978-2023; Rignot, Eric/A-4560-2014; Drews, reinhard/AAP-4134-2021; Seroussi, Helene/AAX-5342-2021; Morlighem, Mathieu/O-9942-2014; Mouginot, Jeremie/G-7045-2015; Matsuoka, Kenichi/B-7298-2017; Karlsson, Nanna B./M-4519-2014; van Ommen, Tas/B-5020-2012</t>
  </si>
  <si>
    <t>Van den Broeke, Michiel R./0000-0003-4662-7565; Goel, Vikram/0000-0002-8393-0195; Pattyn, Frank/0000-0003-4805-5636; Eisen, Olaf/0000-0002-6380-962X; Roberts, Jason L/0000-0002-3477-4069; Gudmundsson, Gudmundur Hilmar/0000-0003-4236-5369; Rignot, Eric/0000-0002-3366-0481; Drews, reinhard/0000-0002-2328-294X; Seroussi, Helene/0000-0001-9201-1644; Morlighem, Mathieu/0000-0001-5219-1310; Mouginot, Jeremie/0000-0001-9155-5455; Eagles, Graeme/0000-0001-5325-0810; Ferraccioli, Fausto/0000-0002-9347-4736; Jokat, Wilfried/0000-0002-7793-5854; Matsuoka, Kenichi/0000-0002-3587-3405; Karlsson, Nanna B./0000-0003-0423-8705; Ruppel, Antonia/0000-0001-5101-411X; Humbert, Angelika/0000-0002-0244-8760; Smith, Emma/0000-0002-8672-8259; Forsberg, Rene/0000-0002-7288-9545; van Ommen, Tas/0000-0002-2463-1718</t>
  </si>
  <si>
    <t>National Aeronautics and Space Administration Cryospheric Sciences Program [NNX17AI02G, NNX15AD55G, NNX14AN03G]; MEaSURES-3 Program [80NSSC18M0083]; NSF-NERC International Thwaites Glacier Collaboration [1739031]; University of Kansas; NASA Operation IceBridge grant [NNX16AH54G]; NSF [ANT-1043761, ANT-1543452, ANT-0733025, ANT-1443690, ANT-1143843, ANT-0424589]; NASA [NNG10HPO6C, NNX11AD33G]; AAD projects [3013, 4077, 4346]; Australian Government's Cooperative Research Centre program through the Antarctic Climate and Ecosystems Cooperative Research Centre; Australian Research Council's Special Research Initiative for Antarctic Gateway Partnership [SR140300001]; National Natural Science Foundation of China [41876227]; G. Unger Vetlesen Foundation; DFG Emmy Noether Grant [DR 822/3-1]; Korean Ministry of Oceans and Fisheries [KIMST20190361, PM19020]; KOPRI [PE19110]; DFG Cost S2S project [EI672/10-1]; NASA [677588, NNX14AN03G] Funding Source: Federal RePORTER; NERC [bas0100029, NE/S006745/1, bas010011] Funding Source: UKRI; Office of Polar Programs (OPP); Directorate For Geosciences [1739031] Funding Source: National Science Foundation</t>
  </si>
  <si>
    <t>National Aeronautics and Space Administration Cryospheric Sciences Program; MEaSURES-3 Program; NSF-NERC International Thwaites Glacier Collaboration; University of Kansas; NASA Operation IceBridge grant; NSF(National Science Foundation (NSF)); NASA(National Aeronautics &amp; Space Administration (NASA)); AAD projects; Australian Government's Cooperative Research Centre program through the Antarctic Climate and Ecosystems Cooperative Research Centre(Australian GovernmentDepartment of Industry, Innovation and ScienceCooperative Research Centres (CRC) Programme); Australian Research Council's Special Research Initiative for Antarctic Gateway Partnership(Australian Research Council); National Natural Science Foundation of China(National Natural Science Foundation of China (NSFC)); G. Unger Vetlesen Foundation; DFG Emmy Noether Grant(German Research Foundation (DFG)); Korean Ministry of Oceans and Fisheries; KOPRI(Korea Polar Research Institute of Marine Research Placement (KOPRI)); DFG Cost S2S project; NASA(National Aeronautics &amp; Space Administration (NASA)); NERC(UK Research &amp; Innovation (UKRI)Natural Environment Research Council (NERC)); Office of Polar Programs (OPP); Directorate For Geosciences(National Science Foundation (NSF)NSF - Directorate for Geosciences (GEO))</t>
  </si>
  <si>
    <t>This work was performed at the University of California Irvine under a contract with the National Aeronautics and Space Administration Cryospheric Sciences Program (NNX17AI02G, NNX15AD55G and NNX14AN03G), MEaSURES-3 Program (80NSSC18M0083) and the NSF-NERC International Thwaites Glacier Collaboration (award 1739031). We acknowledge the use of data and/or data products from CReSIS generated with support from the University of Kansas, NSF grant ANT-0424589, and NASA Operation IceBridge grant NNX16AH54G, and date products collected by the ICECAP collaboration under NSF grants ANT-1043761, ANT-1543452, ANT-0733025, ANT-1443690 and ANT-1143843, NASA grants (NNG10HPO6C and NNX11AD33G), and AAD projects (3013, 4077 and 4346), the Australian Government's Cooperative Research Centre program through the Antarctic Climate and Ecosystems Cooperative Research Centre and the Australian Research Council's Special Research Initiative for Antarctic Gateway Partnership (Project ID SR140300001), the National Natural Science Foundation of China grant 41876227, with support by the G. Unger Vetlesen Foundation. R.D. was partially supported by the DFG Emmy Noether Grant DR 822/3-1, W.S.L. was supported by the Korean Ministry of Oceans and Fisheries (KIMST20190361; PM19020) and KOPRI (PE19110), F.F. acknowledges ESA (PolarGAP &amp; 4D Antarctica projects) and BAS core programme support and E.C.S. was funded through the DFG Cost S2S project (EI672/10-1) in the framework of the priority programme Antarctic Research with comparative investigations in Arctic ice areas.</t>
  </si>
  <si>
    <t>10.1038/s41561-019-0510-8</t>
  </si>
  <si>
    <t>KT7SZ</t>
  </si>
  <si>
    <t>WOS:000519214500009</t>
  </si>
  <si>
    <t>Vargo, LJ</t>
  </si>
  <si>
    <t>Vargo, Lauren J.</t>
  </si>
  <si>
    <t>Landscape surveys from the sky</t>
  </si>
  <si>
    <t>NATURE REVIEWS EARTH &amp; ENVIRONMENT</t>
  </si>
  <si>
    <t>[Vargo, Lauren J.] Victoria Univ Wellington, Antarctic Res Ctr, Wellington, New Zealand</t>
  </si>
  <si>
    <t>Victoria University Wellington</t>
  </si>
  <si>
    <t>Vargo, LJ (corresponding author), Victoria Univ Wellington, Antarctic Res Ctr, Wellington, New Zealand.</t>
  </si>
  <si>
    <t>lauren.vargo@vuw.ac.nz</t>
  </si>
  <si>
    <t>2662-138X</t>
  </si>
  <si>
    <t>NAT REV EARTH ENV</t>
  </si>
  <si>
    <t>Nat. Rev. Earth Environ.</t>
  </si>
  <si>
    <t>10.1038/s43017-020-0023-4</t>
  </si>
  <si>
    <t>Environmental Sciences; Geosciences, Multidisciplinary</t>
  </si>
  <si>
    <t>SA6XU</t>
  </si>
  <si>
    <t>WOS:000649445800007</t>
  </si>
  <si>
    <t>Jordan, TA; Riley, TR; Siddoway, CS</t>
  </si>
  <si>
    <t>Jordan, Tom A.; Riley, Teal R.; Siddoway, Christine S.</t>
  </si>
  <si>
    <t>The geological history and evolution of West Antarctica</t>
  </si>
  <si>
    <t>MARIE-BYRD-LAND; ELLSWORTH-WHITMORE MOUNTAINS; LARGE IGNEOUS PROVINCE; EASTERN GRAHAM LAND; U-PB GEOCHRONOLOGY; SEA RIFT SYSTEM; NEW-ZEALAND; TECTONIC EVOLUTION; PACIFIC MARGIN; BREAK-UP</t>
  </si>
  <si>
    <t>West Antarctica has formed the tectonically active margin between East Antarctica and the Pacific Ocean for almost half a billion years, where it has recorded a dynamic history of magmatism, continental growth and fragmentation. Despite the scale and importance of West Antarctica, there has not been an integrated view of the geology and tectonic evolution of the region as a whole. In this Review, we identify three broad physiographic provinces and present their overlapping and interconnected tectonic, magmatic and sedimentary history. The Weddell Sea region, which lays furthest from the subducting margin, was most impacted by the Jurassic initiation of Gondwana break-up. Marie Byrd Land and the West Antarctic rift system developed as a broad Cretaceous to Cenozoic continental rift system, reworking a former convergent margin. Finally, the Antarctic Peninsula and Thurston Island preserve an almost complete magmatic arc system. We conclude by briefly summarizing the geologic history of the West Antarctic system as a whole, how it provides insight into continental margin evolution and what key topics must be addressed by future research. Understanding the complex geologic history of West Antarctica provides insight into the formation of continental margins across Earth. In this Review, we detail the magmatism, continental growth and fragmentation of West Antarctica over the past 500 million years.</t>
  </si>
  <si>
    <t>[Jordan, Tom A.; Riley, Teal R.] British Antarctic Survey, Cambridge, England; [Siddoway, Christine S.] Colorado Coll, Geol Dept, Colorado Springs, CO 80903 USA</t>
  </si>
  <si>
    <t>UK Research &amp; Innovation (UKRI); Natural Environment Research Council (NERC); NERC British Antarctic Survey; Colorado College</t>
  </si>
  <si>
    <t>Jordan, TA (corresponding author), British Antarctic Survey, Cambridge, England.</t>
  </si>
  <si>
    <t>tomj@bas.ac.uk</t>
  </si>
  <si>
    <t>Siddoway, Christine/HKV-0895-2023</t>
  </si>
  <si>
    <t>NSF Antarctic Integrated System Science [1443497]; Geology Department of Colorado College; NERC [bas0100029] Funding Source: UKRI</t>
  </si>
  <si>
    <t>NSF Antarctic Integrated System Science; Geology Department of Colorado College; NERC(UK Research &amp; Innovation (UKRI)Natural Environment Research Council (NERC))</t>
  </si>
  <si>
    <t>This paper was supported by the British Antarctic Survey Geology and Geophysics team (T. A.J. and T. R.R.), NSF Antarctic Integrated System Science award 1443497 and the Geology Department of Colorado College (C.S.S.).</t>
  </si>
  <si>
    <t>10.1038/s43017-019-0013-6</t>
  </si>
  <si>
    <t>WOS:000649445800012</t>
  </si>
  <si>
    <t>Williams, D</t>
  </si>
  <si>
    <t>Williams, Dawn</t>
  </si>
  <si>
    <t>IceCube Collaboration</t>
  </si>
  <si>
    <t>Status and prospects for the IceCube Neutrino Observatory</t>
  </si>
  <si>
    <t>NUCLEAR INSTRUMENTS &amp; METHODS IN PHYSICS RESEARCH SECTION A-ACCELERATORS SPECTROMETERS DETECTORS AND ASSOCIATED EQUIPMENT</t>
  </si>
  <si>
    <t>10th International Workshop on Ring Imaging Cherenkov Detectors (RICH)</t>
  </si>
  <si>
    <t>JUL 29-AUG 04, 2018</t>
  </si>
  <si>
    <t>Russian Acad Sci, Moscow, RUSSIA</t>
  </si>
  <si>
    <t>Russian Acad Sci</t>
  </si>
  <si>
    <t>Particle astrophysics; Neutrino astronomy; Multimessenger astronomy</t>
  </si>
  <si>
    <t>The IceCube Neutrino Observatory is located at the geographic South Pole and consists of over 5000 optical sensors embedded in the Antarctic ice along with 81 cosmic ray detector stations on the surface. IceCube was designed to detect high energy neutrinos from extreme astrophysical environments which are potential cosmic ray acceleration sites, such as active galactic nuclei, gamma ray bursts and supernova remnants. The discovery of astrophysical neutrinos by IceCube in 2013 heralded the beginning of neutrino astronomy, and we continue to collect data and explore the properties and potential sources of these neutrinos. An expanded successor called IceCube-Gen2 is in development, with updated optical sensors and calibration devices, and an expanded surface veto. The IceCube-Gen2 detector will search for the sources of cosmic neutrinos and will also include an infill component which will investigate fundamental neutrino physics using atmospheric neutrinos. I will discuss the latest results from IceCube, and the status of IceCube-Gen2.</t>
  </si>
  <si>
    <t>[Williams, Dawn; IceCube Collaboration] Univ Alabama, Dept Phys &amp; Astron, Tuscaloosa, AL 35487 USA</t>
  </si>
  <si>
    <t>University of Alabama System; University of Alabama Tuscaloosa</t>
  </si>
  <si>
    <t>Williams, D (corresponding author), Univ Alabama, Dept Phys &amp; Astron, Tuscaloosa, AL 35487 USA.</t>
  </si>
  <si>
    <t>drwilliams3@ua.edu</t>
  </si>
  <si>
    <t>Sánchez, Juan Antonio Aguilar/H-4467-2015; Sarkar, Subir/G-5978-2011</t>
  </si>
  <si>
    <t>Sarkar, Subir/0000-0002-3542-858X</t>
  </si>
  <si>
    <t>0168-9002</t>
  </si>
  <si>
    <t>1872-9576</t>
  </si>
  <si>
    <t>NUCL INSTRUM METH A</t>
  </si>
  <si>
    <t>Nucl. Instrum. Methods Phys. Res. Sect. A-Accel. Spectrom. Dect. Assoc. Equip.</t>
  </si>
  <si>
    <t>10.1016/j.nima.2018.11.109</t>
  </si>
  <si>
    <t>Instruments &amp; Instrumentation; Nuclear Science &amp; Technology; Physics, Nuclear; Physics, Particles &amp; Fields</t>
  </si>
  <si>
    <t>Instruments &amp; Instrumentation; Nuclear Science &amp; Technology; Physics</t>
  </si>
  <si>
    <t>KB3QH</t>
  </si>
  <si>
    <t>WOS:000506413900047</t>
  </si>
  <si>
    <t>Menviel, LC; Spence, P; Skinner, LC; Tachikawa, K; Friedrich, T; Missiaen, L; Yu, J</t>
  </si>
  <si>
    <t>Menviel, L. C.; Spence, P.; Skinner, L. C.; Tachikawa, K.; Friedrich, T.; Missiaen, L.; Yu, J.</t>
  </si>
  <si>
    <t>Enhanced Mid-depth Southward Transport in the Northeast Atlantic at the Last Glacial Maximum Despite a Weaker AMOC</t>
  </si>
  <si>
    <t>MERIDIONAL OVERTURNING CIRCULATION; DEEP-WATER FORMATION; OCEAN CIRCULATION; CLIMATE-CHANGE; ICE SHEETS; RECONSTRUCTION; VARIABILITY; EVOLUTION; COLLAPSE; OVERFLOW</t>
  </si>
  <si>
    <t>While previous studies consistently suggest that North Atlantic Deep Water (NADW) was shallower at the Last Glacial Maximum (LGM) than at pre-industrial, its strength is still controversial. Here, using a series of LGM experiments, we show that proxy records are consistent with a shallower and similar to 50% weaker NADW, associated with a similar to 3 degrees equatorward shift of the sea ice edge and convection sites in the Norwegian Sea. A shoaling and weakening of NADW further allow penetration of Antarctic Bottom Water in the North Atlantic, despite Antarctic Bottom Water transport being reduced by similar to 40%. While the Deep Western Boundary Current in the northwest Atlantic weakens with NADW, the mid-depth southward flow on the east side of the north Mid-Atlantic Ridge strengthens, consistent with paleorecords. This northeast Atlantic intensification is due to a change in density gradients: a weaker AMOC reduces the transport of equatorial waters to the northeast Atlantic, thus weakening the North Atlantic zonal density gradient. The resultant globally weaker oceanic circulation at the LGM would have contributed to an increase in oceanic carbon content and thus a decrease in atmospheric CO2 concentration.</t>
  </si>
  <si>
    <t>[Menviel, L. C.; Spence, P.; Missiaen, L.] Univ New South Wales, Climate Change Res Ctr, Sydney, NSW, Australia; [Menviel, L. C.] Univ New South Wales, PANGEA, Sydney, NSW, Australia; [Skinner, L. C.] Univ Cambridge, Dept Earth Sci, Cambridge, England; [Tachikawa, K.] Aix Marseille Univ, CNRS, IRD, Coll France,CEREGE, Aix En Provence, France; [Friedrich, T.] Univ Hawaii Manoa, Dept Oceanog, Honolulu, HI 96822 USA; [Yu, J.] Australian Natl Univ, Res Sch Earth Sci, Canberra, ACT, Australia</t>
  </si>
  <si>
    <t>University of New South Wales Sydney; University of New South Wales Sydney; University of Cambridge; Institut de Recherche pour le Developpement (IRD); Centre National de la Recherche Scientifique (CNRS); Universite PSL; College de France; Aix-Marseille Universite; University of Hawaii System; University of Hawaii Manoa; Australian National University</t>
  </si>
  <si>
    <t>Menviel, LC (corresponding author), Univ New South Wales, Climate Change Res Ctr, Sydney, NSW, Australia.;Menviel, LC (corresponding author), Univ New South Wales, PANGEA, Sydney, NSW, Australia.</t>
  </si>
  <si>
    <t>l.menviel@unsw.edu.au</t>
  </si>
  <si>
    <t>Spence, Paul/IZE-7366-2023; Yu, Jimin/I-7770-2012; Menviel, Laurie/D-6902-2013; Friedrich, Tobias/D-1053-2013</t>
  </si>
  <si>
    <t>Spence, Paul/0000-0001-5156-2204; Yu, Jimin/0000-0002-3896-1777; Missiaen, Lise/0000-0002-0679-1347; Menviel, Laurie/0000-0002-5068-1591; Friedrich, Tobias/0000-0001-7324-4100</t>
  </si>
  <si>
    <t>Australian Research Council [DE150100107, DP180100048, DE150100223, FT140100993, FT180100606, DP140101393]; NERC [NE/L006421/1]; Australian Research Council; NERC [NE/L006421/1] Funding Source: UKRI</t>
  </si>
  <si>
    <t>Australian Research Council(Australian Research Council); NERC(UK Research &amp; Innovation (UKRI)Natural Environment Research Council (NERC)); Australian Research Council(Australian Research Council); NERC(UK Research &amp; Innovation (UKRI)Natural Environment Research Council (NERC))</t>
  </si>
  <si>
    <t>This project was supported by the Australian Research Council. L. C. M., L. M., P. S., and J. Y. acknowledge funding from the Australian Research Council Grants DE150100107, DP180100048, DE150100223, FT140100993, FT180100606, and DP140101393. L. C. S. acknowledges support from NERC Grant NE/L006421/1. This work also benefited from discussions and interactions made possible by the INQUA IPODS (Investigating Past Ocean Dynamics) focus group. LOVECLIM experiments were performed on a computational cluster owned by the Faculty of Science of the University of New SouthWales, Sydney, Australia.</t>
  </si>
  <si>
    <t>UNSP e2019PA003793</t>
  </si>
  <si>
    <t>10.1029/2019PA003793</t>
  </si>
  <si>
    <t>KT9BF</t>
  </si>
  <si>
    <t>WOS:000519306800011</t>
  </si>
  <si>
    <t>Gumber, S; Ghosh, S; Orr, A; Kumar, CRS; Pope, J</t>
  </si>
  <si>
    <t>Gumber, Siddharth; Ghosh, Sat; Orr, Andrew; Kumar, Sathish C. R.; Pope, James</t>
  </si>
  <si>
    <t>On the microphysical processing of aged combustion aerosols impacting warm rain microphysics over Asian megacities</t>
  </si>
  <si>
    <t>THEORETICAL AND APPLIED CLIMATOLOGY</t>
  </si>
  <si>
    <t>Cloud conversion; Microphysics; Particulate matter; Residual pollution; Turbulence; Asian megacities</t>
  </si>
  <si>
    <t>SEA-SALT; CLOUD; MODEL; GASES; PARAMETERIZATIONS; COALESCENCE; EMISSIONS; SULFATE</t>
  </si>
  <si>
    <t>This paper delineates the process of activation of soot or black carbon particles into cloud droplets over Chennai, India (an Asian megacity). Archaic wood-fired cooking stove emissions from crowded shantytown settlements dispense copious amounts of carbonaceous particles into the city's atmosphere during morning and evening cooking periods. Traffic emissions also add considerably to the city's particulate matter loads. At other times, when these sources are reduced (e.g. during non-cooking periods), a pall of residual pollution hovers above the city. This study assesses this problem definitively through process modelling studies undertaken during a typical pre-monsoonal month (October) when the levels of pollution are very high. The novelty of this paper includes a clear quantification of the percentage of activated nuclei resulting from these sources using a sophisticated cloud chemical parcel model. The results show that 85% of the soot and black carbon particles are activated into very small low-lying cloud droplets within Chennai's boundary layer. We further show for the first time that the presence of these particles results in a slowing down of the auto-conversion process (cloud water to rain droplets). This study could serve as a pointer for other Asian Cities with a sizeable shantytown population in India and elsewhere.</t>
  </si>
  <si>
    <t>[Gumber, Siddharth; Ghosh, Sat; Orr, Andrew; Kumar, Sathish C. R.] VIT Univ, Sch Mech Engn, Vellore 632014, Tamil Nadu, India; [Kumar, Sathish C. R.] TNPCB, Chennai 600003, Tamil Nadu, India; [Ghosh, Sat] Univ Leeds, Sch Earth &amp; Environm, Inst Climate &amp; Atmospher Sci, Leeds LS2 9JT, W Yorkshire, England; [Orr, Andrew; Pope, James] British Antarctic Survey, Madingley Rd, Cambridge CB3 0ET, England</t>
  </si>
  <si>
    <t>Vellore Institute of Technology (VIT); VIT Vellore; University of Leeds; UK Research &amp; Innovation (UKRI); Natural Environment Research Council (NERC); NERC British Antarctic Survey</t>
  </si>
  <si>
    <t>Ghosh, S (corresponding author), VIT Univ, Sch Mech Engn, Vellore 632014, Tamil Nadu, India.;Ghosh, S (corresponding author), Univ Leeds, Sch Earth &amp; Environm, Inst Climate &amp; Atmospher Sci, Leeds LS2 9JT, W Yorkshire, England.</t>
  </si>
  <si>
    <t>satyajitg@vit.ac.in</t>
  </si>
  <si>
    <t>Gumber, Siddharth/IZD-8461-2023; Gumber, Siddharth/AGP-6654-2022; Pope, James/E-9473-2017</t>
  </si>
  <si>
    <t>Gumber, Siddharth/0000-0002-1648-1537; Gumber, Siddharth/0000-0002-1648-1537; Pope, James/0000-0001-8945-4209</t>
  </si>
  <si>
    <t>NERC [bas0100032, NE/K012150/1] Funding Source: UKRI</t>
  </si>
  <si>
    <t>0177-798X</t>
  </si>
  <si>
    <t>1434-4483</t>
  </si>
  <si>
    <t>THEOR APPL CLIMATOL</t>
  </si>
  <si>
    <t>Theor. Appl. Climatol.</t>
  </si>
  <si>
    <t>10.1007/s00704-019-03042-0</t>
  </si>
  <si>
    <t>KI7KL</t>
  </si>
  <si>
    <t>WOS:000511528400049</t>
  </si>
  <si>
    <t>Mottola, G; Nikinmaa, M; Anttila, K</t>
  </si>
  <si>
    <t>Mottola, Giovanna; Nikinmaa, Mikko; Anttila, Katja</t>
  </si>
  <si>
    <t>Hsp7Os transcription-translation relationship depends on the heat shock temperature in zebrafish</t>
  </si>
  <si>
    <t>Heat stress; HSP70; Thermal tolerance; Uncoupling; Zebrafish</t>
  </si>
  <si>
    <t>PROTEIN-SYNTHESIS; REFERENCE GENES; ANTARCTIC FISH; EXPRESSION; NORMALIZATION; STRESS</t>
  </si>
  <si>
    <t>Virtually all organisms respond to heat shock by transcription of genes encoding for heat shock proteins (HSPs), but the mechanisms behind post-transcriptional regulation are not known in detail. When we exposed zebrafish to 5 and 7 degrees C above normal rearing temperature for 30 min, hsp70 mRNA expression was 28 and 150-fold higher than in control, respectively. Protein expression, on the other hand, showed no significant change at the +5 degrees C and a 2-fold increase at the +7 degrees C exposure. This suggests that the transcription of hsp70 gene does not immediately correspond to translation to related proteins under certain stress temperatures, but, when the temperature is higher, and potentially detrimental, transcription and translation are intimately coupled. Those results confirm that temperature is an important abiotic factor involved in heat shock post-transcriptional regulation mechanisms in fish. However, further studies are needed to determine the relationship between this environmental factor and post-transcriptional regulation mechanisms. Earlier, the coupling/uncoupling of hsp transcription and translation has only been studied using cold-water fish, or zebrafish embryos. With current findings, we suggest this mechanism might be present even in adult warm water fish like the zebrafish.</t>
  </si>
  <si>
    <t>[Mottola, Giovanna; Nikinmaa, Mikko; Anttila, Katja] Univ Turku, Dept Biol, Vesilinnantie 5, SF-20500 Turku, Finland</t>
  </si>
  <si>
    <t>University of Turku</t>
  </si>
  <si>
    <t>Mottola, G (corresponding author), Univ Turku, Dept Biol, Vesilinnantie 5, SF-20500 Turku, Finland.</t>
  </si>
  <si>
    <t>giomot@utu.fi</t>
  </si>
  <si>
    <t>Nikinmaa, Mikko/AAZ-2803-2021</t>
  </si>
  <si>
    <t>Mottola, Giovanna/0000-0001-7823-9271</t>
  </si>
  <si>
    <t>Turku Collegium for Science and Medicine; Oscar Oflund foundation; Erasmus for Traineeship</t>
  </si>
  <si>
    <t>GM was supported by Erasmus for Traineeship, KA was supported by The 'Turku Collegium for Science and Medicine. MN acknowleges the grant by Oscar Oflund foundation.</t>
  </si>
  <si>
    <t>10.1016/j.cbpa.2019.110629</t>
  </si>
  <si>
    <t>KE3WM</t>
  </si>
  <si>
    <t>WOS:000508489600016</t>
  </si>
  <si>
    <t>Osman, M; Vera, CS</t>
  </si>
  <si>
    <t>Osman, Marisol; Vera, Carolina S.</t>
  </si>
  <si>
    <t>Predictability of Extratropical Upper-Tropospheric Circulation in the Southern Hemisphere by Its Main Modes of Variability</t>
  </si>
  <si>
    <t>Antarctic Oscillation; Climate variability; Climate prediction; Seasonal forecasting</t>
  </si>
  <si>
    <t>LOW-FREQUENCY VARIABILITY; ATMOSPHERIC CIRCULATION; INTERANNUAL VARIABILITY; ANNULAR MODE; PREDICTION; PRECIPITATION; ENSEMBLES; WINTER; SKILL; ENSO</t>
  </si>
  <si>
    <t>The predictability and forecast skill of the models participating in the Climate Historical Forecast Project (CHFP) database is assessed through evaluating the representation of the upper-tropospheric extratropical circulation in the Southern Hemisphere (SH) in winter and summer and its main modes of variability. In summer, the predictability of 200-hPa geopotential height anomalies mainly comes from the ability of the multimodel ensemble mean (MMEM) to forecast the first three modes of interannual variability with high fidelity. The MMEM can reproduce not only the spatial patterns of these modes but also their temporal evolution. On the other hand, in JJA only the second and fourth modes of variability are predictable by the MMEM. These seasonal differences in the performance of the MMEM seem to be related to the role that the sea surface temperature (SST) anomalies have in influencing the variability of each mode. Accordingly, modes that are strongly linked to tropical SST anomalies are better forecast by the MMEM and show less spread among models. The analysis of both 2-m temperature and precipitation anomalies in the SH associated with the predictable modes reveals that DJF predictable modes are accompanied by significant temperature anomalies. In particular, temperatures at polar (tropical) latitudes are significantly correlated with the first (second) mode. Furthermore, these links obtained with observations are also well forecast by the MMEM and can help to improve seasonal forecast of climate anomalies in those regions with low skill.</t>
  </si>
  <si>
    <t>[Osman, Marisol; Vera, Carolina S.] Univ Buenos Aires, Fac Ciencias Exactas &amp; Nat, Dept Ciencias Atmosfera &amp; Oceanos, Buenos Aires, DF, Argentina; [Vera, Carolina S.] Univ Buenos Aires, Consejo Nacl Invest Cient &amp; Tecn, CNRS, Ctr Invest Mar &amp; Atmosfera, Buenos Aires, DF, Argentina; [Vera, Carolina S.] Inst Franco Argentino Estudios Clima &amp; Impactos U, Buenos Aires, DF, Argentina</t>
  </si>
  <si>
    <t>University of Buenos Aires; University of Buenos Aires; Consejo Nacional de Investigaciones Cientificas y Tecnicas (CONICET)</t>
  </si>
  <si>
    <t>Osman, M (corresponding author), Univ Buenos Aires, Fac Ciencias Exactas &amp; Nat, Dept Ciencias Atmosfera &amp; Oceanos, Buenos Aires, DF, Argentina.</t>
  </si>
  <si>
    <t>osman@cima.fcen.uba.ar</t>
  </si>
  <si>
    <t>Osman, Marisol/CAE-6713-2022; Osman, Marisol/AAV-2379-2020</t>
  </si>
  <si>
    <t>Osman, Marisol/0000-0002-6275-1454; Osman, Marisol/0000-0002-6275-1454; Vera, Carolina/0000-0003-4032-5232</t>
  </si>
  <si>
    <t>UBACyT [20020170100428BA]; PIDDEF 2014/2017 [15]; Belmont Forum [ANR-15-JCL/-0002-01]</t>
  </si>
  <si>
    <t>UBACyT; PIDDEF 2014/2017; Belmont Forum</t>
  </si>
  <si>
    <t>We acknowledge the WCRP/CLIVAR Working Group on Seasonal to Interannual Prediction (WGSIP) for establishing the Climate-System Historical Forecast Project (CHFP; see Tompkins et al. 2017) and the Centro de Investigaciones del Mar y la Atmosfera (CIMA) for providing the model output (http://chfps.cima.fcen.uba.ar). We also thank the data providers for making the model output available through CHFP. This research was supported by UBACyT 20020170100428BA, PIDDEF 2014/2017 No. 15, Belmont Forum/ANR-15-JCL/-0002-01 CLIMAX''.</t>
  </si>
  <si>
    <t>10.1175/JCLI-D-19-0122.1</t>
  </si>
  <si>
    <t>KD9LX</t>
  </si>
  <si>
    <t>WOS:000508183900002</t>
  </si>
  <si>
    <t>Lee, JE; Edwards, JS; Schmitt, J; Fischer, H; Bock, M; Brook, EJ</t>
  </si>
  <si>
    <t>Lee, James E.; Edwards, Jon S.; Schmitt, Jochen; Fischer, Hubertus; Bock, Michael; Brook, Edward J.</t>
  </si>
  <si>
    <t>Excess methane in Greenland ice cores associated with high dust concentrations</t>
  </si>
  <si>
    <t>Methane; Greenland; Ice cores; Isotope geochemistry</t>
  </si>
  <si>
    <t>ATMOSPHERIC CH4 GRADIENT; DELTA-D MEASUREMENTS; MIXING RATIOS; NITROUS-OXIDE; TEMPERATURE RECONSTRUCTION; ISOTOPIC COMPOSITION; CLIMATE-CHANGE; GLACIAL ICE; LAST; EMISSIONS</t>
  </si>
  <si>
    <t>Ice core records of atmospheric methane (CH4) and its isotopic composition provide important information about biogeochemical cycles in the past. Interpreting these data requires that they faithfully record the composition of the atmosphere. In this study, we describe anomalies of up to 30-40 ppb CH4 that are only observed in dust-rich (&gt;similar to 60 ng Ca/g ice), glacialperiod ice measured with standard melt-refreeze methods. The stable isotopic composition of CH4 is also significantly affected. Results from the GISP2 and NEEM ice cores from Greenland show that excess CH4 is either released or produced in the presence of liquid water in amounts which are highly correlated with the abundance of Ca2+ and mineral dust in the sample. Additional experiments show that excess CH4 is unaffected by the addition of HgCl2 (a microbial inhibitor) and is not related to ice core storage time. Dust concentrations in Antarctic ice cores are an order of magnitude lower than in Greenlandic ice cores and no excess CH4 was observed in samples from the Antarctic WAIS Divide (WD) and South Pole (SPICE) ice cores. While the overall structure of the ice core atmospheric methane history is minimally impacted by excess CH4, the impacts on the isotopic record and on inverse models used to reconstruct CH4 sources are greater. We propose three potential mechanisms to explain the presence of excess CH4: (1) that CH4 is adsorbed on dust particles prior to deposition on the ice sheet and is slowly desorbed during the melt-extraction step of sample analysis; (2) that dust acts as a micro-environment within the ice sheet for methanogenic extremophiles; or (3) that excess CH4 is a product of abiotic degradation of organic compounds during the melt-extraction step of sample analysis. (C) 2019 Elsevier Ltd. All rights reserved.</t>
  </si>
  <si>
    <t>[Lee, James E.; Edwards, Jon S.; Brook, Edward J.] Oregon State Univ, Coll Earth Ocean &amp; Atmospher Sci, Corvallis, OR 97331 USA; [Lee, James E.] Los Alamos Natl Lab, Earth Syst Observat, POB 1663, Los Alamos, NM 87545 USA; [Schmitt, Jochen; Fischer, Hubertus; Bock, Michael] Univ Bern, Climate &amp; Environm Phys &amp; Oeschger Ctr Climate Ch, Bern, Switzerland</t>
  </si>
  <si>
    <t>Oregon State University; United States Department of Energy (DOE); Los Alamos National Laboratory; University of Bern</t>
  </si>
  <si>
    <t>Lee, JE (corresponding author), Los Alamos Natl Lab, Earth Syst Observat, POB 1663, Los Alamos, NM 87545 USA.</t>
  </si>
  <si>
    <t>jamesedlee@LANL.gov</t>
  </si>
  <si>
    <t>Fischer, Hubertus/A-1211-2014; Brook, Edward/AAB-7807-2021; Schmitt, Jochen/B-7893-2009</t>
  </si>
  <si>
    <t>Schmitt, Jochen/0000-0003-4695-3029; Lee, James/0000-0002-9137-1530</t>
  </si>
  <si>
    <t>US National Science Foundation PIRE award [0968391]; European Research Council (ERC) under the European Union's Seventh Framework Programme FP7/2007-2013 ERC grant [226172]; Swiss National Science Foundation</t>
  </si>
  <si>
    <t>US National Science Foundation PIRE award; European Research Council (ERC) under the European Union's Seventh Framework Programme FP7/2007-2013 ERC grant(European Research Council (ERC)); Swiss National Science Foundation(Swiss National Science Foundation (SNSF))</t>
  </si>
  <si>
    <t>This work was funded by grants from the US National Science Foundation PIRE award 0968391. Research performed at the University of Bern has received funding from the European Research Council (ERC) under the European Union's Seventh Framework Programme FP7/2007-2013 ERC grant 226172 (ERC Advanced Grant Modern Approaches to Temperature Reconstructions in Polar Ice Cores (MATRICs)) and the Swiss National Science Foundation. We thank Jonas Beck and Barbara Seth for discussion and their expertise in the measurement of the stable isotope composition of CH4.</t>
  </si>
  <si>
    <t>10.1016/j.gca.2019.11.020</t>
  </si>
  <si>
    <t>KB7JH</t>
  </si>
  <si>
    <t>WOS:000506666300023</t>
  </si>
  <si>
    <t>DeMets, C; Merkouriev, S; Jade, S</t>
  </si>
  <si>
    <t>DeMets, C.; Merkouriev, S.; Jade, S.</t>
  </si>
  <si>
    <t>High-resolution reconstructions and GPS estimates of India-Eurasia and India-Somalia plate motions: 20Ma to the present</t>
  </si>
  <si>
    <t>GEOPHYSICAL JOURNAL INTERNATIONAL</t>
  </si>
  <si>
    <t>Plate motions; Indian Ocean</t>
  </si>
  <si>
    <t>NORTH AMERICA; NUBIA-SOMALIA; RED-SEA; FINITE ROTATIONS; TIBETAN PLATEAU; REFERENCE FRAME; DEFORMATION; MA; COLLISION; RIDGE</t>
  </si>
  <si>
    <t>We reconstruct the movement of the India Plate relative to Eurasia at approximate to 1-Myr intervals from 20 Ma to the present from GPS site velocities and high-resolution sequences of rotations from the India-Somalia-Antarctic-Nubia-North America-Eurasia Plate circuit. The plate circuit rotations, which are all estimated using the same data fitting functions, magnetic reversal sampling points, calibrations for magnetic reversal outward displacement, and noise mitigation methods, include new India-Somalia rotations estimated from numerous Carlsberg and northern Central Indian ridge plate kinematic data and high-resolution rotations from the Southwest Indian Ridge that account for slow motion between the Nubia and Somalia plates. Our new rotations indicate that India-Somalia plate motion slowed down by 25-30 per cent from 19.7 to 12.5-11.1 Ma, but remained steady since at least 9.8 Ma and possibly 12.5 Ma. Our new India-Eurasia rotations predict a relatively simple plate motion history, consisting of NNE-directed interplate convergence since 19 Ma, a approximate to 50 per cent convergence rate decrease from 19.7 to 12.5-11.1 Ma, and steady or nearly steady plate motion since 12.5-11.1 Ma. Instantaneous convergence rates estimated with our new India-Eurasia GPS angular velocity are 16 per cent slower than our reconstructed plate kinematic convergence rates for times since 2.6 Ma, implying either a rapid, recent slowdown in the convergence rate or larger than expected errors in our geodetic and/or plate kinematic estimates. During an acceleration of seafloor faulting within the wide India-Capricorn oceanic boundary at 8-7.5 Ma, our new rotations indicate that the motions of the India Plate relative to Somalia and Eurasia remained steady. We infer that forces acting on the Capricorn rather than the India Plate were responsible for the accelerated seafloor deformation, in accord with a previous study. India-Eurasia displacements that are predicted with our new, well-constrained rotations are fit poorly by a recently proposed model that attributes the post-60-Ma slowdown in India-Eurasia convergence rates to the steady resistance of a strong lithospheric mantle below Tibet.</t>
  </si>
  <si>
    <t>[DeMets, C.] Univ Wisconsin, Dept Geosci, Madison, WI 53706 USA; [Merkouriev, S.] Russian Acad Sci, Pushkov Inst Terr Magnetism, Petersburg Filial 1 Mendeleevskaya Liniya, St Petersburg 199034, Russia; [Merkouriev, S.] St Petersburg State Univ, Inst Earth Sci, Unive Skaya Nab 7-9, St Petersburg 199034, Russia; [Jade, S.] CSIR, Paradigm Inst 4, Wind Tunnel Rd, Bangalore 560037, Karnataka, India</t>
  </si>
  <si>
    <t>University of Wisconsin System; University of Wisconsin Madison; Russian Academy of Sciences; Saint Petersburg State University; Council of Scientific &amp; Industrial Research (CSIR) - India; CSIR - Fourth Paradigm Institute (CSIR 4PI)</t>
  </si>
  <si>
    <t>DeMets, C (corresponding author), Univ Wisconsin, Dept Geosci, Madison, WI 53706 USA.</t>
  </si>
  <si>
    <t>chuck@geology.wisc.edu</t>
  </si>
  <si>
    <t>Merkuryev, Sergey/K-1202-2015</t>
  </si>
  <si>
    <t>Merkuryev, Sergey/0000-0002-1520-110X</t>
  </si>
  <si>
    <t>Russian Foundation for Basic Research [06-05-64297]; U.S. National Science Foundation [OCE-1433323]</t>
  </si>
  <si>
    <t>Russian Foundation for Basic Research(Russian Foundation for Basic Research (RFBR)Spanish Government); U.S. National Science Foundation(National Science Foundation (NSF))</t>
  </si>
  <si>
    <t>We thank Jean-Phillipe Avouac, Jeff Freymueller and Peter Molnar for reviews that significantly improved the manuscript. This work was supported by grant 06-05-64297 from the Russian Foundation for Basic Research and U.S. National Science Foundation grant OCE-1433323. Sridevi Jade acknowledges the support and encouragement of Head, CSIR-4PI for the GPS programme of CSIR-4PI, and all the scientific and technical personnel involved in operating and maintaining the Indian continuous GPS stations. Continuous GPS data were provided by (1) the Global GNSS Network operated by UNAVCO for NASA Jet Propulsion Laboratory under NSF Cooperative Agreement No. EAR-1261833, (2) the Scripps Orbit and Permanent Array Center and (3) the NOAA CORS archive. Figures were drafted using Generic Mapping Tools software (Wessel &amp; Smith 1991).</t>
  </si>
  <si>
    <t>0956-540X</t>
  </si>
  <si>
    <t>1365-246X</t>
  </si>
  <si>
    <t>GEOPHYS J INT</t>
  </si>
  <si>
    <t>Geophys. J. Int.</t>
  </si>
  <si>
    <t>10.1093/gji/ggz508</t>
  </si>
  <si>
    <t>KC0AH</t>
  </si>
  <si>
    <t>WOS:000506848400027</t>
  </si>
  <si>
    <t>Otiniano, L; Sidelnik, I</t>
  </si>
  <si>
    <t>Otiniano, Luis; Sidelnik, Ivan</t>
  </si>
  <si>
    <t>Lago Collaboration</t>
  </si>
  <si>
    <t>Development of a web monitor for the water Cherenkov detectors array of the LAGO project</t>
  </si>
  <si>
    <t>Water Cherenkov detectors; LAGO project; Cosmic rays</t>
  </si>
  <si>
    <t>The Latin American Giant Observatory (LAGO) consists of a network of water Cherenkov detectors installed in the Andean region at various latitudes, from Sierra Negra in Mexico 18 degrees 59' N to the Antarctic Peninsula 64 degrees 14' S 56 degrees 38' W and altitudes from Lima, Peru at 20 m.a.s.l. to Chacaltaya, Bolivia at 5400 m.a.s.l. The detectors of the network are built on the basis of commercial water tanks, so they have several geometries (cylindrical in general) and different methods of water purification. The LAGO network of detectors also spans a wide range of geomagnetic rigidity cut offs and atmospheric absorption depths. All these features, along with their manufacturing differences, generates different structures in the atmospheric radiation spectra measured by our detectors. One of the main scientific goals of LAGO is to measure the temporal evolution of the flow of secondary particles at ground level. The atmospheric flux produced by the interaction of cosmic rays with the atmosphere at different sites is measured to study the solar modulation of galactic cosmic rays. In the present work we describe the features of a web monitor system developed to integrate, monitor and share the data of the LAGO detectors and discuss the criteria used to estimate the signals left by the secondary particles at the detector, which are based on a novel semi-analytical method that combines simulations of the total cosmic ray spectrum and the detector's response. We also show the detector calibration method applied on three detectors of the network, including the one operated in the Machu Picchu Base (62 degrees 05' S 58 degrees 28' W) during the last Peruvian scientific campaign in Antarctica (January 2018). Finally, we review observation of a Forbush decrease measured in the detectors using this calibration technique.</t>
  </si>
  <si>
    <t>[Otiniano, Luis] CONIDA, Comis Nacl Invest &amp; Desarrollo Aeroespacial, Lima 1069, Peru; [Sidelnik, Ivan] Consejo Nacl Invest Cient &amp; Tecn, Dept Fis Neutrones, Av Bustillo 9500, RA-8400 San Carlos De Bariloche, Argentina; [Sidelnik, Ivan] Inst Balseiro, Av Bustillo 9500, RA-8400 San Carlos De Bariloche, Argentina; [Lago Collaboration] Latin Amer Giant Observ, San Carlos De Bariloche, Rio Negro, Argentina</t>
  </si>
  <si>
    <t>Consejo Nacional de Investigaciones Cientificas y Tecnicas (CONICET); Comision Nacional de Energia Atomica (CNEA); University Nacional Cuyo Mendoza; Instituto Balseiro</t>
  </si>
  <si>
    <t>Otiniano, L (corresponding author), CONIDA, Comis Nacl Invest &amp; Desarrollo Aeroespacial, Lima 1069, Peru.</t>
  </si>
  <si>
    <t>lotiniano@conida.gob.pe</t>
  </si>
  <si>
    <t>Otiniano, Luis/H-5350-2018; Gulisano, Adriana M./AAD-9554-2021</t>
  </si>
  <si>
    <t>Otiniano, Luis/0000-0003-1453-5789; Gulisano, Adriana M./0000-0002-2234-4432; Sidelnik, Ivan/0000-0003-4115-3129</t>
  </si>
  <si>
    <t>Innovate-Peru: Fondo para la Innovacion, Ciencia y Tecnologia (FIN-CyT) [PIBA-2-P-020-14]; Ministerio de Relaciones Exteriores del Peru through its Antarctic Affairs Direction; Pierre Auger Collaboration</t>
  </si>
  <si>
    <t>Innovate-Peru: Fondo para la Innovacion, Ciencia y Tecnologia (FIN-CyT); Ministerio de Relaciones Exteriores del Peru through its Antarctic Affairs Direction; Pierre Auger Collaboration</t>
  </si>
  <si>
    <t>The authors gratefully acknowledge the financial support from Innovate-Peru: Fondo para la Innovacion, Ciencia y Tecnologia (FIN-CyT) through the project PIBA-2-P-020-14 and the Ministerio de Relaciones Exteriores del Peru through its Antarctic Affairs Direction. The LAGO Collaboration is very thankful to the Pierre Auger Collaboration for its continuous support.</t>
  </si>
  <si>
    <t>10.1016/j.nima.2019.02.035</t>
  </si>
  <si>
    <t>WOS:000506413900014</t>
  </si>
  <si>
    <t>Robinson, NJ; Grant, BS; Stevens, CL; Stewart, CL; Williams, MJM</t>
  </si>
  <si>
    <t>Robinson, N. J.; Grant, B. S.; Stevens, C. L.; Stewart, C. L.; Williams, M. J. M.</t>
  </si>
  <si>
    <t>Oceanographic observations in supercooled water: Protocols for mitigation of measurement errors in profiling and moored sampling</t>
  </si>
  <si>
    <t>ANTARCTIC SEA-ICE; FRAZIL-ICE; MCMURDO SOUND; PLATELET ICE; ANCHOR ICE; SHELF; BENEATH; DYNAMICS; POLYNYA; EVOLUTION</t>
  </si>
  <si>
    <t>Supercooled water is liquid water that is colder than its pressure- and salinity-dependent freezing temperature. As supercooling is a metastable state, it is sensitive to small environmental changes that may force switches between solid and liquid phases, including disruption from instruments introduced to the environment. Here we present a thoroughly-tested set of observational protocols that have been developed over 15 years working in supercooled Ice Shelf Water in McMurdo Sound, Antarctica. We identify the four issues most commonly encountered in observations of supercooled ocean water as (i) the requirement for an extended process of thermal equilibration, (ii) contamination by ice within conductivity cells, (iii) anchor ice accumulation on suspended equipment, and (iv) ice coating and resultant sensing of artificially-produced latent heat. We present protocols for identifying and managing these potential modes of corruption, which include determining and allowing appropriate time for thermal equilibration, identifying and eliminating data that have been corrupted by ice capture and growth, and practical steps that can be taken to minimise accumulation of anchor ice on suspended equipment. We stress the need for planned data redundancy to enable identification and elimination of data contaminated by ice capture and phase change. We also include a complete procedure for CTD profiling which includes a 10-min soak (for an instrument initially warm relative to the ocean) and exercises data redundancy in the form of multiple up- and down-casts. Finally, we discuss how these protocols may be extended to other platforms since there is increasing scope for ice-related contamination of data as access to ice-covered oceans, and the use of autonomous vehicles in the polar oceans, increases.</t>
  </si>
  <si>
    <t>[Robinson, N. J.; Grant, B. S.; Stevens, C. L.; Stewart, C. L.; Williams, M. J. M.] Natl Inst Water &amp; Atmospher Res, Marine Phys, Wellington, New Zealand; [Stevens, C. L.] Univ Auckland, Dept Phys, Auckland, New Zealand</t>
  </si>
  <si>
    <t>National Institute of Water &amp; Atmospheric Research (NIWA) - New Zealand; University of Auckland</t>
  </si>
  <si>
    <t>Robinson, NJ (corresponding author), Natl Inst Water &amp; Atmospher Res, Marine Phys, Wellington, New Zealand.</t>
  </si>
  <si>
    <t>natalie.robinson@niwa.co.nz</t>
  </si>
  <si>
    <t>New Zealand's Marsden Fund; Deep South National Science Challenge; National Institute for Water and Atmospheric Research (NIWA)</t>
  </si>
  <si>
    <t>New Zealand's Marsden Fund(Royal Society of New ZealandMarsden Fund (NZ)); Deep South National Science Challenge; National Institute for Water and Atmospheric Research (NIWA)</t>
  </si>
  <si>
    <t>This work has been funded through New Zealand's Marsden Fund, Deep South National Science Challenge, and the National Institute for Water and Atmospheric Research (NIWA). Logistical support has been provided by Antarctica New Zealand. The authors would like to thank two anonymous reviewers for insightful and highly constructive comments on earlier versions of this manuscript. We also thank Drs Kim Martini (Sea-Bird Scientific) and Clark Richard (Fisheries and Oceans Canada) for guidance on the application of TEOS-10 in this sensitive environment. We thank our colleagues Dr. Tim Haskell, Prof. Pat Langhorne, Matt Walkington and Dr. Greg Leonard for assistance in the field, in developing instrumentation, and for useful discussions over many years.</t>
  </si>
  <si>
    <t>10.1016/j.coldregions.2019.102954</t>
  </si>
  <si>
    <t>WOS:000506666000027</t>
  </si>
  <si>
    <t>Lin, X; Zhai, XM; Wang, ZM; Munday, DR</t>
  </si>
  <si>
    <t>Lin, Xia; Zhai, Xiaoming; Wang, Zhaomin; Munday, David R.</t>
  </si>
  <si>
    <t>Southern Ocean Wind Stress in CMIP5 Models: Role of Wind Fluctuations</t>
  </si>
  <si>
    <t>Southern Ocean; Wind stress; Wind; Climate models; Reanalysis data</t>
  </si>
  <si>
    <t>MERIDIONAL OVERTURNING CIRCULATION; ANNULAR MODE; HISTORICAL BIAS; STORM TRACKS; POWER INPUT; CLIMATE; TRENDS; REANALYSIS; SEA; VARIABILITY</t>
  </si>
  <si>
    <t>The Southern Ocean (SO) surface wind stress is a major atmospheric forcing for driving the Antarctic Circumpolar Current and the global overturning circulation. Here the effects of wind fluctuations at different time scales on SO wind stress in 18 models from phase 5 of the Coupled Model Intercomparison Project (CMIP5) are investigated. It is found that including wind fluctuations, especially on time scales associated with synoptic storms, in the stress calculation strongly enhances the mean strength, modulates the seasonal cycle, and significantly amplifies the trends of SO wind stress. In 11 out of the 18 CMIP5 models, the SO wind stress has strengthened significantly over the period of 1960-2005. Among them, the strengthening trend of SO wind stress in one CMIP5 model is due to the increase in the intensity of wind fluctuations, while in all the other 10 models the strengthening trend is due to the increasing strength of the mean westerly wind. These discrepancies in SO wind stress trend in CMIP5 models may explain some of the diverging behaviors in the model-simulated SO circulation. Our results suggest that to reduce the uncertainty in SO responses to wind stress changes in the coupled models, both the mean wind and wind fluctuations need to be better simulated.</t>
  </si>
  <si>
    <t>[Lin, Xia; Wang, Zhaomin] Hohai Univ, Coll Oceanog, Nanjing, Peoples R China; [Lin, Xia; Wang, Zhaomin] Hohai Univ, Int Polar Environm Res Lab, Nanjing, Peoples R China; [Zhai, Xiaoming] Univ East Anglia, Ctr Ocean &amp; Atmospher Sci, Sch Environm Sci, Norwich, Norfolk, England; [Munday, David R.] British Antarctic Survey, Cambridge, England</t>
  </si>
  <si>
    <t>Hohai University; Hohai University; University of East Anglia; UK Research &amp; Innovation (UKRI); Natural Environment Research Council (NERC); NERC British Antarctic Survey</t>
  </si>
  <si>
    <t>Wang, ZM (corresponding author), Hohai Univ, Coll Oceanog, Nanjing, Peoples R China.;Wang, ZM (corresponding author), Hohai Univ, Int Polar Environm Res Lab, Nanjing, Peoples R China.;Zhai, XM (corresponding author), Univ East Anglia, Ctr Ocean &amp; Atmospher Sci, Sch Environm Sci, Norwich, Norfolk, England.</t>
  </si>
  <si>
    <t>xiaoming.zhai@uea.ac.uk; Zhaomin.Wang@hhu.edu.cn</t>
  </si>
  <si>
    <t>Munday, David R/R-1986-2016; Lin, Xia/HTM-0814-2023</t>
  </si>
  <si>
    <t>Munday, David R/0000-0003-1920-708X; Lin, Xia/0000-0002-8058-7766</t>
  </si>
  <si>
    <t>National Key R&amp;D Program of China [2016YFA0601804]; Priority Academic Program Development of JiangSu Higher Education Institutions; National Natural Science Foundation of China [41906190, 41876220]; Fundamental Research Funds for the Central Universities [2019B19014, 2017B04814, 2017B20714]; China Postdoctoral Science Foundation [2019M661705]; Royal Society International Exchanges Award [IE131025]; Natural EnvironmentResearch Council (ORCHESTRA) [NE/N018095/1]; NERC [NE/N018095/1, bas0100033] Funding Source: UKRI</t>
  </si>
  <si>
    <t>National Key R&amp;D Program of China; Priority Academic Program Development of JiangSu Higher Education Institutions; National Natural Science Foundation of China(National Natural Science Foundation of China (NSFC)); Fundamental Research Funds for the Central Universities(Fundamental Research Funds for the Central Universities); China Postdoctoral Science Foundation(China Postdoctoral Science Foundation); Royal Society International Exchanges Award(Royal Society); Natural EnvironmentResearch Council (ORCHESTRA); NERC(UK Research &amp; Innovation (UKRI)Natural Environment Research Council (NERC))</t>
  </si>
  <si>
    <t>This study is supported by the National Key R&amp;D Program of China (2016YFA0601804) and the Priority Academic Program Development of JiangSu Higher Education Institutions. XL is supported by the project (41906190) of National Natural Science Foundation of China, the Fundamental Research Funds for the Central Universities (2019B19014), and the China Postdoctoral Science Foundation (2019M661705). XZ acknowledges support by a Royal Society International Exchanges Award (IE131025). ZW is supported by the project (41876220) of National Natural Science Foundation of China and the Fundamental Research Funds for the Central Universities (2017B04814, 2017B20714). DRMis supported by theNatural EnvironmentResearch Council (ORCHESTRA, Grant NE/N018095/1).</t>
  </si>
  <si>
    <t>10.1175/JCLI-D-19-0466.1</t>
  </si>
  <si>
    <t>KB9PT</t>
  </si>
  <si>
    <t>Bronze, Green Accepted</t>
  </si>
  <si>
    <t>WOS:000506820300001</t>
  </si>
  <si>
    <t>Zhang, Y; Pavlovska, M; Stoica, E; Prekrasna, I; Yang, JH; Slobodnik, J; Zhang, XW; Dykyi, E</t>
  </si>
  <si>
    <t>Zhang, Yan; Pavlovska, Mariia; Stoica, Elena; Prekrasna, Ievgeniia; Yang, Jianghua; Slobodnik, Jaroslav; Zhang, Xiaowei; Dykyi, Evgen</t>
  </si>
  <si>
    <t>Holistic pelagic biodiversity monitoring of the Black Sea via eDNA metabarcoding approach: From bacteria to marine mammals</t>
  </si>
  <si>
    <t>Black Sea; Multi-trophic biodiversity; eDNA metabarcoding; Interactome; Dispersal; Species sorting</t>
  </si>
  <si>
    <t>RNA GENE DATABASE; COMMUNITY STRUCTURE; CLIMATE-CHANGE; WATER; ECOSYSTEMS; DIVERSITY; SEQUENCES; GRADIENT; IMPACT</t>
  </si>
  <si>
    <t>As the largest semi-closed marine ecosystem in the world, the Black Sea has been heavily affected by human activities for a long time. Describing the biodiversity of multi-trophic biota in pelagic zone of the Black Sea and identifying the dominant environmental factors are prerequisites for protecting the sustainability of ecosystems. However, up to now, the taxonomic and distributional information about the Black Sea biota is not clear. Here, we employed a Tree-of-Life metabarcoding to analyze the biodiversity of eight communities in the Black Sea, investigated their biogeographical distribution, and further analyzed the influence of biological and abiotic factors on biota on large scales. We found that, (1) Over 8900 OTUs were detected in the Black Sea, of which 630 species were identified, covering the holistic biota from single-celled (bacteria 5620 OTUs 141 species; algae 1096 OTUs 185 species; protozoa 546 OTUs 146 species) to multicellular organisms (invertebrate metazoans 150 OTUs 34 species; fishes 1369 OTUs 76 species; large marine mammals 39 OTUs 5 species). (2) Higher trophic organisms (fishes and large mammals) distributed more evenly in space than the lower (microorganisms, protozoa and invertebrates). For lower trophic organisms, the vertical stratification was more obvious than the horizontal stratification (vertical p &lt; 0.02, horizontal p &lt; 0.05). (3) The bottom trophic organisms (bacteria and algae) of the food web significantly affected the distribution and composition of the others through biological interactions (Mantel p &lt; 0.05). (4) At the level of abiotic factors, the effect of local species sorting on the composition of communities was 15% higher than that of mass dispersal effect. For the first time, this study monitored and profiled the holistic biodiversity in the pelagic zone of the Black Sea, and provided technological advances and preliminary knowledge for the ongoing Black Sea ecosystem protection efforts.</t>
  </si>
  <si>
    <t>[Zhang, Yan; Yang, Jianghua; Zhang, Xiaowei] Nanjing Univ, Sch Environm, State Key Lab Pollut Control &amp; Resource Reuse, Nanjing 210023, Peoples R China; [Pavlovska, Mariia; Prekrasna, Ievgeniia; Dykyi, Evgen] Ukrainian Sci Ctr Ecol Sea, 89 Frantsusssky Blvd, UA-65009 Odesa, Ukraine; [Pavlovska, Mariia; Prekrasna, Ievgeniia; Dykyi, Evgen] State Inst Natl Antarctic Sci Ctr, Taras Shevchenko Blvd 16, UA-01601 Kiev, Ukraine; [Stoica, Elena] Natl Inst Marine Res &amp; Dev Grigore Antipa, Blvd Mamaia 300, RO-900581 Constanta 3, Romania; [Slobodnik, Jaroslav] Environm Inst, Okruzna 784-42, Kos 97241, Slovakia</t>
  </si>
  <si>
    <t>Nanjing University; Ukrainian Scientific Center of Ecology of the Sea (UkrSCES); Ministry of Education &amp; Science of Ukraine; State Institution National Antarctic Scientific Center; National Institute for Marine Research &amp; Development Grigore Antipa; Environmental Institute</t>
  </si>
  <si>
    <t>Zhang, XW (corresponding author), Nanjing Univ, Sch Environm, State Key Lab Pollut Control &amp; Resource Reuse, Nanjing 210023, Peoples R China.</t>
  </si>
  <si>
    <t>zhangxw@nju.edu.cn</t>
  </si>
  <si>
    <t>Stoica, Elena/C-5392-2011; zhang, xiaowei/GQH-5387-2022; Slobodnik, Jaroslav/AAA-9721-2021; Zhang, Xiaowei/I-2259-2012</t>
  </si>
  <si>
    <t>Slobodnik, Jaroslav/0000-0003-2622-6318; Pavlovska, Mariia/0000-0003-2050-5973; Zhang, Xiaowei/0000-0001-8974-9963; Stoica, Elena/0000-0001-8766-0973; Prekrasna, Ievgeniia/0000-0001-8139-4395; Zhang, Yan/0000-0003-0688-5359</t>
  </si>
  <si>
    <t>Major Science and Technology Program for Water Pollution Control and Treatment [ENPI/2013/313-169]; Fundamental Research Funds for the Central Universities from NJU [2018ZX07208-002]</t>
  </si>
  <si>
    <t>Major Science and Technology Program for Water Pollution Control and Treatment; Fundamental Research Funds for the Central Universities from NJU</t>
  </si>
  <si>
    <t>For support, we would like to thank the EU/UNDP Project Improving Environmental Monitoring in the Black Sea -Phase II (EMBLAS-II; ENPI/2013/313-169), and Major Science and Technology Program for Water Pollution Control and Treatment (Grant#2018ZX07208-002). The research is also supported by the Fundamental Research Funds for the Central Universities from NJU.</t>
  </si>
  <si>
    <t>10.1016/j.envint.2019.105307</t>
  </si>
  <si>
    <t>KB0YQ</t>
  </si>
  <si>
    <t>WOS:000506229000034</t>
  </si>
  <si>
    <t>Dias, FB; Domingues, CM; Marsland, SJ; Griffies, SM; Rintoul, SR; Matear, R; Fiedler, R</t>
  </si>
  <si>
    <t>Dias, Fabio Boeira; Domingues, C. M.; Marsland, S. J.; Griffies, S. M.; Rintoul, S. R.; Matear, R.; Fiedler, R.</t>
  </si>
  <si>
    <t>On the Superposition of Mean Advective and Eddy-Induced Transports in Global Ocean Heat and Salt Budgets</t>
  </si>
  <si>
    <t>Meridional overturning circulation; Mesoscale processes; Ocean dynamics; Climate models; Parameterization; Subgrid-scale processes</t>
  </si>
  <si>
    <t>SOUTHERN-OCEAN; SEA-ICE; NUMERICAL-MODEL; WATER MASSES; CIRCULATION; FLUX; IMPACT; REPRESENTATION; SENSITIVITY; TOPOGRAPHY</t>
  </si>
  <si>
    <t>Ocean thermal expansion is a large contributor to observed sea level rise, which is expected to continue into the future. However, large uncertainties exist in sea level projections among climate models, partially due to intermodel differences in ocean heat uptake and redistribution of buoyancy. Here, the mechanisms of vertical ocean heat and salt transport are investigated in quasi-steady-state model simulations using the Australian Community Climate and Earth-System Simulator Ocean Model (ACCESS-OM2). New insights into the net effect of key physical processes are gained within the superresidual transport (SRT) framework. In this framework, vertical tracer transport is dominated by downward fluxes associated with the large-scale ocean circulation and upward fluxes induced by mesoscale eddies, with two distinct physical regimes. In the upper ocean, where high-latitude water masses are formed by mixed layer processes, through cooling or salinification, the SRT counteracts those processes by transporting heat and salt downward. In contrast, in the ocean interior, the SRT opposes dianeutral diffusion via upward fluxes of heat and salt, with about 60% of the vertical heat transport occurring in the Southern Ocean. Overall, the SRT is largely responsible for removing newly formed water masses from the mixed layer into the ocean interior, where they are eroded by dianeutral diffusion. Unlike the classical advective-diffusive balance, dianeutral diffusion is bottom intensified above rough bottom topography, allowing an overturning cell to develop in alignment with recent theories. Implications are discussed for understanding the role of vertical tracer transport on the simulation of ocean climate and sea level.</t>
  </si>
  <si>
    <t>[Dias, Fabio Boeira; Domingues, C. M.; Marsland, S. J.] Univ Tasmania, Inst Marine &amp; Antarctic Studies, Hobart, Tas, Australia; [Dias, Fabio Boeira; Marsland, S. J.; Rintoul, S. R.; Matear, R.; Fiedler, R.] CSIRO Oceans &amp; Atmosphere, Aspendale, Vic, Australia; [Dias, Fabio Boeira; Domingues, C. M.; Marsland, S. J.] Univ Tasmania, ARC Ctr Excellence Climate Extremes, Hobart, Tas, Australia; [Dias, Fabio Boeira; Domingues, C. M.; Marsland, S. J.; Rintoul, S. R.] Antarctic Climate &amp; Ecosyst Cooperat Res Ctr, Hobart, Tas, Australia; [Griffies, S. M.] NOAA, Geophys Fluid Dynam Lab, Princeton, NJ USA; [Griffies, S. M.] Princeton Univ, Program Atmospher &amp; Ocean Sci, Princeton, NJ 08544 USA</t>
  </si>
  <si>
    <t>University of Tasmania; Commonwealth Scientific &amp; Industrial Research Organisation (CSIRO); University of Tasmania; Antarctic Climate &amp; Ecosystems Cooperative Research Centre (ACE CRC); National Oceanic Atmospheric Admin (NOAA) - USA; National Oceanic Atmospheric Admin (NOAA) - USA; Princeton University</t>
  </si>
  <si>
    <t>Dias, FB (corresponding author), Univ Tasmania, Inst Marine &amp; Antarctic Studies, Hobart, Tas, Australia.;Dias, FB (corresponding author), CSIRO Oceans &amp; Atmosphere, Aspendale, Vic, Australia.;Dias, FB (corresponding author), Univ Tasmania, ARC Ctr Excellence Climate Extremes, Hobart, Tas, Australia.;Dias, FB (corresponding author), Antarctic Climate &amp; Ecosyst Cooperat Res Ctr, Hobart, Tas, Australia.</t>
  </si>
  <si>
    <t>fabio.dias@utas.edu.au</t>
  </si>
  <si>
    <t>Marsland, Simon J/A-1453-2012; Domingues, Catia M./A-2901-2015; matear, richard J/C-5133-2011; Griffies, Stephen Matthew/N-9144-2019</t>
  </si>
  <si>
    <t>Marsland, Simon J/0000-0002-5664-5276; Domingues, Catia M./0000-0001-5100-4595; Griffies, Stephen Matthew/0000-0002-3711-236X; Boeira Dias, Fabio/0000-0002-2965-2120</t>
  </si>
  <si>
    <t>Australian Research Council [160103130]; ARC Centre of Excellence for Climate Extremes; National Computational Infrastructure through the National Computational Merit Allocation Scheme; Tasmanian Graduate Research Scholarship; CSIRO-UTAS Quantitative Marine Science top-up; ARC Future Fellowship [FT130101532]; Earth Systems and Climate Change Hub of the Australian Government's National Environmental Science Program; Consortium for Ocean-Sea Ice Modelling in Australia (COSIMA); Australian Research Council [FT130101532] Funding Source: Australian Research Council</t>
  </si>
  <si>
    <t>Australian Research Council(Australian Research Council); ARC Centre of Excellence for Climate Extremes; National Computational Infrastructure through the National Computational Merit Allocation Scheme; Tasmanian Graduate Research Scholarship; CSIRO-UTAS Quantitative Marine Science top-up; ARC Future Fellowship(Australian Research Council); Earth Systems and Climate Change Hub of the Australian Government's National Environmental Science Program; Consortium for Ocean-Sea Ice Modelling in Australia (COSIMA); Australian Research Council(Australian Research Council)</t>
  </si>
  <si>
    <t>This work is supported by the Australian Research Council Discovery Grant 160103130, ARC Centre of Excellence for Climate Extremes, and the National Computational Infrastructure through the National Computational Merit Allocation Scheme. FBD is supported by a Tasmanian Graduate Research Scholarship and CSIRO-UTAS Quantitative Marine Science top-up. CMD is supported by an ARC Future Fellowship FT130101532. SJM is supported through funding from the Earth Systems and Climate Change Hub of the Australian Government's National Environmental Science Program. We are thankful for the support from the Consortium for Ocean-Sea Ice Modelling in Australia (COSIMA) and to Veronica Tamsitt and Louis A. H. R. Clement for useful comments on the manuscript. We thank the three anonymous reviewers for their comments that greatly helped to improve the clarity of the presentation.</t>
  </si>
  <si>
    <t>10.1175/JCLI-D-19-0418.1</t>
  </si>
  <si>
    <t>KB3IJ</t>
  </si>
  <si>
    <t>Bronze, Green Submitted, Green Accepted</t>
  </si>
  <si>
    <t>WOS:000506393000003</t>
  </si>
  <si>
    <t>Trevisan, C; Dutra, T; Wilberger, T; Leppe, M; Manríquez, L</t>
  </si>
  <si>
    <t>Trevisan, Cristine; Dutra, Tania; Wilberger, Thiers; Leppe, Marcelo; Manriquez, Leslie</t>
  </si>
  <si>
    <t>An austral fern assemblage from the Upper Cretaceous (Campanian) beds of Cerro Guido, Magallanes Basin, Chilean Patagonia</t>
  </si>
  <si>
    <t>Pteridophytes; Osmundaceae; Cyatheaceae; Pteridaceae; Interdistributary bays; Campanian; Magallanes-Austral Basin</t>
  </si>
  <si>
    <t>FORELAND BASIN; ALEXANDER ISLAND; SEYMOUR ISLAND; TREE FERNS; ANTARCTICA; EVOLUTION; CLIMATE; FLORA; LYCOPHYTES; LATITUDES</t>
  </si>
  <si>
    <t>The CampanianMaastrichtian succession of Cerro Guido, Southern Chile, is known by its plant fossils, vertebrates bones, including those of dinosaurs, and marine faunas that can be critical in the better understanding of the processes involved in the Western Gondwana break-up in the southernmost paleolatitudes and their effects over life, paleoclimate and paleogeography. As part of the retroarc foreland deposits of the Magallanes or Austral Basin, the Upper Cretaceous rocks from Tres Pasos and Dorotea formations, source of the fossil ferns here discussed, are exposed at the southern side of the Cerro Guido hill. The leaves of pteridophytes were identified in a macroflora dominated by primitive angiosperms, conifers and Taeniopteris, where they represented a secondary component of the understory. The data obtained show terrestrial fern populations, dominated by Cladophlebis, the cosmopolitan 'Mesozoic' taxa, accompanied by forms related to Alsophila, Alamatus, and the extant genus Anogramma, similarly to other Southern Hemisphere areas, and especially with those from the lower Upper Cretaceous of New Zealand. Their scarcity in the Upper Cretaceous assemblages of the Tres Pasos and Dorotea formations supports the inferred near-coastal environmental context and contrasts with their abundance and diversity in the Aptian to Coniacian deposits of the northern Antarctic Peninsula. Additional evidence suggesting that these remains were remobilized corroborates with the idea that they are a part of the vegetation that grew around interdistributary rivers or bays. (C) 2019 Elsevier Ltd. All rights reserved.</t>
  </si>
  <si>
    <t>[Trevisan, Cristine; Dutra, Tania; Manriquez, Leslie] Unisinos Univ, Geol Grad Program, Av Unisinos 950, BR-93022750 Sao Leopoldo, RS, Brazil; [Trevisan, Cristine; Dutra, Tania; Wilberger, Thiers; Leppe, Marcelo; Manriquez, Leslie] Chilean Antarctic Inst INACH, Plaza Munoz Gamero, Punta Arenas 1055, Chile</t>
  </si>
  <si>
    <t>Trevisan, C (corresponding author), Unisinos Univ, Geol Grad Program, Av Unisinos 950, BR-93022750 Sao Leopoldo, RS, Brazil.</t>
  </si>
  <si>
    <t>ctrevisan@inach.cl</t>
  </si>
  <si>
    <t>Leppe, Marcelo/0000-0002-1545-8167; Lindner Dutra, Tania/0000-0002-2227-020X; Trevisan, Cristine/0000-0001-5550-2380</t>
  </si>
  <si>
    <t>PROSUP-CAPES (Coordination for the Improvement of Higher Education Personnel); CNPq (National Council for Scientific and Technological Development) through the Science without Borders Program; Fondecyt project [1151389]</t>
  </si>
  <si>
    <t>PROSUP-CAPES (Coordination for the Improvement of Higher Education Personnel); CNPq (National Council for Scientific and Technological Development) through the Science without Borders Program; Fondecyt project(Comision Nacional de Investigacion Cientifica y Tecnologica (CONICYT)CONICYT FONDECYT)</t>
  </si>
  <si>
    <t>We are grateful to PROSUP-CAPES (Coordination for the Improvement of Higher Education Personnel) and to CNPq (National Council for Scientific and Technological Development) through the Science without Borders Program for, respectively, the PhD grant and financial support assistance to C.T. We would also like to acknowledge the Geology Graduation Program (PPGEO) of the Vale do Rio dos Sinos University (UNISINOS) and to its institutes, IITFossil and IITFuse, for the laboratory infrastructure. We are grateful to Juan Pablo Pino, Edwin Gonzalez, Sebastian Garrido, Maria Jesus Ortuya, Felipe Henriquez and Melanie Masquiran for their assistance in the field. To INACH (Chilean Antarctic Institute), we offer our deep gratitude for their aid during field work and in finalizing this study. We also deeply thank Hector Mansilla and Juana Levihuan, curators of the fossil collection of INACH, for their continuous assistance during the laboratory procedures. The present study is part of the results obtained by the Paleogeographic patterns v/s climate change in South America and the Antarctic Peninsula during the latest Cretaceous: a possible explanation for the origin of the Austral biota? Fondecyt project (No 1151389), and the Searching for the correlation between the West and Eastern Antarctic Peninsula using paleofloras, from a CNPq Research Group. We thank the editor, the anonymous reviewer and to Dr. Mike Pole, for their careful reading of the manuscript, constructive comments, and improvement of the language.</t>
  </si>
  <si>
    <t>10.1016/j.cretres.2019.104215</t>
  </si>
  <si>
    <t>JW8RB</t>
  </si>
  <si>
    <t>WOS:000503313100028</t>
  </si>
  <si>
    <t>Perron, MMG; Strzelec, M; Gault-Ringold, M; Proernse, BC; Boyd, PW; Bowie, AR</t>
  </si>
  <si>
    <t>Perron, Morgane M. G.; Strzelec, Michal; Gault-Ringold, Melanie; Proernse, Bernadette C.; Boyd, Philip W.; Bowie, Andrew R.</t>
  </si>
  <si>
    <t>Assessment of leaching protocols to determine the solubility of trace metals in aerosols</t>
  </si>
  <si>
    <t>TALANTA</t>
  </si>
  <si>
    <t>Iron; Trace metals; Micronutrients; Leaching protocols; Solubility; Aerosols</t>
  </si>
  <si>
    <t>ATMOSPHERIC IRON DEPOSITION; MINERAL DUST; BIOGEOCHEMICAL CYCLE; SOLUBLE IRON; DRY SEASON; OCEAN; NORTH; DISSOLUTION; PHOSPHORUS; MANGANESE</t>
  </si>
  <si>
    <t>Atmospheric deposition of aerosols to the ocean provides an important pathway for the supply of vital micro-nutrients, including trace metals. These trace metals are essential for phytoplankton growth, and therefore their delivery to marine ecosystems can strongly influence the ocean carbon cycle. The solubility of trace metals in aerosols is a key parameter to better constrain their potential impact on phytoplankton growth. To date, a wide range of experimental approaches and nomenclature have been used to define aerosol trace metal solubility, making data comparison between studies difficult. Here we investigate and discuss several laboratory leaching protocols to determine the solubility of key trace metals in aerosol samples, namely iron, cobalt, manganese, copper, lead, vanadium, titanium and aluminium. Commonly used techniques and tools are also considered such as enrichment factor calculations and air mass back-trajectory projections and recommendations are given for aerosol field sampling, laboratory processing (including leaching and digestion) and analytical measurements. Finally, a simple 3-step leaching protocol combining commonly used protocols is proposed to operationally define trace metal solubility in aerosols. The need for standard guidelines and protocols to study the biogeo-chemical impact of atmospheric trace metal deposition to the ocean has been increasingly emphasised by both the atmospheric and oceanographic communities. This lack of standardisation currently limits our understanding and ability to predict ocean and climate interactions under changing environmental conditions.</t>
  </si>
  <si>
    <t>[Perron, Morgane M. G.; Strzelec, Michal; Proernse, Bernadette C.; Boyd, Philip W.; Bowie, Andrew R.] Univ Tasmania, Inst Marine &amp; Antarctic Studies, Battery Point, Tas, Australia; [Gault-Ringold, Melanie; Boyd, Philip W.; Bowie, Andrew R.] Univ Tasmania, Antarctic Climate &amp; Ecosyst CRC, Battery Point, Tas, Australia</t>
  </si>
  <si>
    <t>Perron, MMG (corresponding author), Univ Tasmania, Inst Marine &amp; Antarctic Studies, Hobart, Tas, Australia.</t>
  </si>
  <si>
    <t>morgane.perron@utas.edu.au</t>
  </si>
  <si>
    <t>Perron, Morgane/HHS-1241-2022; Boyd, Philip W/J-7624-2014; Proemse, Bernadette/N-8956-2017; Bowie, Andrew/C-8677-2013</t>
  </si>
  <si>
    <t>Proemse, Bernadette/0000-0002-6630-6892; Bowie, Andrew/0000-0002-5144-7799; Perron, Morgane/0000-0001-5424-7138</t>
  </si>
  <si>
    <t>Australian Research Council Future Fellowship grant [FT130100037]; Antarctic Climate and Ecosystems Cooperative Research Centre (ACE CRC); Australian Research Council (ARC) Linkage Infrastructure Equipment and Facilities grant [LE150100048, LE0989539]; Australian Research Council [LE150100048] Funding Source: Australian Research Council</t>
  </si>
  <si>
    <t>Australian Research Council Future Fellowship grant(Australian Research Council); Antarctic Climate and Ecosystems Cooperative Research Centre (ACE CRC)(Australian GovernmentDepartment of Industry, Innovation and ScienceCooperative Research Centres (CRC) Programme); Australian Research Council (ARC) Linkage Infrastructure Equipment and Facilities grant(Australian Research Council); Australian Research Council(Australian Research Council)</t>
  </si>
  <si>
    <t>We are grateful to Ian McRobert, CSIRO technical services officer, and all the officers, crew and scientists on board the R.V. Investigator (Marine National Facility) for assistance in the development of a shipboard aerosol sampling system and their assistance in aerosol collection. We thank the Atmospheric Integrated Research on Burdens and OXidative capacity (AIRBOX) research teams involved in the Reef to Rainforest campaign at Mission Beach, where part of the land-based data was collected. We would also like to thank the staff of Gravity Discovery Centre in Gingin (Western Australia) for collecting additional land -based aerosol samples. This work was supported by an Australian Research Council Future Fellowship grant (FT130100037 to A.R.B.) and through the Antarctic Climate and Ecosystems Cooperative Research Centre (ACE CRC). The AIRBOX facility (airbox.earthsci.unimelb.edu. au) was funded by an Australian Research Council (ARC) Linkage Infrastructure Equipment and Facilities grant (LE150100048). All analyses were undertaken at the Central Science Laboratory (CSL) at the University of Tasmania using a facility funded by an Australian Research Council (ARC) Linkage Infrastructure Equipment and Facilities grant (LE0989539). The acquisition of the ICP-MS data was made possible thanks to A/Prof Ashley Townsend (ICP-MS) and SEM images thanks to Dr Karsten Goernann. Authors are not aware of any conflict of interest related to this paper.</t>
  </si>
  <si>
    <t>0039-9140</t>
  </si>
  <si>
    <t>1873-3573</t>
  </si>
  <si>
    <t>Talanta</t>
  </si>
  <si>
    <t>10.1016/j.talanta.2019.120377</t>
  </si>
  <si>
    <t>Chemistry, Analytical</t>
  </si>
  <si>
    <t>Chemistry</t>
  </si>
  <si>
    <t>JW8RM</t>
  </si>
  <si>
    <t>WOS:000503314200030</t>
  </si>
  <si>
    <t>Ballesteros, GI; Torres-Díaz, C; Bravo, LA; Balboa, K; Caruso, C; Bertini, L; Proietti, S; Molina-Montenegro, MA</t>
  </si>
  <si>
    <t>Ballesteros, Gabriel, I; Torres-Diaz, Cristian; Bravo, Leon A.; Balboa, Karen; Caruso, Carla; Bertini, Laura; Proietti, Silvia; Molina-Montenegro, Marco A.</t>
  </si>
  <si>
    <t>In silico analysis of metatranscriptomic data from the Antarctic vascular plant Colobanthus quitensis: Responses to a global warming scenario through changes in fungal gene expression levels</t>
  </si>
  <si>
    <t>FUNGAL ECOLOGY</t>
  </si>
  <si>
    <t>Colobanthus quitensis; Metatranscriptome; Endophytes; Global warming; Antarctica</t>
  </si>
  <si>
    <t>MITOCHONDRIAL PROTEIN; RNA-SEQ; TRANSCRIPTOMICS; CARYOPHYLLACEAE; MECHANISMS; ENDOPHYTE; TAR1P; LEAF</t>
  </si>
  <si>
    <t>Maritime Antarctica is one of the most stressful environments for plant life worldwide. However, two vascular plant species (Deschampsia antarctica and Colobanthus quitensis) have been able to colonize this hostile environment. Although it has been proposed that C. quitensis possesses tolerance mechanisms and adaptations allowing survival and growth under such stressful conditions, the underlying molecular/transcriptional mechanisms are currently unknown. Furthermore, the impact of global warming on the endophytic and epiphytic organisms associated with C. quitensis remains unclear. Here, a metatranscriptomic approach was used to determine the effect of an in situ simulated global warming scenario on C. quitensis plants. We found a large number of differentially expressed genes successfully annotated (2,997), suggesting that climate change modulates the metatranscriptome of C. quitensis plants and associated endophytes and epiphytes. Interestingly, 50.5% and 26.8% of up- and down-regulated genes, respectively, are from non-plant species (putative endophytic and epiphytic organisms, such as fungi). Interestingly, Gene Ontology analysis pointed out several biological processes differentially enriched in non-plant microorganisms associated with C. quitensis grown in a simulated global warming scenario. Taken together, these results suggest that climatic drivers are shaping plant-microorganism interactions, and that endophytes/epiphytes may play crucial roles in plant adaptation to extreme environmental conditions. (C) 2019 Elsevier Ltd and British Mycological Society. All rights reserved.</t>
  </si>
  <si>
    <t>[Ballesteros, Gabriel, I; Molina-Montenegro, Marco A.] Univ Talca, Ctr Ecol Mol &amp; Func, Inst Ciencias Biol, Avda Lircay S-N, Talca, Chile; [Torres-Diaz, Cristian] Univ Bio Bio, Dept Ciencias Basicas, Grp Biodiversidad &amp; Cambio Global BCG, Chillan, Chile; [Bravo, Leon A.] Univ La Frontera, Lab Fisiol &amp; Biol Mol Vegetal,Sci &amp; Technol Biore, Inst Agroind,Ctr Plant Soil Interact &amp; Nat Resour, Dept Ciencias Agron &amp; Recursos Nat,Fac Ciencias A, Temuco, Chile; [Balboa, Karen] Univ Santo Tomas, Fac Ciencias, Ciencias, Santiago, Chile; [Caruso, Carla; Bertini, Laura; Proietti, Silvia] Univ Tuscia, Dept Ecol &amp; Biol Sci, Viterbo, Italy; [Molina-Montenegro, Marco A.] Univ Catolica Norte, Fac Ciencias Mar, CEAZA, Coquimbo, Chile; [Molina-Montenegro, Marco A.] Univ Catolica Maule, Ctr Invest Estudios Avanzados Maule, Talca, Chile</t>
  </si>
  <si>
    <t>Universidad de Talca; Universidad del Bio-Bio; Universidad de La Frontera; Universidad Santo Tomas; Tuscia University; Universidad Catolica del Norte; Universidad Catolica del Maule</t>
  </si>
  <si>
    <t>Ballesteros, GI (corresponding author), Univ Talca, Avda Lircay S-N, Talca, Chile.</t>
  </si>
  <si>
    <t>gballesteros@utalca.cl</t>
  </si>
  <si>
    <t>Bravo, León/AAO-8437-2020; Ballesteros, Gabriel/IAN-7082-2023; caruso, carla/AAC-4123-2019; Proietti, Silvia/AAA-6524-2020; Ballesteros, Gabriel/AAW-7032-2021</t>
  </si>
  <si>
    <t>Bravo, León/0000-0003-4705-4842; Ballesteros, Gabriel/0000-0002-3179-3168; caruso, carla/0000-0002-2482-8254; Torres Diaz, Cristian/0000-0002-5741-5288; BERTINI, Laura/0000-0001-6335-3880; proietti, silvia/0000-0002-4795-3293</t>
  </si>
  <si>
    <t>Ministero dell'Istruzione, Universita e Ricerca Scientifica (MIUR) [2013/C1.02, PNRA16_00068]; CONICYT PIA [ART 11-02]; NEXER [NXR17-002]</t>
  </si>
  <si>
    <t>Ministero dell'Istruzione, Universita e Ricerca Scientifica (MIUR)(Ministry of Education, Universities and Research (MIUR)); CONICYT PIA; NEXER</t>
  </si>
  <si>
    <t>We thank Institut Antartico Chileno (INACH), the Chilean Navy and the Polish Academy of Sciences for logistics and field support. This research was partly supported by the Ministero dell'Istruzione, Universita e Ricerca Scientifica (MIUR) in the framework of the PNRA (National Program for Antarctic Research) project n.2013/C1.02 and project PNRA16_00068. This research was also funded by CONICYT PIA (ART 11-02) and NEXER (NXR17-002). Supplementary material is available at https://figshare.com/projects/Metatranscriptomic_of_ the_Antarctic_vascular_plant_Colobanthus_quitensis_responses_ to_global_warming_s cenario_through_changes_i n_endophytes_ gene_expression_levels/57665.</t>
  </si>
  <si>
    <t>1754-5048</t>
  </si>
  <si>
    <t>1878-0083</t>
  </si>
  <si>
    <t>FUNGAL ECOL</t>
  </si>
  <si>
    <t>Fungal Ecol.</t>
  </si>
  <si>
    <t>10.1016/j.funeco.2019.100873</t>
  </si>
  <si>
    <t>Ecology; Mycology</t>
  </si>
  <si>
    <t>Environmental Sciences &amp; Ecology; Mycology</t>
  </si>
  <si>
    <t>JU0WJ</t>
  </si>
  <si>
    <t>WOS:000501399600004</t>
  </si>
  <si>
    <t>Lecomte, KL; Vignoni, PA; Echegoyen, CV; Santolaya, P; Kopalová, K; Kohler, TJ; Roman, M; Coria, SH; Lirio, JM</t>
  </si>
  <si>
    <t>Lecomte, Karina L.; Vignoni, Paula A.; Echegoyen, Cecilia V.; Santolaya, Pia; Kopalova, Katerina; Kohler, Tyler J.; Roman, Matej; Coria, Silvia H.; Lirio, Juan M.</t>
  </si>
  <si>
    <t>Dissolved major and trace geochemical dynamics in Antarctic lacustrine systems</t>
  </si>
  <si>
    <t>Clearwater mesa; Geochemistry; Pristine environments; Major and trace elements; PHREEQC modelling; High latitude lakes</t>
  </si>
  <si>
    <t>JAMES-ROSS-ISLAND; CLIMATE-CHANGE; CLEARWATER MESA; HEAVY-METALS; PENINSULA; WATER; ICE; CHEMISTRY; PONDS; LAKES</t>
  </si>
  <si>
    <t>Clearwater Mesa Uames Ross Island, northeast Antarctic Peninsula) provides a unique opportunity to study solute dynamics and geochemical weathering in the pristine lacustrine systems of a high latitude environment. In order to determine major controls on the solute composition of these habitats, a geochemical survey was conducted on 35 lakes. Differences between lakes were observed based on measured physico-chemical parameters, revealing neutral to alkaline waters with total dissolved solids (TDS) &lt; 2500 mg L-1. Katerina and Trinidad-Tatana systems showed an increase in their respective TDS, total organic carbon values, and finner sediments from external to internal lakes, indicating an accumulation of solutes due to weathering. Norma and Florencia systems exhibited the most diluted and circumneutral waters, likely from the influence of glacier and snow melt. Finally, isolated lakes presented large variability in TDS values, indicating weathering and meltwater contributions at different proportions. Trace metal abundances revealed a volcanic mineral weathering source, except for Pb and Zn, which could potentially indicate atmospheric inputs. Geochemical modelling was also conducted on a subset of connected lakes to gain greater insight into processes determining solute composition, resulting in the weathering of salts, carbonates and silicates with the corresponding generation of clays. We found CO2 consumption accounted for 20-30% of the total species involved in weathering reactions. These observations allow insights into naturally occurring geochemical processes in a pristine environment, while also providing baseline data for future research assessing the impacts of anthropogenic pollution and the effects of climate change. (C) 2019 Elsevier Ltd. All rights reserved.</t>
  </si>
  <si>
    <t>[Lecomte, Karina L.; Echegoyen, Cecilia V.] Univ Nacl Cordoba, CONICET, Ctr Invest Ciencias Tierra CICTERRA, Ave Velez Sarsfield 1611,X5016CGA, Cordoba, Argentina; [Lecomte, Karina L.; Vignoni, Paula A.; Santolaya, Pia] Univ Nacl Cordoba, Fac Ciencias Exactas &amp; Nat, Ave Velez Sarsfield 1611,X5016CGA, Cordoba, Argentina; [Vignoni, Paula A.] Potsdam Univ, Inst Geosci, Karl Liebknecht Str 24-25, D-14476 Potsdam, Germany; [Vignoni, Paula A.] German Res Ctr Geosci GFZ, Climate Dynam &amp; Landscape Evolut, D-14473 Potsdam, Germany; [Kopalova, Katerina; Kohler, Tyler J.] Charles Univ Prague, Fac Sci, Dept Ecol, Vinicna 7, CR-12844 Prague 2, Czech Republic; [Kohler, Tyler J.] Ecole Polytech Fed Lausanne, Stream Biofilm &amp; Ecosyst Res Lab, Sch Architecture Civil &amp; Environm Engn, CH-1015 Lausanne, Switzerland; [Roman, Matej] Masaryk Univ, Fac Sci, Dept Geog, Kotlarska 2, CS-61137 Brno, Czech Republic; [Coria, Silvia H.; Lirio, Juan M.] Inst Antartico Argentino, 25 Mayo 1143, San Martin, Buenos Aires, Argentina</t>
  </si>
  <si>
    <t>Consejo Nacional de Investigaciones Cientificas y Tecnicas (CONICET); National University of Cordoba; National University of Cordoba; University of Potsdam; Helmholtz Association; Helmholtz-Center Potsdam GFZ German Research Center for Geosciences; Charles University Prague; Swiss Federal Institutes of Technology Domain; Ecole Polytechnique Federale de Lausanne; Masaryk University Brno; Instituto Antartico Argentino</t>
  </si>
  <si>
    <t>Lecomte, KL (corresponding author), Univ Nacl Cordoba, CONICET, Ctr Invest Ciencias Tierra CICTERRA, Ave Velez Sarsfield 1611,X5016CGA, Cordoba, Argentina.</t>
  </si>
  <si>
    <t>karina.lecomte@unc.edu.ar; pauvignoni@uni-potsdam.de; cvechegoyen@hotmail.com; mpiasantolaya@gmail.com; katerina.kopalova@natur.cuni.cz; tylerj.kohler@gmail.com; matej.roman@gmail.com; silviahcoria@gmail.com; liriojm@gmail.com</t>
  </si>
  <si>
    <t>Lecomte, Karina/KHD-3796-2024; Kohler, Tyler Joe/IUO-5352-2023; Kopalová, Kateřina/M-6207-2017; Roman, Matěj/AAN-4194-2020</t>
  </si>
  <si>
    <t>Kohler, Tyler Joe/0000-0001-5137-4844; Roman, Matěj/0000-0003-4741-5169; Echegoyen, Cecilia/0000-0003-1212-7271; Vignoni, Paula/0000-0002-9681-4986; LECOMTE, KARINA LETICIA/0000-0001-6901-0918</t>
  </si>
  <si>
    <t>DirecciOn Nacional del Antartico (DNA); Instituto AntArtico Argentino (HA); Agenda Nacional de Promocion Cientifica y Tecnologica (ANPCYT) [PICTO-2010-0096, PICT 2017-2026]; Consejo Nacional de Investigaciones Cientificas y Tecnicas (CONICET, Argentina) [PIP 11220170100088C0]; Universidad Nacional de Cordoba (SeCyT) [336-20180100385 -CB]; Ministry of Education, Youth and Sports of the Czech Republic [LM2015078, CZ.02.1.01/0.0/0.0/16_013/0001708]; Masaryk University [MUNI/A/1576/2018]; Charles University Research Centre program [204069]; Consejo Nacional de Investigaciones Cientificas y Tecnicas (CONICET, Argentina, project PUE-CICTERRA 2016)</t>
  </si>
  <si>
    <t>DirecciOn Nacional del Antartico (DNA); Instituto AntArtico Argentino (HA); Agenda Nacional de Promocion Cientifica y Tecnologica (ANPCYT)(ANPCyT); Consejo Nacional de Investigaciones Cientificas y Tecnicas (CONICET, Argentina)(Consejo Nacional de Investigaciones Cientificas y Tecnicas (CONICET)); Universidad Nacional de Cordoba (SeCyT)(Secretaria de Ciencia y Tecnologia (SECYT)); Ministry of Education, Youth and Sports of the Czech Republic(Ministry of Education, Youth &amp; Sports - Czech Republic); Masaryk University; Charles University Research Centre program; Consejo Nacional de Investigaciones Cientificas y Tecnicas (CONICET, Argentina, project PUE-CICTERRA 2016)</t>
  </si>
  <si>
    <t>The authors wish to thank DirecciOn Nacional del Antartico (DNA), and Instituto AntArtico Argentino (HA) for the financial and logistical support in Antarctica. This work was supported by Agenda Nacional de Promocion Cientifica y Tecnologica (ANPCYT projects PICTO-2010-0096 and PICT 2017-2026); by the Consejo Nacional de Investigaciones Cientificas y Tecnicas (CONICET, Argentina, projects PIP 11220170100088C0 and PUE-CICTERRA 2016); and by the Universidad Nacional de Cordoba (SeCyT, project 336-20180100385 -CB). Funding was also provided by the Ministry of Education, Youth and Sports of the Czech Republic projects LM2015078 and CZ.02.1.01/0.0/0.0/16_013/0001708, and the Masaryk University project MUNI/A/1576/2018. Authors TJK and KK were further supported by Charles University Research Centre program No. 204069.</t>
  </si>
  <si>
    <t>10.1016/j.chemosphere.2019.124938</t>
  </si>
  <si>
    <t>JO5EC</t>
  </si>
  <si>
    <t>WOS:000497600800029</t>
  </si>
  <si>
    <t>Stokes, CR; Sanderson, JE; Miles, BWJ; Jamieson, SSR; Leeson, AA</t>
  </si>
  <si>
    <t>Stokes, Chris R.; Sanderson, Jack E.; Miles, Bertie W. J.; Jamieson, Stewart S. R.; Leeson, Amber A.</t>
  </si>
  <si>
    <t>Widespread distribution of supraglacial lakes around the margin of the East Antarctic Ice Sheet (vol 9, 13823, 2019)</t>
  </si>
  <si>
    <t>c.r.stokes@durham.ac.uk</t>
  </si>
  <si>
    <t>Stokes, Chris R/A-1957-2011; Leeson, Amber/JFA-1001-2023; Jamieson, Stewart/B-8330-2013</t>
  </si>
  <si>
    <t>Jamieson, Stewart/0000-0002-9036-2317; Miles, Bertie/0000-0002-3388-4688</t>
  </si>
  <si>
    <t>JAN 31</t>
  </si>
  <si>
    <t>10.1038/s41598-020-58950-3</t>
  </si>
  <si>
    <t>NB3MG</t>
  </si>
  <si>
    <t>WOS:000560419000001</t>
  </si>
  <si>
    <t>Werth, AJ; Ito, H; Ueda, K</t>
  </si>
  <si>
    <t>Werth, Alexander J.; Ito, Haruka; Ueda, Keiichi</t>
  </si>
  <si>
    <t>Multiaxial movements at the minke whale temporomandibular joint</t>
  </si>
  <si>
    <t>JOURNAL OF MORPHOLOGY</t>
  </si>
  <si>
    <t>biomechanics; elasticity; feeding; mandible; mysticete; TMJ</t>
  </si>
  <si>
    <t>RORQUAL WHALES; ENGULFMENT; MECHANICS; ROTATION</t>
  </si>
  <si>
    <t>Mandibular mobility accompanying gape change in Northern and Antarctic minke whales was investigated by manipulating jaws of carcasses, recording jaw movements via digital instruments (inclinometers, accelerometers, and goniometers), and examining osteological and soft tissue movements via computed tomography (CT)-scans. We investigated longitudinal (alpha) rotation of the mandible and mediolateral displacement at the symphysis (omega(1)) and temporomandibular joint (omega(2)) as the mouth opened (Delta). Results indicated three phases of jaw opening. In the first phase, as gape increased from zero to 8 degrees, there was slight (&lt;1 degrees) alpha and omega rotation. As gape increased between 20 and 30 degrees, the mandibles rotated slightly laterally (Mean 3 degrees), the posterior condyles were slightly medially displaced (Mean 4 degrees), and the anterior ends at the symphysis were laterally displaced (Mean 3 degrees). In the third phase of jaw opening, from 30 degrees to full (&gt;= 90 degrees) gape, these motions reversed: mandibles rotated medially (Mean 29 degrees), condyles were laterally displaced (Mean 14 degrees), and symphyseal ends were medially displaced (Mean 1 degrees). Movements were observed during jaw manipulation and analyzed with CT-images that confirmed quantitative inclinometer/accelerometer data, including the unstable intermediate (Phase 2) position. Together these shifting movements maintain a constant distance for adductor muscles stretched between the skull's temporal fossa and mandible's coronoid process. Mandibular rotation enlarges the buccal cavity's volume as much as 36%, likely to improve prey capture in rorqual lunge feeding; it may strengthen and stabilize jaw opening or closure, perhaps via a simple locking or unlocking mechanism. Rotated lips may brace baleen racks during filtration. Mandibular movements may serve a proprioceptive mechanosensory function, perhaps via the symphyseal organ, to guide prey engulfment and water expulsion for filtration.</t>
  </si>
  <si>
    <t>[Werth, Alexander J.] Hampden Sydney Coll, Dept Biol, Hampden Sydney, VA 23943 USA; [Ito, Haruka] Japan Fisheries Res &amp; Educ Agcy, Natl Res Inst Fisheries Sci, Yokohama, Kanagawa, Japan; [Ueda, Keiichi] Okinawa Churashima Res Ctr, Zool Lab, Motobu, Okinawa, Japan; [Ueda, Keiichi] Anim Hlth Management, Motobu, Okinawa, Japan</t>
  </si>
  <si>
    <t>Werth, AJ (corresponding author), Hampden Sydney Coll, Dept Biol, Hampden Sydney, VA 23943 USA.</t>
  </si>
  <si>
    <t>awerth@hsc.edu</t>
  </si>
  <si>
    <t>Werth, Alexander/AFK-9466-2022</t>
  </si>
  <si>
    <t>Werth, Alexander/0000-0002-7777-478X</t>
  </si>
  <si>
    <t>0362-2525</t>
  </si>
  <si>
    <t>1097-4687</t>
  </si>
  <si>
    <t>J MORPHOL</t>
  </si>
  <si>
    <t>J. Morphol.</t>
  </si>
  <si>
    <t>10.1002/jmor.21107</t>
  </si>
  <si>
    <t>JAN 2020</t>
  </si>
  <si>
    <t>Anatomy &amp; Morphology</t>
  </si>
  <si>
    <t>KM7LZ</t>
  </si>
  <si>
    <t>WOS:000510254000001</t>
  </si>
  <si>
    <t>Avila, C; Angulo-Preckler, C; Martín-Martín, RP; Figuerola, B; Griffiths, HJ; Waller, CL</t>
  </si>
  <si>
    <t>Avila, Conxita; Angulo-Preckler, Carlos; Martin-Martin, Rafael P.; Figuerola, Blanca; Griffiths, Huw James; Waller, Catherine Louise</t>
  </si>
  <si>
    <t>Invasive marine species discovered on non-native kelp rafts in the warmest Antarctic island</t>
  </si>
  <si>
    <t>DISPERSAL MECHANISMS; DECEPTION ISLAND; ENVIRONMENT; ECOLOGY; BIOLOGY; BIOGEOGRAPHY; ORGANISMS; DYNAMICS; DRIVEN; DRIFT</t>
  </si>
  <si>
    <t>Antarctic shallow coastal marine communities were long thought to be isolated from their nearest neighbours by hundreds of kilometres of deep ocean and the Antarctic Circumpolar Current. The discovery of non-native kelp washed up on Antarctic beaches led us to question the permeability of these barriers to species dispersal. According to the literature, over 70 million kelp rafts are afloat in the Southern Ocean at any one time. These living, floating islands can play host to a range of passenger species from both their original coastal location and those picked in the open ocean. Driven by winds, currents and storms towards the coast of the continent, these rafts are often cited as theoretical vectors for the introduction of new species into Antarctica and the sub-Antarctic islands. We found non-native kelps, with a wide range of hitchhiking passenger organisms, on an Antarctic beach inside the flooded caldera of an active volcanic island. This is the first evidence of non-native species reaching the Antarctic continent alive on kelp rafts. One passenger species, the bryozoan Membranipora membranacea, is found to be an invasive and ecologically harmful species in some cold-water regions, and this is its first record from Antarctica. The caldera of Deception Island provides considerably milder conditions than the frigid surrounding waters and it could be an ideal location for newly introduced species to become established. These findings may help to explain many of the biogeographic patterns and connections we currently see in the Southern Ocean. However, with the impacts of climate change in the region we may see an increase in the range and number of organisms capable of surviving both the long journey and becoming successfully established.</t>
  </si>
  <si>
    <t>[Avila, Conxita; Angulo-Preckler, Carlos] Univ Barcelona, Dept Evolutionary Biol Ecol &amp; Environm Sci, Ave Diagonal 643, Barcelona 08028, Catalonia, Spain; [Avila, Conxita; Angulo-Preckler, Carlos; Martin-Martin, Rafael P.] Biodivers Res Inst IRBio, Ave Diagonal 643, Barcelona 08028, Catalonia, Spain; [Martin-Martin, Rafael P.] Univ Barcelona, Dept Biol Healthcare &amp; Environm, Ave Diagonal 643, Barcelona 08028, Catalonia, Spain; [Figuerola, Blanca] Inst Marine Sci ICM CSIC, Pg Maritim de la Barceloneta 37-49, Barcelona 08003, Catalonia, Spain; [Griffiths, Huw James] British Antarctic Survey, High Cross,Madingley Rd, Cambridge CB3 0ET, England; [Waller, Catherine Louise] Univ Hull, Dept Biol &amp; Marine Sci, Cottingham Rd, Kingston Upon Hull HU6 7RX, N Humberside, England</t>
  </si>
  <si>
    <t>University of Barcelona; University of Barcelona; Consejo Superior de Investigaciones Cientificas (CSIC); CSIC - Centro Mediterraneo de Investigaciones Marinas y Ambientales (CMIMA); CSIC - Instituto de Ciencias del Mar (ICM); UK Research &amp; Innovation (UKRI); Natural Environment Research Council (NERC); NERC British Antarctic Survey; University of Hull</t>
  </si>
  <si>
    <t>Avila, C (corresponding author), Univ Barcelona, Dept Evolutionary Biol Ecol &amp; Environm Sci, Ave Diagonal 643, Barcelona 08028, Catalonia, Spain.;Avila, C (corresponding author), Biodivers Res Inst IRBio, Ave Diagonal 643, Barcelona 08028, Catalonia, Spain.</t>
  </si>
  <si>
    <t>conxita.avila@ub.edu</t>
  </si>
  <si>
    <t>Figuerola, Blanca/C-6252-2015; Angulo_Preckler, Carlos/A-6456-2011; Griffiths, Huw J/D-4234-2009; Avila, Conxita/B-9466-2008</t>
  </si>
  <si>
    <t>Figuerola, Blanca/0000-0003-4731-9337; Angulo_Preckler, Carlos/0000-0001-9028-274X; Griffiths, Huw J/0000-0003-1764-223X; Martin-Martin, Rafael P./0000-0002-6650-6771; Waller, Catherine L/0000-0002-0836-3223; Avila, Conxita/0000-0002-5489-8376</t>
  </si>
  <si>
    <t>DISTANTCOM grant by the Spanish government [CTM2013-42667/ANT, CTM2016-78901/ANT]; BLUEBIO grant by the Spanish government [CTM2013-42667/ANT, CTM2016-78901/ANT]; Juan de la Cierva-Incorporacion [IJCI-2017-31478]; NERC [bas0100036] Funding Source: UKRI</t>
  </si>
  <si>
    <t>DISTANTCOM grant by the Spanish government; BLUEBIO grant by the Spanish government; Juan de la Cierva-Incorporacion; NERC(UK Research &amp; Innovation (UKRI)Natural Environment Research Council (NERC))</t>
  </si>
  <si>
    <t>Support for this work was provided by DISTANTCOM and BLUEBIO grants to CA (CTM2013-42667/ANT, CTM2016-78901/ANT) by the Spanish government. BF was supported by a Juan de la Cierva-Incorporacion Postdoctoral Fellow (IJCI-2017-31478). The helpful comments of two anonymous reviewers are also acknowledged.</t>
  </si>
  <si>
    <t>10.1038/s41598-020-58561-y</t>
  </si>
  <si>
    <t>NE8TZ</t>
  </si>
  <si>
    <t>WOS:000562879400006</t>
  </si>
  <si>
    <t>Díaz, A; Maturana, CS; Boyero, L; Escalante, PD; Tonin, AM; Correa-Araneda, F</t>
  </si>
  <si>
    <t>Diaz, Angie; Maturana, Claudia S.; Boyero, Luz; De Los Rios Escalante, Patricio; Tonin, Alan M.; Correa-Araneda, Francisco</t>
  </si>
  <si>
    <t>Spatial distribution of freshwater crustaceans in Antarctic and Subantarctic lakes (vol 9, 7928, 2019)</t>
  </si>
  <si>
    <t>francisco.correa@uautonoma.cl</t>
  </si>
  <si>
    <t>Boyero, Luz/N-1719-2019; Maturana, Claudia/JOK-7975-2023; Tonin, Alan M./J-4575-2014; Diaz, Angie/I-8033-2016</t>
  </si>
  <si>
    <t>Boyero, Luz/0000-0001-7366-9299; Maturana, Claudia/0000-0002-4427-8093; Tonin, Alan M./0000-0002-8463-8823; Diaz, Angie/0000-0003-4944-588X; Correa, Francisco Javier/0000-0001-6670-6661; De los Rios-Escalante, Patricio/0000-0001-5056-7003</t>
  </si>
  <si>
    <t>JAN 30</t>
  </si>
  <si>
    <t>10.1038/s41598-020-58516-3</t>
  </si>
  <si>
    <t>LH4CS</t>
  </si>
  <si>
    <t>WOS:000528734000002</t>
  </si>
  <si>
    <t>Jansen, J; Dunstan, PK; Hill, NA; Koubbi, P; Melbourne-Thomas, J; Causse, R; Johnson, CR</t>
  </si>
  <si>
    <t>Jansen, Jan; Dunstan, Piers K.; Hill, Nicole A.; Koubbi, Philippe; Melbourne-Thomas, Jessica; Causse, Romain; Johnson, Craig R.</t>
  </si>
  <si>
    <t>Integrated assessment of the spatial distribution and structural dynamics of deep benthic marine communities</t>
  </si>
  <si>
    <t>ECOLOGICAL APPLICATIONS</t>
  </si>
  <si>
    <t>Antarctica; continental shelf; deep sea; ecosystem dynamic; ecosystem structure; qualitative network model; Southern Ocean; spatial model; species archetype model; upper slope</t>
  </si>
  <si>
    <t>SOUTHERN-OCEAN; CLIMATE-CHANGE; MERTZ GLACIER; TERRE-ADELIE; DEMERSAL FISH; MODEL; SEA; ECOSYSTEM; SHELF; DIVERSITY</t>
  </si>
  <si>
    <t>Characterizing the spatial distribution and variation of species communities and validating these characteristics with data from the field are key elements for an ecosystem-based approach to management. However, models of species distributions that yield community structure are usually not linked to models of community dynamics, constraining understanding and management of the ecosystem, particularly in data-poor regions. Here we use a qualitative network model to predict changes in Antarctic benthic community structure between major marine habitats characterized largely by seafloor depth and slope, and use multivariate mixture models of species distributions to validate the community dynamics. We then assess how future increases in primary production associated with anticipated loss of sea-ice may affect the ecosystem. Our study shows how both spatial and structural features of ecosystems in data-poor regions can be analyzed and possible futures assessed, with direct relevance for ecosystem-based management.</t>
  </si>
  <si>
    <t>[Jansen, Jan; Hill, Nicole A.; Johnson, Craig R.] Univ Tasmania, IMAS, 20 Castray Esplanade, Hobart, Tas 7004, Australia; [Dunstan, Piers K.; Melbourne-Thomas, Jessica] CSIRO Oceans &amp; Atmosphere, Hobart, Tas, Australia; [Koubbi, Philippe] Sorbonne Univ, UFR Terre Environm Biodivers 918, Paris, France; [Koubbi, Philippe] IFREMER, Channel &amp; North Sea Fisheries Res Unit, Boulogne Sur Mer, France; [Causse, Romain] Univ Antilles, Univ Caen Normandie, Sorbonne Univ,CNRS,IRD, Unite Biol Organismes &amp; Ecosyst Aquat BOREA,Museu, Paris, France</t>
  </si>
  <si>
    <t>University of Tasmania; Commonwealth Scientific &amp; Industrial Research Organisation (CSIRO); Sorbonne Universite; Ifremer; Centre National de la Recherche Scientifique (CNRS); Universite de Caen Normandie; Institut de Recherche pour le Developpement (IRD); Sorbonne Universite</t>
  </si>
  <si>
    <t>Jansen, J (corresponding author), Univ Tasmania, IMAS, 20 Castray Esplanade, Hobart, Tas 7004, Australia.</t>
  </si>
  <si>
    <t>jan.jansen@utas.edu.au</t>
  </si>
  <si>
    <t>Melbourne-Thomas, Jess/N-2437-2019; Koubbi, Philippe/D-5873-2015; Dunstan, Piers/B-7309-2016; Jansen, Jan/O-8632-2014</t>
  </si>
  <si>
    <t>Melbourne-Thomas, Jess/0000-0001-6585-876X; Dunstan, Piers/0000-0002-2568-5945; Jansen, Jan/0000-0001-5896-365X</t>
  </si>
  <si>
    <t>Tasmanian Graduate Research Scholarship; QAS Top-Up Scholarship; Institute of Marine and Antarctic Studies, University of Tasmania; Australian Antarctic Science [4124]</t>
  </si>
  <si>
    <t>Tasmanian Graduate Research Scholarship; QAS Top-Up Scholarship; Institute of Marine and Antarctic Studies, University of Tasmania; Australian Antarctic Science</t>
  </si>
  <si>
    <t>We thank Guy Duhamel for helping to identify feeding strategies of demersal fish and two anonymous reviewers for their comments. Biological samples were collected during the CEAMARC program as part of the IPY #53 Census of Antarctic Marine Life program. Coastline and glacial features for the figures are taken from the Antarctic Digital Database version 5. J. Jansen is supported by a Tasmanian Graduate Research Scholarship and a QAS Top-Up Scholarship, and has received funding from the Institute of Marine and Antarctic Studies, University of Tasmania, to undertake essential research for this study at the Mus~eum National d'Histoire Naturelle in Paris, France. This work was completed as part of Australian Antarctic Science project 4124, the French Zone Atelier Antarctique of CNRS and the French ICOTA project 281 from IPEV. Jan Jansen, Nicole Hill, Piers Dunstan, and Craig Johnson conceived and designed the study. All authors contributed to the analysis of the data. Jan Jansen designed all figures and tables and wrote the paper with contributions from all authors. The authors declare that the research was conducted in the absence of any commercial or financial relationships that could be construed as a potential conflict of interest.</t>
  </si>
  <si>
    <t>1051-0761</t>
  </si>
  <si>
    <t>1939-5582</t>
  </si>
  <si>
    <t>ECOL APPL</t>
  </si>
  <si>
    <t>Ecol. Appl.</t>
  </si>
  <si>
    <t>10.1002/eap.2065</t>
  </si>
  <si>
    <t>Ecology; Environmental Sciences</t>
  </si>
  <si>
    <t>LB2XJ</t>
  </si>
  <si>
    <t>WOS:000510105900001</t>
  </si>
  <si>
    <t>Shabangu, FW; Findlay, K; Stafford, KM</t>
  </si>
  <si>
    <t>Shabangu, Fannie W.; Findlay, Ken; Stafford, Kathleen M.</t>
  </si>
  <si>
    <t>Seasonal acoustic occurrence, diel-vocalizing patterns and bioduck call-type composition of Antarctic minke whales off the west coast of South Africa and the Maud Rise, Antarctica</t>
  </si>
  <si>
    <t>Antarctica; bioduck call-types; diel behavior; minke whales; occurrence; South Africa</t>
  </si>
  <si>
    <t>EUPHAUSIA-SUPERBA; MARINE MAMMALS; SEA; KRILL; REGRESSION</t>
  </si>
  <si>
    <t>Seasonal occurrence, diel-vocalizing patterns, and call-types of Antarctic minke whales are described using bio-acoustic recordings from the west coast of South Africa and the Maud Rise, Antarctica. In Antarctica, minke whale bioduck calls were detected in seven of nine months of hydrophone deployment (peaking in May and September) while downsweeps were only detected in June. Bioduck calls were sporadically detected in South African waters with peak calling in September/October, and no bioducks were detected from March through August. Bioduck call occurrence was high during daytime in Antarctica but there was no diel-vocalizing pattern in South African waters. We split bioduck B call-type into two subtypes: B1 with 13 +/- 1 pulses (Dominello &amp; Sirovic, 2016) and B2 with 9 +/- 1 pulses (this study). Bioduck B2 was detected both in Antarctic and South African waters, with harmonics up to 2 kHz. Similar bioduck call-types were detected in Antarctic and South African waters, with bioduck A2 being the most common. Month of the year was the most important predictor of bioduck occurrence both in Antarctic and South African waters. This is the first study to describe the seasonal occurrence, diel-vocalizing behavior and call-types of Antarctic minke whales off the South African west coast and eastern Weddell Sea.</t>
  </si>
  <si>
    <t>[Shabangu, Fannie W.] Dept Environm Forestry &amp; Fisheries, Fisheries Management, Cape Town, South Africa; [Shabangu, Fannie W.; Findlay, Ken] Univ Pretoria, Mammal Res Inst, Whale Unit, Pretoria, South Africa; [Findlay, Ken] Cape Peninsula Univ Technol, Dept Conservat &amp; Marine Sci, Cape Town, South Africa; [Stafford, Kathleen M.] Univ Washington, Appl Phys Lab, Seattle, WA 98105 USA</t>
  </si>
  <si>
    <t>University of Pretoria; Cape Peninsula University of Technology; University of Washington; University of Washington Seattle</t>
  </si>
  <si>
    <t>Shabangu, FW (corresponding author), Private Bag X2, ZA-8018 Vlaeberg, South Africa.</t>
  </si>
  <si>
    <t>fannie.shabangu@yahoo.com</t>
  </si>
  <si>
    <t>; Findlay, Ken/A-5766-2019</t>
  </si>
  <si>
    <t>Shabangu, Fannie W./0000-0002-3668-3566; Findlay, Ken/0000-0001-7154-8805</t>
  </si>
  <si>
    <t>South African National Antarctic Programme [SNA 2011112500003]</t>
  </si>
  <si>
    <t>South African National Antarctic Programme</t>
  </si>
  <si>
    <t>South African National Antarctic Programme, Grant/Award Number: SNA 2011112500003</t>
  </si>
  <si>
    <t>10.1111/mms.12669</t>
  </si>
  <si>
    <t>LC4SX</t>
  </si>
  <si>
    <t>hybrid, Green Submitted</t>
  </si>
  <si>
    <t>WOS:000510175300001</t>
  </si>
  <si>
    <t>Clark, PU; He, F; Golledge, NR; Mitrovica, JX; Dutton, A; Hoffman, JS; Dendy, S</t>
  </si>
  <si>
    <t>Clark, Peter U.; He, Feng; Golledge, Nicholas R.; Mitrovica, Jerry X.; Dutton, Andrea; Hoffman, Jeremy S.; Dendy, Sarah</t>
  </si>
  <si>
    <t>Oceanic forcing of penultimate deglacial and last interglacial sea-level rise</t>
  </si>
  <si>
    <t>ANTARCTIC ICE-SHEET; GLACIAL MAXIMUM; NUMERICAL SIMULATIONS; GREENLAND; CLIMATE; MODEL; TEMPERATURE; SURFACE; CIRCULATION; COLLAPSE</t>
  </si>
  <si>
    <t>Sea-level histories during the two most recent deglacial-interglacial intervals show substantial differences(1-3) despite both periods undergoing similar changes in global mean temperature(4,5) and forcing from greenhouse gases(6). Although the last interglaciation (LIG) experienced stronger boreal summer insolation forcing than the present interglaciation(7), understanding why LIG global mean sea level may have been six to nine metres higher than today has proven particularly challenging(2). Extensive areas of polar ice sheets were grounded below sea level during both glacial and interglacial periods, with grounding lines and fringing ice shelves extending onto continental shelves(8). This suggests that oceanic forcing by subsurface warming may also have contributed to ice-sheet loss(9-12) analogous to ongoing changes in the Antarctic(13,14) and Greenland' ice sheets. Such forcing would have been especially effective duringglacial periods, when the Atlantic Meridional Overturning Circulation (AMOC) experienced large variations on millennial timescales(16), with a reduction of the AMOC causing subsurface warming throughout much of the Atlantic basin(9,12,17). Here we showthat greater subsurface warming induced by the longer period of reduced AMOC during the penultimate deglaciation can explain the more-rapid sea level rise compared with the last deglaciation. This greater forcing also contributed to excess loss from the Greenland and Antarctic ice sheets during the LIG, causing global mean sea level to rise at least four metres above modern levels. When accounting for the combined influences of penultimate and LIG deglaciation on glacial isostatic adjustment, this excess loss of polar ice during the LIG can explain much of the relative sea level recorded by fossil coral reefs and speleothems at intermediate- and far-field sites.</t>
  </si>
  <si>
    <t>[Clark, Peter U.] Oregon State Univ, Coll Earth Ocean &amp; Atmospher Sci, Corvallis, OR 97331 USA; [Clark, Peter U.] Univ Ulster, Sch Geog &amp; Environm Sci, Coleraine, Londonderry, North Ireland; [He, Feng] Univ Wisconsin, Nelson Inst Environm Studies, Ctr Climat Res, Madison, WI USA; [Golledge, Nicholas R.] Victoria Univ Wellington, Antarctic Res Ctr, Wellington, New Zealand; [Golledge, Nicholas R.] GNS Sci, Lower Hutt, New Zealand; [Mitrovica, Jerry X.] Harvard Univ, Dept Earth &amp; Planetary Sci, 20 Oxford St, Cambridge, MA 02138 USA; [Dutton, Andrea] Univ Florida, Dept Geol Sci, Gainesville, FL USA; [Hoffman, Jeremy S.] Sci Museum Virginia, Richmond, VA USA; [Dendy, Sarah] Univ Illinois, Dept Geol, Urbana, IL USA; [Dutton, Andrea] Univ Wisconsin, Dept Geosci, Madison, WI USA</t>
  </si>
  <si>
    <t>Oregon State University; Ulster University; University of Wisconsin System; University of Wisconsin Madison; Victoria University Wellington; GNS Science - New Zealand; Harvard University; State University System of Florida; University of Florida; University of Illinois System; University of Illinois Urbana-Champaign; University of Wisconsin System; University of Wisconsin Madison</t>
  </si>
  <si>
    <t>Clark, PU (corresponding author), Oregon State Univ, Coll Earth Ocean &amp; Atmospher Sci, Corvallis, OR 97331 USA.;Clark, PU (corresponding author), Univ Ulster, Sch Geog &amp; Environm Sci, Coleraine, Londonderry, North Ireland.</t>
  </si>
  <si>
    <t>clarkp@onid.orst.edu</t>
  </si>
  <si>
    <t>He, Feng/B-3583-2008; he, feng/HOF-1989-2023; Dutton, Andrea/A-2506-2008</t>
  </si>
  <si>
    <t>Dendy, Sarah/0000-0001-9685-0461; Golledge, Nicholas/0000-0001-7676-8970; He, Feng/0000-0002-3355-6406; Dutton, Andrea/0000-0002-3836-119X</t>
  </si>
  <si>
    <t>US National Science Foundation (NSF) [AGS-1503032, AGS-1502990, OCE-1702684, 1559040]; NOAA Climate and Global Change Postdoctoral Fellowship programme; Royal Society Te Aparangi [VUW1501]; Antarctic Research Centre, Victoria University of Wellington; Ministry for Business, Innovation and Employment [CO5X1001]; Harvard University; NSF; Office of Science of the US Department of Energy [DE-AC0500OR22725]; NASA [NNX13AM16G, NNX13AK27G]; Division Of Ocean Sciences; Directorate For Geosciences [1559040] Funding Source: National Science Foundation</t>
  </si>
  <si>
    <t>US National Science Foundation (NSF)(National Science Foundation (NSF)); NOAA Climate and Global Change Postdoctoral Fellowship programme(National Oceanic Atmospheric Admin (NOAA) - USA); Royal Society Te Aparangi(Royal Society of New Zealand); Antarctic Research Centre, Victoria University of Wellington; Ministry for Business, Innovation and Employment(New Zealand Ministry of Business, Innovation and Employment (MBIE)); Harvard University; NSF(National Science Foundation (NSF)); Office of Science of the US Department of Energy(United States Department of Energy (DOE)); NASA(National Aeronautics &amp; Space Administration (NASA)); Division Of Ocean Sciences; Directorate For Geosciences(National Science Foundation (NSF)NSF - Directorate for Geosciences (GEO))</t>
  </si>
  <si>
    <t>This work was funded by the US National Science Foundation (NSF) through grant numbers AGS-1503032 (to P.U.C.), AGS-1502990 (to F.H.) OCE-1702684 (to J.X.M.) and 1559040 (to A.D.); the NOAA Climate and Global Change Postdoctoral Fellowship programme, administered by the University Corporation for Atmospheric Research (to F.H.); contract number VUW1501 from the Royal Society Te Aparangi with support from the Antarctic Research Centre, Victoria University of Wellington (to N.R.G.); contract number CO5X1001 to GNS Science from the Ministry for Business, Innovation and Employment (to N.R.G.); and Harvard University (J.X.M.). We acknowledge high-performance computing support from Yellowstone (ark:/85065/d7wd3xhc) provided by NCAR's Computational and Information Systems Laboratory, sponsored by the NSF. This research used resources of the Oak Ridge Leadership Computing Facility at the Oak Ridge National Laboratory, which is supported by the Office of Science of the US Department of Energy under contract number DE-AC0500OR22725. PISM is supported by NASA grant numbers NNX13AM16G and NNX13AK27G. We thank J. Box, C. Buizert and A. Orsi for discussions.</t>
  </si>
  <si>
    <t>10.1038/s41586-020-1931-7</t>
  </si>
  <si>
    <t>SH4PG</t>
  </si>
  <si>
    <t>WOS:000654118600047</t>
  </si>
  <si>
    <t>Powell, K; Lea, MA</t>
  </si>
  <si>
    <t>Powell, Kendall; Lea, Mary-Anne</t>
  </si>
  <si>
    <t>Where I work</t>
  </si>
  <si>
    <t>[Lea, Mary-Anne] Univ Tasmania, Inst Marine &amp; Antarctic Studies, Hobart, Tas, Australia</t>
  </si>
  <si>
    <t>Lea, MA (corresponding author), Univ Tasmania, Inst Marine &amp; Antarctic Studies, Hobart, Tas, Australia.</t>
  </si>
  <si>
    <t>Lea, Mary-Anne/E-9054-2013</t>
  </si>
  <si>
    <t>WOS:000654118600059</t>
  </si>
  <si>
    <t>[Anonymous]</t>
  </si>
  <si>
    <t>Glacial quakes reveal huge chunks falling off Antarctic ice mass</t>
  </si>
  <si>
    <t>WOS:000654118600002</t>
  </si>
  <si>
    <t>Baldry, K; Saderne, V; McCorkle, DC; Churchill, JH; Agust, S; Duarte, CM</t>
  </si>
  <si>
    <t>Baldry, Kimberlee; Saderne, Vincent; McCorkle, Daniel C.; Churchill, James H.; Agust, Susana; Duarte, Carlos M.</t>
  </si>
  <si>
    <t>Anomalies in the carbonate system of Red Sea coastal habitats</t>
  </si>
  <si>
    <t>OCEAN ACIDIFICATION; CORAL-REEFS; CO2 FLUX; WATER; CALCIFICATION; ALKALINITY; METABOLISM; CHEMISTRY; DYNAMICS; BIOGEOCHEMISTRY</t>
  </si>
  <si>
    <t>We use observations of dissolved inorganic carbon (DIC) and total alkalinity (TA) to assess the impact of ecosystem metabolic processes on coastal waters of the eastern Red Sea. A simple, single-end-member mixing model is used to account for the influence of mixing with offshore waters and evaporation-precipitation and to model ecosystem-driven perturbations on the carbonate system chemistry of coral reefs, seagrass meadows and mangrove forests. We find that (1) along-shelf changes in TA and DIC exhibit strong linear relationships that are consistent with basin-scale net calcium carbonate precipitation; (2) ecosystem-driven changes in TA and DIC are larger than offshore variations in &gt; 70% of sampled seagrass meadows and mangrove forests, changes which are influenced by a combination of longer water residence times and community metabolic rates; and (3) the sampled mangrove forests show strong and consistent contributions from both organic respiration and other sedimentary processes (carbonate dissolution and secondary redox processes), while seagrass meadows display more variability in the relative contributions of photosynthesis and other sedimentary processes (carbonate precipitation and oxidative processes). The results of this study highlight the importance of resolving the influences of water residence times, mixing and upstream habitats on mediating the carbonate system and coastal air-sea carbon dioxide fluxes over coastal habitats in the Red Sea.</t>
  </si>
  <si>
    <t>[Baldry, Kimberlee; Saderne, Vincent; Agust, Susana; Duarte, Carlos M.] King Abdullah Univ Sci &amp; Technol, Red Sea Res Ctr, Thuwal 23955, Saudi Arabia; [Baldry, Kimberlee; Saderne, Vincent; Agust, Susana; Duarte, Carlos M.] King Abdullah Univ Sci &amp; Technol, Computat Biosci Res Ctr, Thuwal 23955, Saudi Arabia; [McCorkle, Daniel C.; Churchill, James H.] Woods Hole Oceanog Inst, Woods Hole, MA 02543 USA; [Baldry, Kimberlee] Univ Tasmania, Inst Marine &amp; Antarctic Studies, Hobart, Tas 7000, Australia</t>
  </si>
  <si>
    <t>King Abdullah University of Science &amp; Technology; King Abdullah University of Science &amp; Technology; Woods Hole Oceanographic Institution; University of Tasmania</t>
  </si>
  <si>
    <t>Baldry, K (corresponding author), King Abdullah Univ Sci &amp; Technol, Red Sea Res Ctr, Thuwal 23955, Saudi Arabia.;Baldry, K (corresponding author), King Abdullah Univ Sci &amp; Technol, Computat Biosci Res Ctr, Thuwal 23955, Saudi Arabia.;Baldry, K (corresponding author), Univ Tasmania, Inst Marine &amp; Antarctic Studies, Hobart, Tas 7000, Australia.</t>
  </si>
  <si>
    <t>kimberlee.baldry@utas.edu.au</t>
  </si>
  <si>
    <t>Agusti, Susana/G-2864-2017; Duarte Quesada, Carlos Manuel/ABD-6208-2021; Saderne, Vincent/JCD-7500-2023; Saderne, Vincent/ABE-5850-2020; Duarte, Carlos M/A-7670-2013</t>
  </si>
  <si>
    <t>Agusti, Susana/0000-0003-0536-7293; Duarte, Carlos M/0000-0002-1213-1361; Baldry, Kimberlee/0000-0003-3286-8624; saderne, vincent/0000-0003-3968-2718</t>
  </si>
  <si>
    <t>King Abdullah University of Science and Technology (KAUST) [BAS/1/1071-01-01, BAS/1/1072-01-01]; Investment in Science fund at WHOI</t>
  </si>
  <si>
    <t>King Abdullah University of Science and Technology (KAUST)(King Abdullah University of Science &amp; Technology); Investment in Science fund at WHOI</t>
  </si>
  <si>
    <t>This research has been supported by the King Abdullah University of Science and Technology (KAUST) (grant nos. BAS/1/1071-01-01 and BAS/1/1072-01-01) and the Investment in Science fund at WHOI.</t>
  </si>
  <si>
    <t>JAN 29</t>
  </si>
  <si>
    <t>10.5194/bg-17-423-2020</t>
  </si>
  <si>
    <t>KH1EJ</t>
  </si>
  <si>
    <t>WOS:000510389400002</t>
  </si>
  <si>
    <t>Muelbert, JH; Nidzieko, NJ; Acosta, ATR; Beaulieu, SE; Bernardino, AF; Boikova, E; Bornman, TG; Cataletto, B; Deneudt, K; Eliason, E; Kraberg, A; Nakaoka, M; Pugnetti, A; Ragueneau, O; Scharfe, M; Soltwedel, T; Sosik, HM; Stanisci, A; Stefanova, K; Stéphan, P; Stier, A; Wikner, J; Zingone, A</t>
  </si>
  <si>
    <t>Muelbert, Jose H.; Nidzieko, Nicholas J.; Acosta, Alicia T. R.; Beaulieu, Stace E.; Bernardino, Angelo F.; Boikova, Elmira; Bornman, Thomas G.; Cataletto, Bruno; Deneudt, Klaas; Eliason, Erika; Kraberg, Alexandra; Nakaoka, Masahiro; Pugnetti, Alessandra; Ragueneau, Olivier; Scharfe, Mirco; Soltwedel, Thomas; Sosik, Heidi M.; Stanisci, Angela; Stefanova, Kremena; Stephan, Pierre; Stier, Adrian; Wikner, Johan; Zingone, Adriana</t>
  </si>
  <si>
    <t>ILTER - The International Long-Term Ecological Research Network as a Platform for Global Coastal and Ocean Observation (vol 6, 527, 2019)</t>
  </si>
  <si>
    <t>climate change; marine ecosystems; ecology; EOVs; SWOT; DEIMS</t>
  </si>
  <si>
    <t>[Muelbert, Jose H.] Univ Fed Rio Grande, Inst Oceanog, Rio Grande, Brazil; [Muelbert, Jose H.] Univ Tasmania, Inst Marine Sci &amp; Antarctic Studies, Hobart, Tas, Australia; [Nidzieko, Nicholas J.; Eliason, Erika; Stier, Adrian] Univ Calif Santa Barbara, Dept Geog, Santa Barbara, CA 93106 USA; [Nidzieko, Nicholas J.; Eliason, Erika; Stier, Adrian] Univ Calif Santa Barbara, Inst Marine Sci, Santa Barbara, CA 93106 USA; [Acosta, Alicia T. R.] Roma Tre Univ, Dept Sci, Rome, Italy; [Beaulieu, Stace E.; Sosik, Heidi M.] Woods Hole Oceanog Inst, Dept Biol, Woods Hole, MA 02543 USA; [Bernardino, Angelo F.] Univ Fed Espirito Santo, Dept Oceanog, Grp Ecol Bent, Vitoria, ES, Brazil; [Boikova, Elmira] Univ Latvia, Inst Biol, Marine Ecol Lab, Riga, Latvia; [Bornman, Thomas G.] South African Environm Observat Network, Elwandle Coastal Node, Port Elizabeth, South Africa; [Bornman, Thomas G.] Nelson Mandela Univ, Coastal &amp; Marine Res Inst, Port Elizabeth, South Africa; [Cataletto, Bruno] Ist Nazl Oceanog &amp; Geofis Sperimentale, Trieste, Italy; [Deneudt, Klaas] Flanders Marine Inst, Oostende, Belgium; [Kraberg, Alexandra; Soltwedel, Thomas] Helmholtz Ctr Polar &amp; Marine Res, Alfred Wegener Inst, Bremerhaven, Germany; [Nakaoka, Masahiro] Hokkaido Univ, Field Sci Ctr Northern Biosphere, Akkeshi Marine Stn, Sapporo, Hokkaido, Japan; [Pugnetti, Alessandra] CNR, Inst Marine Sci, Venice, Italy; [Ragueneau, Olivier] Inst Univ Europeen Mer, Lab Sci Environm Marin, LTSER Zone Atelier Brest Iroise, Plouzane, France; [Scharfe, Mirco] Helmholtz Ctr Polar &amp; Marine Res, Alfred Wegener Inst, Biol Anstalt Helgoland, Bremerhaven, Germany; [Stanisci, Angela] Univ Molise, Dipartimento Biosci &amp; Terr, Termoli, Italy; [Stefanova, Kremena] Bulgarian Acad Sci, Inst Oceanol, Varna, Bulgaria; [Stephan, Pierre] Inst Univ Europeen Mer, CNRS, Lab LETG, LTSER Zone Atelier Brest Iroise, Plouzane, France; [Wikner, Johan] Umea Univ, Umea Marine Sci Ctr, Umea, Sweden; [Zingone, Adriana] Stn Zool Anton Dohrn, Naples, Italy</t>
  </si>
  <si>
    <t>Universidade Federal do Rio Grande; University of Tasmania; University of California System; University of California Santa Barbara; University of California System; University of California Santa Barbara; Roma Tre University; Italfarmaco; Woods Hole Oceanographic Institution; Universidade Federal do Espirito Santo; University of Latvia; National Research Foundation - South Africa; South African Environmental Observation Network (SAEON); Nelson Mandela University; Istituto Nazionale di Oceanografia e di Geofisica Sperimentale; Helmholtz Association; Alfred Wegener Institute, Helmholtz Centre for Polar &amp; Marine Research; Hokkaido University; Consiglio Nazionale delle Ricerche (CNR); Istituto di Scienze Marine (ISMAR-CNR); Universite de Bretagne Occidentale; Institut Universitaire Europeen de la Mer (IUEM); Centre National de la Recherche Scientifique (CNRS); Ifremer; Institut de Recherche pour le Developpement (IRD); Helmholtz Association; Alfred Wegener Institute, Helmholtz Centre for Polar &amp; Marine Research; University of Molise; Bulgarian Academy of Sciences; Centre National de la Recherche Scientifique (CNRS); Universite de Bretagne Occidentale; Institut Universitaire Europeen de la Mer (IUEM); Umea University; Stazione Zoologica Anton Dohrn di Napoli</t>
  </si>
  <si>
    <t>Muelbert, JH (corresponding author), Univ Fed Rio Grande, Inst Oceanog, Rio Grande, Brazil.;Muelbert, JH (corresponding author), Univ Tasmania, Inst Marine Sci &amp; Antarctic Studies, Hobart, Tas, Australia.</t>
  </si>
  <si>
    <t>jmuelbert@furg.br</t>
  </si>
  <si>
    <t>Soltwedel, Thomas/P-1852-2016; Bernardino, Angelo Fraga/C-6921-2012; Nidzieko, Nicholas J/G-1442-2013; Bornman, Thomas George/V-7794-2019; Stanisci, Angela/F-4725-2012; Deneudt, Klaas/ABI-1255-2020; Pugnetti, Alessandra/AAX-3984-2020; Acosta, Alicia T. R./E-3653-2012; Wikner, Johan/E-3624-2019; Beaulieu, Stace E/C-8526-2013; Muelbert, Jose H/J-5110-2014; Zingone, Adriana/E-4518-2010</t>
  </si>
  <si>
    <t>Soltwedel, Thomas/0000-0002-8214-5937; Bernardino, Angelo Fraga/0000-0002-1838-4597; Bornman, Thomas George/0000-0003-1868-479X; Deneudt, Klaas/0000-0002-8559-3508; Acosta, Alicia T. R./0000-0001-6572-3187; Wikner, Johan/0000-0001-6061-8257; Muelbert, Jose H/0000-0002-2319-2469; Nakaoka, Masahiro/0000-0002-5722-3585; Nidzieko, Nicholas/0000-0003-4475-1044; CATALETTO, Bruno/0000-0001-8708-1314; Stanisci, Angela/0000-0002-5302-0932; Zingone, Adriana/0000-0001-5946-6532</t>
  </si>
  <si>
    <t>10.3389/fmars.2019.00819</t>
  </si>
  <si>
    <t>KG8MV</t>
  </si>
  <si>
    <t>WOS:000510205400001</t>
  </si>
  <si>
    <t>Gil, DG; Zaixso, HE; Tolosano, JA</t>
  </si>
  <si>
    <t>Gil, Damian G.; Zaixso, Hector E.; Tolosano, Javier A.</t>
  </si>
  <si>
    <t>Sex-specific differences in gonopore and gonadal growth trajectories in the brooding sea urchin, Abatus cavernosus (Spatangoida)</t>
  </si>
  <si>
    <t>INVERTEBRATE BIOLOGY</t>
  </si>
  <si>
    <t>allocation; dimorphism; Echinodermata; parental care; reproduction</t>
  </si>
  <si>
    <t>BIOCHEMICAL-COMPOSITION; ANTARCTIC ECHINOIDS; REPRODUCTIVE EFFORT; DEEP-SEA; ECHINODERMATA; DIMORPHISM; EGGS; SCHIZASTERIDAE; SHACKLETONI; REGRESSION</t>
  </si>
  <si>
    <t>The heart urchin Abatus cavernosus shows sexual dimorphism characterized by the development of external brood pouches and the enlargement of gonopores in brooding females. Relationships between body size, gonopore size, and gonadal maturation in each sex were examined for inflection points using piecewise regression models (PRM). Opening of the gonopore occurred at 15.5 mm test length. Inflection points in the gonadal growth and gonopore diameter trajectories were clustered at smaller sizes in males (23 and 24.2 mm, respectively) than in females (25.1 and 25.9 mm), indicating sex-specific differences in sexual maturation. Gonopore growth showed positive allometry at pre-adult stages of development in both sexes, but isometry and negative allometry in adult females and males, respectively. Gonadal growth was initiated at smaller sizes and proceeded at a higher rate with increasing body size in males than in females. Identification of inflection points in gonopore and gonadal growth trajectories, using objective PRM, allows the determination of life stages and sexual maturation for individuals, thus providing a complementary tool for population studies.</t>
  </si>
  <si>
    <t>[Gil, Damian G.; Zaixso, Hector E.; Tolosano, Javier A.] UNPSJB, IDC, Ruta 1,Km 4, RA-9000 Comodoro Rivadavia, Argentina; [Gil, Damian G.; Tolosano, Javier A.] UNPSJB, FCNyCS, Dept Biol &amp; Ambiente, Comodoro Rivadavia, Argentina</t>
  </si>
  <si>
    <t>Gil, DG (corresponding author), UNPSJB, IDC, Ruta 1,Km 4, RA-9000 Comodoro Rivadavia, Argentina.</t>
  </si>
  <si>
    <t>gil_damian@hotmail.com</t>
  </si>
  <si>
    <t>Gil, Damian Gaspar/ABF-8094-2021</t>
  </si>
  <si>
    <t>Gil, Damian Gaspar/0000-0002-8084-2181</t>
  </si>
  <si>
    <t>1077-8306</t>
  </si>
  <si>
    <t>1744-7410</t>
  </si>
  <si>
    <t>INVERTEBR BIOL</t>
  </si>
  <si>
    <t>Invertebr. Biol.</t>
  </si>
  <si>
    <t>e12278</t>
  </si>
  <si>
    <t>10.1111/ivb.12278</t>
  </si>
  <si>
    <t>KW2JA</t>
  </si>
  <si>
    <t>WOS:000509797800001</t>
  </si>
  <si>
    <t>Hieronymus, M; Kalén, O</t>
  </si>
  <si>
    <t>Hieronymus, Magnus; Kalen, Ola</t>
  </si>
  <si>
    <t>Sea-level rise projections for Sweden based on the new IPCC special report: The ocean and cryosphere in a changing climate</t>
  </si>
  <si>
    <t>Extreme sea levels; Sea-level rise; SROCC; Sweden</t>
  </si>
  <si>
    <t>EXTREME SEA; GREENLAND; VARIABILITY; ANTARCTICA; SCENARIOS; EUROPE; MELT</t>
  </si>
  <si>
    <t>New sea-level rise projections for Sweden are presented. Compared to earlier projections, we have here, more carefully, taken regional variations in sea-level rise into consideration. The better treatment of regional variations leads to lower sea-level rise projections for Sweden. However, recent research has also shown that Antarctic ice loss, in high emission scenarios, could be greater than what was believed earlier. Taking also this into account, we find a near cancellation between the increased Antarctic contribution and the decrease owing to the better treatment of spatial inhomogeneities. Sweden's sensitivity to melt from Antarctica and Greenland is also estimated using a new set of sea-level fingerprint kernels, and the sensitivity to melt from Greenland is found to be weak. To illustrate the influence mean sea-level rise has on extreme sea levels, it is also shown how the return period of sea-level extremes changes as a function of time owing to mean sea-level rise in the different projections.</t>
  </si>
  <si>
    <t>[Hieronymus, Magnus] Swedish Meteorol &amp; Hydrol Inst, Res Dept, Norrkoping, Sweden; [Kalen, Ola] Swedish Meteorol &amp; Hydrol Inst, Dept Societal Serv, Norrkoping, Turkey</t>
  </si>
  <si>
    <t>Swedish Meteorological &amp; Hydrological Institute</t>
  </si>
  <si>
    <t>Hieronymus, M (corresponding author), Swedish Meteorol &amp; Hydrol Inst, Res Dept, Norrkoping, Sweden.</t>
  </si>
  <si>
    <t>magnus.hieronymus@smhi.se; ola.kalen@smhi.se</t>
  </si>
  <si>
    <t>Kalen, Ola/0000-0002-0542-7738</t>
  </si>
  <si>
    <t>10.1007/s13280-019-01313-8</t>
  </si>
  <si>
    <t>MW4EP</t>
  </si>
  <si>
    <t>WOS:000515700700002</t>
  </si>
  <si>
    <t>Hogan, KA; Jakobsson, M; Mayer, LA; Reilly, B; Jennings, AE; Stoner, JS; Nielsen, T; Andresen, KJ; Normark, E; Heirman, KA; Kamla, E; Jerram, K; Stranne, C; Mix, A</t>
  </si>
  <si>
    <t>Hogan, Kelly A.; Jakobsson, Martin; Mayer, Larry A.; Reilly, Brendan; Jennings, Anne E.; Stoner, Joseph S.; Nielsen, Tove; Andresen, Katrine J.; Normark, Egon; Heirman, Katrien A.; Kamla, Elina; Jerram, Kevin; Stranne, Christian; Mix, Alan</t>
  </si>
  <si>
    <t>Glacial sedimentation, fluxes and erosion rates associated with ice retreat in Petermann Fjord and Nares Strait, north-west Greenland</t>
  </si>
  <si>
    <t>POSTGLACIAL MASS MOVEMENTS; GLACIMARINE SEDIMENTATION; EAST GREENLAND; GROUNDING-LINE; DEPOSITIONAL-ENVIRONMENTS; LAST DEGLACIATION; INNUITIAN ICE; SHEET RETREAT; BARENTS SEA; STREAM</t>
  </si>
  <si>
    <t>Petermann Fjord is a deep ( &gt; 1000 m) fjord that incises the coastline of north-west Greenland and was carved by an expanded Petermann Glacier, one of the six largest outlet glaciers draining the modern Greenland Ice Sheet (GrIS). Between 5 and 70 m of unconsolidated glacigenic material infills in the fjord and adjacent Nares Strait, deposited as the Petermann and Nares Strait ice streams retreated through the area after the Last Glacial Maximum. We have investigated the deglacial deposits using seismic stratigraphic techniques and have correlated our results with high-resolution bathymetric data and core lithofacies. We identify six seismoacoustic facies in more than 3500 line kilometres of subbottom and seismic-reflection profiles throughout the fjord, Hall Basin and Kennedy Channel. Seismo-acoustic facies relate to bedrock or till surfaces (Facies I), subglacial deposition (Facies II), deposition from meltwater plumes and icebergs in quiescent glacimarine conditions (Facies III, IV), deposition at grounded ice margins during stillstands in retreat (grounding-zone wedges; Facies V) and the redeposition of material downslope (Facies IV). These sediment units represent the total volume of glacial sediment delivered to the mapped marine environment during retreat. We calculate a glacial sediment flux for the former Petermann ice stream as 1080-1420 m(3) a(-1) per metre of ice stream width and an average deglacial erosion rate for the basin of 0.29-0.34 mm a(-1). Our deglacial erosion rates are consistent with results from Antarctic Peninsula fjord systems but are several times lower than values for other modern GrIS catchments. This difference is attributed to fact that large volumes of surface water do not access the bed in the Petermann system, and we conclude that glacial erosion is limited to areas overridden by streaming ice in this large outlet glacier setting. Erosion rates are also presented for two phases of ice retreat and confirm that there is significant variation in rates over a glacial-deglacial transition. Our new glacial sediment fluxes and erosion rates show that the Petermann ice stream was approximately as efficient as the palaeo-Jakobshavn Isbra at eroding, transporting and delivering sediment to its margin during early deglaciation.</t>
  </si>
  <si>
    <t>[Hogan, Kelly A.] NERC, British Antarctic Survey, Madingley Rd, Cambridge CB3 1ET, England; [Hogan, Kelly A.; Mayer, Larry A.; Jerram, Kevin] Univ New Hampshire, Ctr Coastal &amp; Ocean Mapping, Durham, NH 03824 USA; [Jakobsson, Martin; Stranne, Christian] Stockholm Univ, Dept Geol Sci, S-10691 Stockholm, Sweden; [Jakobsson, Martin; Stranne, Christian] Stockholm Univ, Bolin Ctr Climate Res, S-10691 Stockholm, Sweden; [Reilly, Brendan; Stoner, Joseph S.; Mix, Alan] Oregon State Univ, Coll Earth Ocean &amp; Atmospher Sci, Corvallis, OR 97331 USA; [Jennings, Anne E.] Univ Colorado, Inst Arctic &amp; Alpine Res, Boulder, CO 80309 USA; [Nielsen, Tove; Heirman, Katrien A.; Kamla, Elina] Geol Survey Denmark &amp; Greenland, Oster Voldgade 10, DK-1350 Copenhagen K, Denmark; [Andresen, Katrine J.; Normark, Egon] Aarhus Univ, Dept Geosci, Hoegh Guldbergs Gade 2, DK-8000 Aarhus C, Denmark; [Heirman, Katrien A.] Geol Survey Netherlands, TNO, Princetonlaan 6, NL-3584 CB Utrecht, Netherlands; [Kamla, Elina] Ramboll Management Consulting, Hannemanns Alle 53, DK-2300 Copenhagen S, Denmark</t>
  </si>
  <si>
    <t>UK Research &amp; Innovation (UKRI); Natural Environment Research Council (NERC); NERC British Antarctic Survey; University System Of New Hampshire; University of New Hampshire; Stockholm University; Stockholm University; Oregon State University; University of Colorado System; University of Colorado Boulder; Geological Survey Of Denmark &amp; Greenland; Aarhus University; Netherlands Organization Applied Science Research</t>
  </si>
  <si>
    <t>Hogan, KA (corresponding author), NERC, British Antarctic Survey, Madingley Rd, Cambridge CB3 1ET, England.;Hogan, KA (corresponding author), Univ New Hampshire, Ctr Coastal &amp; Ocean Mapping, Durham, NH 03824 USA.</t>
  </si>
  <si>
    <t>kelgan@bas.ac.uk</t>
  </si>
  <si>
    <t>Jakobsson, Martin/F-6214-2010; Jakobsson, Martin/JAN-6828-2023; stranne, christian/L-4382-2013; Andresen, Katrine Juul/A-5771-2012</t>
  </si>
  <si>
    <t>Mayer, Larry/0000-0003-1846-5140; Jennings, Anne/0000-0003-3176-2916; Reilly, Brendan/0000-0003-3666-4338; Jakobsson, Martin/0000-0002-9033-3559; Andresen, Katrine Juul/0000-0001-8029-3234</t>
  </si>
  <si>
    <t>National Science Foundation, Office of Polar Programs [1418053, 1417787, 1417784]; UK's Natural Environment Research Council; Visiting Scholar Program at the Center for Coastal and Ocean Mapping at the University of New Hampshire; Swedish Research Council (VR); Swedish Polar Research Secretariat; US NSF Polar Program; NERC [bas0100030] Funding Source: UKRI; Directorate For Geosciences; Office of Polar Programs (OPP) [1417784, 1418053] Funding Source: National Science Foundation; Directorate For Geosciences; Office of Polar Programs (OPP) [1417787] Funding Source: National Science Foundation</t>
  </si>
  <si>
    <t>National Science Foundation, Office of Polar Programs(National Science Foundation (NSF)NSF - Directorate for Geosciences (GEO)); UK's Natural Environment Research Council(UK Research &amp; Innovation (UKRI)Natural Environment Research Council (NERC)); Visiting Scholar Program at the Center for Coastal and Ocean Mapping at the University of New Hampshire; Swedish Research Council (VR)(Swedish Research Council); Swedish Polar Research Secretariat; US NSF Polar Program; NERC(UK Research &amp; Innovation (UKRI)Natural Environment Research Council (NERC)); Directorate For Geosciences; Office of Polar Programs (OPP)(National Science Foundation (NSF)NSF - Directorate for Geosciences (GEO)); Directorate For Geosciences; Office of Polar Programs (OPP)(National Science Foundation (NSF)NSF - Directorate for Geosciences (GEO))</t>
  </si>
  <si>
    <t>This research has been supported by the National Science Foundation, Office of Polar Programs (grant nos. 1418053, 1417787, and 1417784). Kelly A. Hogan's time was supported by the British Antarctic Survey Polar Science for Planet Earth Programme funded by the UK's Natural Environment Research Council, as well as by the Visiting Scholar Program at the Center for Coastal and Ocean Mapping at the University of New Hampshire. Martin Jakobsson and his colleagues from Stockholm University were supported by a grant from the Swedish Research Council (VR). The Swedish Polar Research Secretariat and the US NSF Polar Program financed the operation of icebreaker Oden.</t>
  </si>
  <si>
    <t>JAN 28</t>
  </si>
  <si>
    <t>10.5194/tc-14-261-2020</t>
  </si>
  <si>
    <t>KG1SE</t>
  </si>
  <si>
    <t>WOS:000509720400001</t>
  </si>
  <si>
    <t>O'Hara, TD; Williams, A; Althaus, F; Ross, AS; Bax, NJ</t>
  </si>
  <si>
    <t>O'Hara, Timothy D.; Williams, Alan; Althaus, Franziska; Ross, Andrew S.; Bax, Nicholas J.</t>
  </si>
  <si>
    <t>Regional-scale patterns of deep seafloor biodiversity for conservation assessment</t>
  </si>
  <si>
    <t>DIVERSITY AND DISTRIBUTIONS</t>
  </si>
  <si>
    <t>benthos; conservation assessment; deep sea; key ecological features; rank abundance distribution</t>
  </si>
  <si>
    <t>GREAT-AUSTRALIAN-BIGHT; SPECIES RICHNESS; OVERTURNING CIRCULATION; DIVERSITY; OCEAN; ASSEMBLAGES; HYPOTHESIS; PREDICTION; DYNAMICS; PACIFIC</t>
  </si>
  <si>
    <t>Aim Mining and petroleum industries are exploring for resources in deep seafloor environments. Lease areas are often spatially aggregated and continuous over hundreds to thousands of kilometres. Sustainable development of these resources requires an understanding of the patterns of biodiversity at similar scales, yet these data are rarely available for the deep sea. Here, we compare biodiversity metrics and assemblage composition of epibenthic megafaunal samples from deep-sea benthic habitats from the Great Australian Bight (GAB), a petroleum exploration zone off southern Australia, to similar environments off eastern Australia. Location The Great Australian Bight (34-36 degrees S, 129-134 degrees E) and south-eastern (SE) and north-eastern (NE) Australian continental margins (23-42 degrees S, 149-155 degrees E) in depths of 1,900-5,000 m. Methods A species-sample matrix was constructed from invertebrate and fish megafauna collected from beam trawl samples across regions at lower bathyal (1,900-3,200 m) and abyssal (&gt;3,200 m) depths, and analysed using multivariate, rarefaction and model-based statistics. We modelled rank abundance distributions (RAD) against environmental factors to identify drivers of abundance, richness and evenness. Results Multivariate analyses showed regional and bathymetric assemblage structure across the region. There was an almost complete turnover of sponge fauna between the GAB and SE. SE samples had the highest total faunal abundance and species richness. RAD models linked total abundance and species richness to levels of carbon flux. Evenness was associated with seasonality of net primary production. Conclusions Significant assemblage structure at regional scales is reported for the first time at lower bathyal and abyssal depths in the southern Indo-Pacific region along latitudinal and longitudinal gradients. The GAB fauna was distinct from other studied areas. Relatively high species richness, previously reported from the GAB continental shelf, did not occur at lower bathyal or abyssal depths. Instead, the abundance, richness and evenness of the benthic fauna are linked to surface primary production, which is elevated off SE Australia.</t>
  </si>
  <si>
    <t>[O'Hara, Timothy D.] Museums Victoria, GPO Box 666, Melbourne, Vic 3001, Australia; [Williams, Alan; Althaus, Franziska; Bax, Nicholas J.] CSIRO, Oceans &amp; Atmosphere, Hobart, Tas, Australia; [Ross, Andrew S.] CSIRO, Energy, Kensington, WA, Australia; [Bax, Nicholas J.] Univ Tasmania, Inst Marine &amp; Antarctic Sci, Hobart, Tas, Australia</t>
  </si>
  <si>
    <t>Melbourne Genomics Health Alliance; Commonwealth Scientific &amp; Industrial Research Organisation (CSIRO); Commonwealth Scientific &amp; Industrial Research Organisation (CSIRO); University of Tasmania</t>
  </si>
  <si>
    <t>O'Hara, TD (corresponding author), Museums Victoria, GPO Box 666, Melbourne, Vic 3001, Australia.</t>
  </si>
  <si>
    <t>tohara@museum.vic.gov.au</t>
  </si>
  <si>
    <t>; Althaus, Franziska/E-4660-2017; Bax, Nicholas/A-2321-2012</t>
  </si>
  <si>
    <t>O'Hara, Timothy/0000-0003-0885-6578; Althaus, Franziska/0000-0002-5336-4612; Bax, Nicholas/0000-0002-9697-4963</t>
  </si>
  <si>
    <t>Australian Government's National Environmental Science Program (NESP)</t>
  </si>
  <si>
    <t>Australian Government's National Environmental Science Program (NESP)(Australian Government)</t>
  </si>
  <si>
    <t>1366-9516</t>
  </si>
  <si>
    <t>1472-4642</t>
  </si>
  <si>
    <t>DIVERS DISTRIB</t>
  </si>
  <si>
    <t>Divers. Distrib.</t>
  </si>
  <si>
    <t>10.1111/ddi.13034</t>
  </si>
  <si>
    <t>KS3VN</t>
  </si>
  <si>
    <t>WOS:000509637300001</t>
  </si>
  <si>
    <t>Ouisse, T; Day, E; Laville, L; Hendrickx, F; Convey, P; Renault, D</t>
  </si>
  <si>
    <t>Ouisse, T.; Day, E.; Laville, L.; Hendrickx, F.; Convey, P.; Renault, D.</t>
  </si>
  <si>
    <t>Effects of elevational range shift on the morphology and physiology of a carabid beetle invading the sub-Antarctic Kerguelen Islands</t>
  </si>
  <si>
    <t>LINKING CLIMATE-CHANGE; MERIZODUS-SOLEDADINUS; BODY-SIZE; BIOLOGICAL INVASIONS; STATISTICAL-MODELS; ADULT SIZE; RESPONSES; IMPACTS; LIFE; VEGETATION</t>
  </si>
  <si>
    <t>Climatic changes can induce geographic expansion and altitudinal shifts in the distribution of invasive species by offering more thermally suitable habitats. At the remote sub-Antarctic Kerguelen Islands, the predatory insect Merizodus soledadinus (Coleoptera: Carabidae), introduced in 1913, rapidly invaded coastal habitats. More recent colonisation of higher elevation habitats by this species could be underlain by their increased thermal suitability as the area has warmed. This study compared the effect of elevational range shift on the morphology and physiology of adult M. soledadinus sampled along two altitudinal transects (from the foreshore to 250m a.s.l.) and a horizontal lowland transect orthogonal to the seashore (400m length). Although high inter-individual and inter-transect variations in the traits examined were present, we observed that body mass of males and females tended to decrease with elevation, and that triglyceride contents decreased with distance from the shore. Moreover, protein contents of females as well as those of 26 metabolites were influenced significantly by distance to the foreshore. These results suggest that future climate change at the Kerguelen Islands will further assist the colonisation of lowland inland and higher altitude habitats by this aggressively invasive predator, by making previously sub-optimal habitats progressively more suitable.</t>
  </si>
  <si>
    <t>[Ouisse, T.; Day, E.; Laville, L.; Renault, D.] Univ Rennes 1, UMR CNRS Ecobio 6553, 263 Ave Gal Leclerc, F-35042 Rennes, France; [Hendrickx, F.] Univ Ghent, Dept Biol, Terr Ecol Unit, KL Ledeganckstr 35, B-9000 Ghent, Belgium; [Hendrickx, F.] Royal Belgian Inst Nat Sci, Vautierstr 29, B-1000 Brussels, Belgium; [Convey, P.] British Antarctic Survey, Nat Environm Res Council, Madingley Rd, Cambridge CB3 0ET, England; [Renault, D.] Inst Univ France, 1 Rue Descartes, F-75231 Paris 05, France</t>
  </si>
  <si>
    <t>Centre National de la Recherche Scientifique (CNRS); Universite de Rennes; Ghent University; Royal Belgian Institute of Natural Sciences; UK Research &amp; Innovation (UKRI); Natural Environment Research Council (NERC); NERC British Antarctic Survey; Institut Universitaire de France</t>
  </si>
  <si>
    <t>Renault, D (corresponding author), Univ Rennes 1, UMR CNRS Ecobio 6553, 263 Ave Gal Leclerc, F-35042 Rennes, France.;Renault, D (corresponding author), Inst Univ France, 1 Rue Descartes, F-75231 Paris 05, France.</t>
  </si>
  <si>
    <t>david.renault@univ-rennes1.fr</t>
  </si>
  <si>
    <t>RENAULT, David/0000-0003-3644-1759</t>
  </si>
  <si>
    <t>InEE-CNRS (Enviromics call, 'ALIENS'; Zone Atelier Antarctique et Subantarctique); French Polar Institute (IPEV) [136]; NERC; NERC [bas0100036] Funding Source: UKRI</t>
  </si>
  <si>
    <t>InEE-CNRS (Enviromics call, 'ALIENS'; Zone Atelier Antarctique et Subantarctique); French Polar Institute (IPEV); NERC(UK Research &amp; Innovation (UKRI)Natural Environment Research Council (NERC)); NERC(UK Research &amp; Innovation (UKRI)Natural Environment Research Council (NERC))</t>
  </si>
  <si>
    <t>The authors wish to thank Maxime Dahirel for statistical support and advice, and to the helpful French Polar Institute (IPEV) logistics team that greatly assisted field work. This research was supported by InEE-CNRS (Enviromics call, 'ALIENS'; Zone Atelier Antarctique et Subantarctique), and the French Polar Institute (IPEV, program 136 'Subanteco'). Metabolic analyses were performed using the facilities from the PLAY platform (UMR CNRS Ecobio, Rennes, France). Peter Convey is supported by NERC core funding to the British Antarctic Survey's 'Biodiversity, Evolution and Adaptation' Team.</t>
  </si>
  <si>
    <t>JAN 27</t>
  </si>
  <si>
    <t>10.1038/s41598-020-57868-0</t>
  </si>
  <si>
    <t>NA7LA</t>
  </si>
  <si>
    <t>WOS:000559997100011</t>
  </si>
  <si>
    <t>Russo, NJ; Robertson, M; MacKenzie, R; Goffinet, B; Jiménez, JE</t>
  </si>
  <si>
    <t>Russo, Nicholas J.; Robertson, Michael; MacKenzie, Roy; Goffinet, Bernard; Jimenez, Jaime E.</t>
  </si>
  <si>
    <t>Evidence of targeted consumption of mosses by birds in sub-Antarctic South America</t>
  </si>
  <si>
    <t>Attagis; barcode; bryophyte; Chloephaga; diet; endozoochory; sub-Antarctic</t>
  </si>
  <si>
    <t>FRAGMENTS; GEESE</t>
  </si>
  <si>
    <t>Bryophyte consumption is uncommon among bird species globally and is often presumed incidental. We sought to determine whether herbivorous bird species of the high Andes, including the white-bellied seedsnipe (Attagis malouinus) and Chloephaga geese (C. picta and C. poliocephala), consume bryophytes, and if so, how frequently. We collected 26 seedsnipe and 22 goose droppings from alpine and sub-alpine habitats of Navarino Island, Chile and examined their contents for bryophyte diaspores. We detected bryophyte fragments in 84.6% and 90.9% of seedsnipe and Chloephaga goose faecal samples, respectively. We also extracted DNA from three bryophyte fragments isolated from goose droppings and sequenced three chloroplast loci for each sample. We inferred through a barcoding analysis that at least one species of Chloephaga goose consumes Polytrichum strictum and Notoligotrichum trichodon. The composition of 11 collected goose droppings was &gt;50% Polytrichaceae bryophyte fragments, suggesting that at least one Chloephaga goose species foraged deliberately on moss species of this family. These new observations suggest that bryophytes are part of the diet of some high Andean birds and that birds might disperse bryophytes internally - via endozoochory - in the sub-Antarctic.</t>
  </si>
  <si>
    <t>[Russo, Nicholas J.; Goffinet, Bernard] Univ Connecticut, Dept Ecol &amp; Evolutionary Biol, Storrs, CT 06269 USA; [Robertson, Michael; Jimenez, Jaime E.] Univ North Texas, Dept Biol Sci, Denton, TX 76203 USA; [MacKenzie, Roy] Univ Magallanes, Sub Antarctic Biocultural Conservat Program, Puerto Williams, Chile; [MacKenzie, Roy] Pontificia Univ Catolica Chile, Santiago, Chile; [Jimenez, Jaime E.] Adv Environm Res Inst, Denton, TX USA; [Jimenez, Jaime E.] Univ Magallanes, Punta Arenas, Chile; Univ Calif Los Angeles, Dept Ecol &amp; Evolutionary Biol, 621 Charles E Young Dr South, Los Angeles, CA 90095 USA</t>
  </si>
  <si>
    <t>University of Connecticut; University of North Texas System; University of North Texas Denton; Universidad de Magallanes; Pontificia Universidad Catolica de Chile; Universidad de Magallanes; University of California System; University of California Los Angeles</t>
  </si>
  <si>
    <t>Russo, NJ (corresponding author), Univ Connecticut, Dept Ecol &amp; Evolutionary Biol, Storrs, CT 06269 USA.</t>
  </si>
  <si>
    <t>nickrusso@g.ucla.edu</t>
  </si>
  <si>
    <t>Mackenzie, Roy/AAU-7621-2020; Jimenez, Jaime E./AAO-7531-2020; Russo, Nicholas/W-4693-2018</t>
  </si>
  <si>
    <t>Mackenzie, Roy/0000-0001-6620-1532; Russo, Nicholas/0000-0002-7055-8056; Robertson, Michael W/0000-0002-1312-6820; Goffinet, Bernard/0000-0002-2754-3895</t>
  </si>
  <si>
    <t>National Science Foundation International Research Experience for Students [1658651]; University of Connecticut Office of Undergraduate Research Supply and Ecology Award; University of Connecticut Office of Evolutionary Biology Katie Bu Award; University of North Texas Advanced Environmental Research Institute; Office Of The Director; Office Of Internatl Science &amp;Engineering [1658651] Funding Source: National Science Foundation</t>
  </si>
  <si>
    <t>National Science Foundation International Research Experience for Students(National Science Foundation (NSF)); University of Connecticut Office of Undergraduate Research Supply and Ecology Award; University of Connecticut Office of Evolutionary Biology Katie Bu Award; University of North Texas Advanced Environmental Research Institute; Office Of The Director; Office Of Internatl Science &amp;Engineering(National Science Foundation (NSF)NSF - Office of the Director (OD))</t>
  </si>
  <si>
    <t>This research was funded by National Science Foundation International Research Experience for Students 1658651 'Cross-cutting interdisciplinary research and integration of ecology and biocultural conservation in the world's southernmost forests', the University of Connecticut Office of Undergraduate Research Supply and Ecology and Evolutionary Biology Katie Bu Awards and the University of North Texas Advanced Environmental Research Institute. We thank Tamara Contador and Patricio Arce for providing laboratory space and equipment. Sincere thanks to Charlie Delavoi for advice and support during molecular work. We are grateful to William Buck (NY) for providing bryophyte specimens we used to generate reference DNA sequences. We thank Yang Liu for developing the primers used in this study. We thank Omar Barroso, Jose Sanchez, Daniela Salazar, Lucas Mu~noz and Javiera Malebran for assistance in data collection.</t>
  </si>
  <si>
    <t>10.1111/aec.12858</t>
  </si>
  <si>
    <t>LD0MP</t>
  </si>
  <si>
    <t>WOS:000509486500001</t>
  </si>
  <si>
    <t>Domeisen, DIV; Butler, AH; Charlton-Perez, AJ; Ayarzaguena, B; Baldwin, MP; Dunn-Sigouin, E; Furtado, JC; Garfinkel, CI; Hitchcock, P; Karpechko, AY; Kim, H; Knight, J; Lang, AL; Lim, EP; Marshall, A; Roff, G; Schwartz, C; Simpson, IR; Son, SW; Taguchi, M</t>
  </si>
  <si>
    <t>Domeisen, Daniela I. V.; Butler, Amy H.; Charlton-Perez, Andrew J.; Ayarzaguena, Blanca; Baldwin, Mark P.; Dunn-Sigouin, Etienne; Furtado, Jason C.; Garfinkel, Chaim I.; Hitchcock, Peter; Karpechko, Alexey Yu.; Kim, Hera; Knight, Jeff; Lang, Andrea L.; Lim, Eun-Pa; Marshall, Andrew; Roff, Greg; Schwartz, Chen; Simpson, Isla R.; Son, Seok-Woo; Taguchi, Masakazu</t>
  </si>
  <si>
    <t>The Role of the Stratosphere in Subseasonal to Seasonal Prediction: 1. Predictability of the Stratosphere</t>
  </si>
  <si>
    <t>SOUTHERN-HEMISPHERE STRATOSPHERE; NORTH-ATLANTIC WEATHER; ANTARCTIC OZONE HOLE; INTERANNUAL VARIABILITY; SUDDEN WARMINGS; POLAR VORTEX; PLANETARY-WAVES; ANNULAR MODES; LIFE-CYCLE; PART I</t>
  </si>
  <si>
    <t>The stratosphere has been identified as an important source of predictability for a range of processes on subseasonal to seasonal (S2S) time scales. Knowledge about S2S predictability within the stratosphere is however still limited. This study evaluates to what extent predictability in the extratropical stratosphere exists in hindcasts of operational prediction systems in the S2S database. The stratosphere is found to exhibit extended predictability as compared to the troposphere. Prediction systems with higher stratospheric skill tend to also exhibit higher skill in the troposphere. The analysis also includes an assessment of the predictability for stratospheric events, including early and midwinter sudden stratospheric warming events, strong vortex events, and extreme heat flux events for the Northern Hemisphere and final warming events for both hemispheres. Strong vortex events and final warming events exhibit higher levels of predictability as compared to sudden stratospheric warming events. In general, skill is limited to the deterministic range of 1 to 2 weeks. High-top prediction systems overall exhibit higher stratospheric prediction skill as compared to their low-top counterparts, pointing to the important role of stratospheric representation in S2S prediction models.</t>
  </si>
  <si>
    <t>[Domeisen, Daniela I. V.] Swiss Fed Inst Technol, Inst Atmospher &amp; Climate Sci, Zurich, Switzerland; [Butler, Amy H.] Cooperat Inst Res Environm Sci, Boulder, CO USA; [Butler, Amy H.] NOAA, Chem Sci Div, Boulder, CO USA; [Charlton-Perez, Andrew J.] Univ Reading, Dept Meteorol, Reading, Berks, England; [Ayarzaguena, Blanca] Univ Complutense Madrid, Dept Fis Tierra &amp; Astrofis, Madrid, Spain; [Ayarzaguena, Blanca] UCM, CSIC, Inst Geociencias, Madrid, Spain; [Baldwin, Mark P.] Univ Exeter, Global Syst Inst, Coll Engn Math &amp; Phys Sci, Exeter, Devon, England; [Baldwin, Mark P.] Univ Exeter, Dept Math, Exeter, Devon, England; [Dunn-Sigouin, Etienne] Univ Bergen, Geophys Inst, Bergen, Norway; [Dunn-Sigouin, Etienne] Bjerknes Ctr, Bergen, Norway; [Furtado, Jason C.] Univ Oklahoma, Sch Meteorol, Norman, OK 73019 USA; [Garfinkel, Chaim I.; Schwartz, Chen] Hebrew Univ Jerusalem, Fredy &amp; Nadine Herrmann Inst Earth Sci, Jerusalem, Israel; [Hitchcock, Peter] Cornell Univ, Dept Earth &amp; Atmospher Sci, Ithaca, NY USA; [Karpechko, Alexey Yu.] Finnish Meteorol Inst, Helsinki, Finland; [Kim, Hera; Son, Seok-Woo] Seoul Natl Univ, Sch Earth &amp; Environm Sci, Seoul, South Korea; [Knight, Jeff] Met Off Hadley Ctr, Exeter, Devon, England; [Lang, Andrea L.] SUNY Albany, Dept Atmospher &amp; Environm Sci, Albany, NY 12222 USA; [Lim, Eun-Pa; Marshall, Andrew; Roff, Greg] Bur Meteorol, Melbourne, Vic, Australia; [Simpson, Isla R.] NCAR, Climate &amp; Global Dynam Lab, Boulder, CO USA; [Taguchi, Masakazu] Aichi Univ Educ, Dept Earth Sci, Kariya, Aichi, Japan</t>
  </si>
  <si>
    <t>Swiss Federal Institutes of Technology Domain; ETH Zurich; National Oceanic Atmospheric Admin (NOAA) - USA; University of Reading; Complutense University of Madrid; Complutense University of Madrid; Consejo Superior de Investigaciones Cientificas (CSIC); CSIC-UCM - Instituto de Geociencias (IGEO); University of Exeter; University of Exeter; University of Bergen; Bjerknes Centre for Climate Research; University of Oklahoma System; University of Oklahoma - Norman; Hebrew University of Jerusalem; Cornell University; Finnish Meteorological Institute; Seoul National University (SNU); Met Office - UK; Hadley Centre; State University of New York (SUNY) System; State University of New York (SUNY) Albany; Bureau of Meteorology - Australia; National Center Atmospheric Research (NCAR) - USA; Aichi University Education</t>
  </si>
  <si>
    <t>Domeisen, DIV (corresponding author), Swiss Fed Inst Technol, Inst Atmospher &amp; Climate Sci, Zurich, Switzerland.</t>
  </si>
  <si>
    <t>daniela.domeisen@env.ethz.ch</t>
  </si>
  <si>
    <t>garfinkel, chaim I/AAA-1134-2020; Furtado, Jason/A-3459-2015; Domeisen, Daniela/J-2589-2015; Butler, Amy H/K-6190-2012; Son, Seok-Woo/A-8797-2013; Kim, Hera/ABC-9832-2021; Hitchcock, Peter/JLK-8563-2023; Charlton-Perez, Andrew/F-4079-2010; Karpechko, Alexey/JVN-9414-2024; Ayarzaguena, Blanca/L-7673-2018</t>
  </si>
  <si>
    <t>garfinkel, chaim I/0000-0001-7258-666X; Furtado, Jason/0000-0001-6580-2109; Domeisen, Daniela/0000-0002-1463-929X; Butler, Amy H/0000-0002-3632-0925; Kim, Hera/0000-0002-8036-9443; Hitchcock, Peter/0000-0001-8993-3808; Charlton-Perez, Andrew/0000-0001-8179-6220; Karpechko, Alexey/0000-0003-0902-0414; Dunn-Sigouin, Etienne/0000-0002-5130-064X; Lim, Eun-Pa/0000-0001-8273-5358; Lang, Andrea/0000-0002-7731-4038; Ayarzaguena, Blanca/0000-0003-3959-5673</t>
  </si>
  <si>
    <t>Swiss National Science Foundation [PP00P2_170523]; Ayudas para la contratacion de personal postdoctoral en formacion en docencia e investigacion en departamentos de la UCM from Universidad Complutense de Madrid; European Research Council starting Grant under the European Unions Horizon 2020 research and innovation programme [677756]; Academy of Finland [286298, 319397]; JSPS [15K05286]; NOAA [NA16OAR4310068]; NSF [1547814]; National Research Foundation of Korea (NRF) - Korean government (Ministry of Science and ICT) [2017R1E1A1A01074889]; NERC [NE/M006123/1, NE/C518206/1, NE/J015962/1] Funding Source: UKRI; Directorate For Geosciences; Div Atmospheric &amp; Geospace Sciences [1547814] Funding Source: National Science Foundation; Grants-in-Aid for Scientific Research [15K05286] Funding Source: KAKEN; Academy of Finland (AKA) [319397] Funding Source: Academy of Finland (AKA)</t>
  </si>
  <si>
    <t>Swiss National Science Foundation(Swiss National Science Foundation (SNSF)); Ayudas para la contratacion de personal postdoctoral en formacion en docencia e investigacion en departamentos de la UCM from Universidad Complutense de Madrid; European Research Council starting Grant under the European Unions Horizon 2020 research and innovation programme(Horizon 2020European Research Council (ERC)); Academy of Finland(Research Council of Finland); JSPS(Ministry of Education, Culture, Sports, Science and Technology, Japan (MEXT)Japan Society for the Promotion of Science); NOAA(National Oceanic Atmospheric Admin (NOAA) - USA); NSF(National Science Foundation (NSF)); National Research Foundation of Korea (NRF) - Korean government (Ministry of Science and ICT)(National Research Foundation of KoreaMinistry of Science, ICT &amp; Future Planning, Republic of Korea); NERC(UK Research &amp; Innovation (UKRI)Natural Environment Research Council (NERC)); Directorate For Geosciences; Div Atmospheric &amp; Geospace Sciences(National Science Foundation (NSF)NSF - Directorate for Geosciences (GEO)); Grants-in-Aid for Scientific Research(Ministry of Education, Culture, Sports, Science and Technology, Japan (MEXT)Japan Society for the Promotion of ScienceGrants-in-Aid for Scientific Research (KAKENHI)); Academy of Finland (AKA)</t>
  </si>
  <si>
    <t>The S2S model data were obtained from the ECMWF data portal (https://apps.ecmwf.int/datasets/data/s2s/).The ERA-Interim Reanalysis data was obtained from the ECMWF data portal at https://apps.ecmwf.int/datasets/data/interim-full-daily/.This work was initiated by the Stratospheric Network for the Assessment of Predictability (SNAP), an activity of SPARC within the World Climate Research Programme (WCRP). We acknowledge the scientific guidance of the WCRP to motivate this work, coordinated in the framework of SPARC. Funding by the Swiss National Science Foundation to D. D. through Project PP00P2_170523 is gratefully acknowledged. B. A. was funded by Ayudas para la contratacion de personal postdoctoral en formacion en docencia e investigacion en departamentos de la UCM from Universidad Complutense de Madrid. C. I. G. and C. S. were supported by a European Research Council starting Grant under the European Unions Horizon 2020 research and innovation programme (Grant Agreement 677756). A. Y. K. was funded by the Academy of Finland (Grants 286298 and 319397). The work by M. T. was supported by the JSPS Grant-in-Aid for Scientific Research (C)15K05286. A. L. L. contributed as part of the NOAA/MAPP S2S Prediction Task Force and was supported by NOAA Grant NA16OAR4310068 and NSF Award 1547814. S. S. was supported by the National Research Foundation of Korea (NRF) grant funded by the Korean government (Ministry of Science and ICT) (2017R1E1A1A01074889).</t>
  </si>
  <si>
    <t>e2019JD030920</t>
  </si>
  <si>
    <t>10.1029/2019JD030920</t>
  </si>
  <si>
    <t>KW3PW</t>
  </si>
  <si>
    <t>Green Published, Bronze, Green Accepted</t>
  </si>
  <si>
    <t>WOS:000521080000002</t>
  </si>
  <si>
    <t>Lemonnier, F; Madeleine, JB; Claud, C; Palerme, C; Genthon, C; L'Ecuyer, T; Wood, NB</t>
  </si>
  <si>
    <t>Lemonnier, F.; Madeleine, J. -B.; Claud, C.; Palerme, C.; Genthon, C.; L'Ecuyer, T.; Wood, N. B.</t>
  </si>
  <si>
    <t>CloudSat-Inferred Vertical Structure of Snowfall Over the Antarctic Continent</t>
  </si>
  <si>
    <t>RADAR OBSERVATIONS; PRECIPITATION; ICE; PLATEAU; CLIMATE</t>
  </si>
  <si>
    <t>Current global warming is causing significant changes in snowfall in polar regions, directly impacting the mass balance of the ice caps. The only water supply in Antarctica, precipitation, is poorly estimated from surface measurements. The onboard cloud-profiling radar of the CloudSat satellite provided the first real opportunity to estimate solid precipitation at continental scale. Based on CloudSat observations, we propose to explore the vertical structure of precipitation in Antarctica over the 2007-2010 period. A first division of this data set following a topographical approach (continent vs. peripheral regions, with a 2,250 m topographical criterion) shows a high snowfall rate (275 mm.yr(-1) at 1,200 m above ground level) with low relative seasonal variation (+/- 11%) over the peripheral areas. Over the plateau, the snowfall rate is low (34 mm.yr(-1) at 1,200 m above ground level) with a much larger relative seasonal variation (+/- 143%). A second study that follows a geographical division highlights the average vertical structure of precipitation and temperature depending on the regions and their interactions with topography. In particular, over ice shelves, we see a strong dependence of the distribution of snowfall on the sea ice coverage. Finally, the relationship between precipitation and temperature is analyzed and compared with a simple analytical relationship. This study highlights that precipitation is largely dependent on the advection of air masses along the topographic slopes with an average vertical wind of 0.02 m.s(-1). This provides new diagnostics to evaluate climate models with a three-dimensional approach of the atmospheric structure of precipitation.</t>
  </si>
  <si>
    <t>[Lemonnier, F.; Madeleine, J. -B.; Claud, C.; Genthon, C.] Sorbonne Univ, PSL Res Univ, Ecole Polytech, Ecole Normale Super,CNRS,IPSL,LMD, Paris, France; [Palerme, C.] Norwegian Meteorol Inst, Dev Ctr Weather Forecasting, Oslo, Norway; [L'Ecuyer, T.; Wood, N. B.] Univ Wisconsin, Dept Atmospher &amp; Ocean Sci, Madison, WI USA</t>
  </si>
  <si>
    <t>Universite PSL; Ecole Normale Superieure (ENS); Universite Paris Cite; Centre National de la Recherche Scientifique (CNRS); Ecole des Ponts ParisTech; Sorbonne Universite; Norwegian Meteorological Institute; University of Wisconsin System; University of Wisconsin Madison</t>
  </si>
  <si>
    <t>Lemonnier, F (corresponding author), Sorbonne Univ, PSL Res Univ, Ecole Polytech, Ecole Normale Super,CNRS,IPSL,LMD, Paris, France.</t>
  </si>
  <si>
    <t>florentin.lemonnier@lmd.jussieu.fr</t>
  </si>
  <si>
    <t>L'Ecuyer, Tristan S/E-5607-2012</t>
  </si>
  <si>
    <t>L'Ecuyer, Tristan S/0000-0002-7584-4836; Palerme, Cyril/0000-0003-1475-7496; Wood, Norman/0000-0001-8228-3910</t>
  </si>
  <si>
    <t>French National Research Agency [ANR-15-CE01-0003]; Agence Nationale de la Recherche (ANR) [ANR-15-CE01-0003] Funding Source: Agence Nationale de la Recherche (ANR)</t>
  </si>
  <si>
    <t>French National Research Agency(Agence Nationale de la Recherche (ANR)); Agence Nationale de la Recherche (ANR)(Agence Nationale de la Recherche (ANR))</t>
  </si>
  <si>
    <t>This work was supported by the French National Research Agency (Grant ANR-15-CE01-0003). CloudSat data is freely available via the CloudSat Data Processing Center (http://www.cloudsat.cira.colostate.edu/).The authors thank Karine Marquois and the IT department of the Laboratoire de Meteorologie Dynamique for the informatics support to generate the 3-D climatology. The authors thank Frederic Hourdin for his valuable advice. The authors thank Anna-Lea Albright, Margaux Valls, Luca Montabone, and Melanie Thiriet for the proofreading. The three-dimensional data set of CloudSat precipitation observations is available online (https://doi.pangaea.de/10.1594/PANGAEA.909434).</t>
  </si>
  <si>
    <t>e2019JD031399</t>
  </si>
  <si>
    <t>10.1029/2019JD031399</t>
  </si>
  <si>
    <t>WOS:000521080000009</t>
  </si>
  <si>
    <t>Cherezova, AA; Fedorov, GB; Raschke, EA; Rethemeyer, J; Bolshiyanov, DY; Yozhikov, IS; Spiridonov, IG; Bazhenova, EA; Sokolov, VT; Melles, M</t>
  </si>
  <si>
    <t>Cherezova, Anna A.; Fedorov, Grigory B.; Raschke, Elena A.; Rethemeyer, Janet; Bolshiyanov, Dmitry Y.; Yozhikov, Ilya S.; Spiridonov, Igor G.; Bazhenova, Evgenia A.; Sokolov, Vladimir T.; Melles, Martin</t>
  </si>
  <si>
    <t>Lateglacial and Holocene palaeoenvironments on Bolshevik Island (Severnaya Zemlya), Russian High Arctic</t>
  </si>
  <si>
    <t>BOREAS</t>
  </si>
  <si>
    <t>NAUK ICE CAP; LATE PLEISTOCENE; LAKE ELGYGYTGYN; CORE; CLIMATE; RECORD; VARIABILITY; ARCHIPELAGO; CHRONOLOGY; VEGETATION</t>
  </si>
  <si>
    <t>The late Quaternary climatic and environmental history of the Severnaya Zemlya Archipelago in the Russian High Arctic has been the focus of many palaeoenvironmental studies since the 1970s. However, the existing data are highly fragmentary and sometimes contradictory. New information concerning the archipelago's environmental history was derived from a 2.46-m-long sediment core from Lake Tvyordoe, located in the northwestern part of Bolshevik Island. The core was investigated by a multi-proxy approach that comprises radiocarbon dating as well as lithological, granulometrical, palynological and geochemical analyses. The results provide new insights into the vegetation history as well as changes in lake level, lake-ice cover, and water and sediment input since the Last Glacial Maximum (LGM). Fine-grained, laminated sediments at the core base, which were dated to c. 24.2 cal. ka BP, suggest lacustrine sedimentation under a permanent ice cover with low meltwater supply. This, along with a lack of glacial and glacial-lacustrine deposits, supports earlier assumptions that Bolshevik Island was not covered by the Barents-Kara Ice Sheet during the LGM. Furthermore, even the Mushketov Ice Cap, the closest ice mass to Lake Tvyordoe, did not expand from the denudation plateau to the lake. During the terminal Pleistocene, starting c. 14.5 cal. ka BP, warmer and wetter climate conditions resulted in higher sediment loads. The most favourable environmental conditions prevailed on Bolshevik Island throughout the Early and Middle Holocene (c. 11.7-6.5 cal. ka BP), when low shrub tundra associations with dwarf birch, willow and alder dominated the vegetation. After c. 10.0 cal. ka BP, a shift to climate drying occurred, which, after 6.5 cal. ka BP, was accompanied by a climate cooling. The Late Holocene climate, according to pollen data (suggesting sparse lichen-moss-grass cover) and relatively low total organic carbon (TOC) contents, was rather similar to that during the Lateglacial.</t>
  </si>
  <si>
    <t>[Cherezova, Anna A.; Fedorov, Grigory B.; Bazhenova, Evgenia A.] Sr Petersburg State Univ, Inst Earth Sci, Univ Skaya Emb 7-9, St Petersburg 199034, Russia; [Cherezova, Anna A.; Fedorov, Grigory B.; Bolshiyanov, Dmitry Y.; Yozhikov, Ilya S.; Sokolov, Vladimir T.] Arctic &amp; Antarctic Res Inst, Beringa St 38, St Petersburg 199397, Russia; [Raschke, Elena A.] Alfred Wegener Inst, Helmholtz Ctr Polar &amp; Marine Res, Thlegrafenberg A43, D-14473 Potsdam, Germany; [Rethemeyer, Janet; Melles, Martin] Univ Cologne, Inst Geol &amp; Mineral, Zulpicher Ste 49b, D-50674 Cologne, Germany; [Spiridonov, Igor G.] Russian Acad Sci, Ioffe Phys Tech Inst, Politekhnicheskaya St 26, St Petersburg 194021, Russia; [Spiridonov, Igor G.] Arctic &amp; Antarctic Res Inst, Otto Schmidt Lab Polar &amp; Marine Res, Beringa St 38, St Petersburg 199397, Russia</t>
  </si>
  <si>
    <t>Saint Petersburg State University; Arctic &amp; Antarctic Research Institute; Helmholtz Association; Alfred Wegener Institute, Helmholtz Centre for Polar &amp; Marine Research; University of Cologne; Russian Academy of Sciences; St. Petersburg Scientific Centre of the Russian Academy of Sciences; Ioffe Physical Technical Institute; Arctic &amp; Antarctic Research Institute</t>
  </si>
  <si>
    <t>Cherezova, AA (corresponding author), Sr Petersburg State Univ, Inst Earth Sci, Univ Skaya Emb 7-9, St Petersburg 199034, Russia.;Cherezova, AA (corresponding author), Arctic &amp; Antarctic Res Inst, Beringa St 38, St Petersburg 199397, Russia.</t>
  </si>
  <si>
    <t>a.a.cherezova@gmail.com</t>
  </si>
  <si>
    <t>Fedorov, Grigory/N-5788-2019; Cherezova, Anna A./R-7459-2017; Raschke, Elena A/M-9982-2016; Spiridonov, Igor/J-5605-2016; Melles, Martin/J-4070-2012; Jozhikov, Ilya/E-8747-2019; Rethemeyer, Janet/G-4019-2013; Bazhenova, Evgenia/G-1505-2015</t>
  </si>
  <si>
    <t>Fedorov, Grigory/0000-0003-2269-4501; Melles, Martin/0000-0003-0977-9463; Rethemeyer, Janet/0000-0001-6698-4186; Bazhenova, Evgenia/0000-0002-8092-702X; Cherezova, Anna/0000-0002-6199-8164</t>
  </si>
  <si>
    <t>Arctic and Antarctic Research Institute; German Research Foundation (DFG) [18.65.39.2017]; St. Petersburg State University (SPbU) [18.65.39.2017]</t>
  </si>
  <si>
    <t>Arctic and Antarctic Research Institute; German Research Foundation (DFG)(German Research Foundation (DFG)); St. Petersburg State University (SPbU)</t>
  </si>
  <si>
    <t>The logistics for the expedition to the Severnaya Zemlya Archipelago and all laboratory work were financially supported by the Arctic and Antarctic Research Institute and partly funded by a joint grant of the German Research Foundation (DFG) and the St. Petersburg State University (SPbU) (No. 18.65.39.2017). Roman K. Bulatov is acknowledged for his competent help in collecting the sediment core from Lake Tvyordoe. Antonina A. Chetverova and the team of the Otto Schmidt Laboratory for Polar and Marine Research are thanked for their invaluable help with the grain-size analysis of the lake sediments. We are grateful to the KOPPEN-Laboratory of the St. Petersburg State University and personally Dr Larisa A. Savelyeva for support in sample preparation for the pollen analysis. We owe much gratitude to Alexandra Raab and Georg Schwamborn for their constructive scientific comments and suggestions on earlier versions of the manuscript. Special thanks go to the Editor-in-Chief, Jan A. Piotrowski, and the reviewers Jan Mangerud and Bernhard Diekmann, who critically read the manuscript and made helpful suggestions for improvements.</t>
  </si>
  <si>
    <t>0300-9483</t>
  </si>
  <si>
    <t>1502-3885</t>
  </si>
  <si>
    <t>Boreas</t>
  </si>
  <si>
    <t>10.1111/bor.12428</t>
  </si>
  <si>
    <t>KW0KG</t>
  </si>
  <si>
    <t>WOS:000508991400001</t>
  </si>
  <si>
    <t>Morales-Avila, JR; Gómez-Gutiérrez, J; Robinson, CJ</t>
  </si>
  <si>
    <t>Raul Morales-Avila, Jose; Gomez-Gutierrez, Jaime; Robinson, Carlos J.</t>
  </si>
  <si>
    <t>Krill Nyctiphanes simplex gonad affection associated with acute-intensity phyllobothriid plerocercoid infection</t>
  </si>
  <si>
    <t>PARASITOLOGY RESEARCH</t>
  </si>
  <si>
    <t>Euphausiid; Cestodes; Pathology of infection; Gonad invasion; Host response; Gulf of California</t>
  </si>
  <si>
    <t>ANTARCTIC KRILL; PSEUDOCOLLINIA-BRINTONI; EUPHAUSIA-SUPERBA; CESTODE</t>
  </si>
  <si>
    <t>This is the first acute-intensity record of helminths parasitizing the subtropical krill Nyctiphanes simplex Hansen, 1911. We briefly describe the pathology of infection of Phyllobothriidae gen. sp. plerocercoids parasitizing N. simplex in the Gulf of California. Infection occurred with a very low prevalence (P = 0.06%, n = 1563 specimens), although acute-intensity exceeded several hundred plerocercoids crowding the hemocoel in one female host. Nyctiphanes simplex showed inflammatory response of hemocyte-based infiltration, nodule formation, and presumptive melanization. Remarkably, cestodes invade and supplant the gonad, causing atretic oocytes and severe tissue destruction in the gonad likely leading to castration and cell death in connective tissue of the infected organs suggesting that acute-intensity infection exceeds the krill's reaction capacity. Thus, Phyllobothriidae gen. sp. negatively affects the host by depleting its fitness, leading to total castration to prevent/block host reproduction.</t>
  </si>
  <si>
    <t>[Raul Morales-Avila, Jose] Ecol &amp; Conservac Vida Silvestre AC ECOVIS, Entre Oaxaca &amp; Jalisco 3530, La Paz 23060, Baja California, Mexico; [Raul Morales-Avila, Jose; Gomez-Gutierrez, Jaime] Inst Politecn Nacl, Ctr Interdisciplinario Ciencias Marinas, Dept Plancton &amp; Ecol Marina, Av IPN S-N, La Paz 23096, Baja California, Mexico; [Raul Morales-Avila, Jose] Minist Fisheries Wealth, Fishery Qual Control Ctr, POB 427, Al Bustan Muscat 100, Oman; [Robinson, Carlos J.] Univ Nacl Autonoma Mexico, Inst Ciencias Mar &amp; Limnol, Ciudad Univ, Mexico City 04510, DF, Mexico</t>
  </si>
  <si>
    <t>Instituto Politecnico Nacional - Mexico; Universidad Nacional Autonoma de Mexico</t>
  </si>
  <si>
    <t>Morales-Avila, JR (corresponding author), Ecol &amp; Conservac Vida Silvestre AC ECOVIS, Entre Oaxaca &amp; Jalisco 3530, La Paz 23060, Baja California, Mexico.;Morales-Avila, JR; Gómez-Gutiérrez, J (corresponding author), Inst Politecn Nacl, Ctr Interdisciplinario Ciencias Marinas, Dept Plancton &amp; Ecol Marina, Av IPN S-N, La Paz 23096, Baja California, Mexico.</t>
  </si>
  <si>
    <t>jrmoralesa@gmail.com; jagomezg@ipn.mx</t>
  </si>
  <si>
    <t>Gomez-Gutierrez, Jaime/Q-8647-2018</t>
  </si>
  <si>
    <t>Gomez-Gutierrez, Jaime/0000-0003-2516-897X</t>
  </si>
  <si>
    <t>Centro Interdisciplinario de Ciencias Marinas-IPN [SIP 2007-2019]; CONACYT-FOSEMARNAT [2004-C01-144]; CONACYT-SAGARPA [2005-1-11717]; CONACYT Ciencia Basica [2012-178615-C01, 2016-01-284201]; Instituto de Ciencias del Mar y Limnologia-Universidad Nacional Autonoma de Mexico (CONACYT Ciencia Basica) [2010-152580-C01, PAPIIT-UNAM IN210622, IN202319, IN20066610-3]; CONACYT [176164]; BEIFI-IPN doctoral grants</t>
  </si>
  <si>
    <t>Centro Interdisciplinario de Ciencias Marinas-IPN; CONACYT-FOSEMARNAT; CONACYT-SAGARPA(Consejo Nacional de Ciencia y Tecnologia (CONACyT)); CONACYT Ciencia Basica; Instituto de Ciencias del Mar y Limnologia-Universidad Nacional Autonoma de Mexico (CONACYT Ciencia Basica); CONACYT(Consejo Nacional de Ciencia y Tecnologia (CONACyT)); BEIFI-IPN doctoral grants</t>
  </si>
  <si>
    <t>Research funds come from the Centro Interdisciplinario de Ciencias Marinas-IPN (SIP 2007-2019), CONACYT-FOSEMARNAT (2004-C01-144, 2016), CONACYT-SAGARPA (2005-1-11717), CONACYT Ciencia Basica (2012-178615-C01; 2016-01-284201), and Instituto de Ciencias del Mar y Limnologia-Universidad Nacional Autonoma de Mexico (CONACYT Ciencia Basica 2010-152580-C01; PAPIIT-UNAM IN210622, IN202319, IN20066610-3). J.R.M.A. was a recipient of CONACYT (176164) and BEIFI-IPN doctoral grants. J.G.G is a EDI-IPN and COFAA-IPN fellow, and J.G.G. and C.J.R. are SNI fellows.</t>
  </si>
  <si>
    <t>0932-0113</t>
  </si>
  <si>
    <t>1432-1955</t>
  </si>
  <si>
    <t>PARASITOL RES</t>
  </si>
  <si>
    <t>Parasitol. Res.</t>
  </si>
  <si>
    <t>10.1007/s00436-019-06549-7</t>
  </si>
  <si>
    <t>KU8RQ</t>
  </si>
  <si>
    <t>WOS:000509133600001</t>
  </si>
  <si>
    <t>Claudet, J; Bopp, L; Cheung, WWL; Devillers, R; Escobar-Briones, E; Haugan, P; Heymans, JJ; Masson-Delmotte, V; Matz-Lück, N; Miloslavich, P; Mullineaux, L; Visbeck, M; Watson, R; Zivian, AM; Ansorge, I; Araujo, M; Aricò, S; Bailly, D; Barbière, J; Barnerias, C; Bowler, C; Brun, V; Cazenave, A; Diver, C; Euzen, A; Gaye, AT; Hilmi, N; Ménard, F; Moulin, C; Muñoz, NP; Parmentier, R; Pebayle, A; Pörtner, HO; Osvaldina, S; Ricard, P; Santos, RS; Sicre, MA; Thiébault, S; Thiele, T; Troublé, R; Turra, A; Uku, J; Gaill, F</t>
  </si>
  <si>
    <t>Claudet, Joachim; Bopp, Laurent; Cheung, William W. L.; Devillers, Rodolphe; Escobar-Briones, Elva; Haugan, Peter; Heymans, Johanna J.; Masson-Delmotte, Valerie; Matz-Lueck, Nele; Miloslavich, Patricia; Mullineaux, Lauren; Visbeck, Martin; Watson, Robert; Zivian, Anna Milena; Ansorge, Isabelle; Araujo, Moacyr; Arico, Salvatore; Bailly, Denis; Barbiere, Julian; Barnerias, Cyrille; Bowler, Chris; Brun, Victor; Cazenave, Anny; Diver, Cameron; Euzen, Agathe; Gaye, Amadou Thierno; Hilmi, Nathalie; Menard, Frederic; Moulin, Cyril; Patricia Munoz, Norma; Parmentier, Remi; Pebayle, Antoine; Poertner, Hans-Otto; Osvaldina, Silva; Ricard, Patricia; Santos, Ricardo Serrao; Sicre, Marie-Alexandrine; Thiebault, Stephanie; Thiele, Torsten; Trouble, Romain; Turra, Alexander; Uku, Jacqueline; Gaill, Francoise</t>
  </si>
  <si>
    <t>A Roadmap for Using the UN Decade of Ocean Science for Sustainable Development in Support of Science, Policy, and Action</t>
  </si>
  <si>
    <t>BIODIVERSITY</t>
  </si>
  <si>
    <t>The health of the ocean, central to human well-being, has now reached a critical point. Most fish stocks are overexploited, climate change and increased dissolved carbon dioxide are changing ocean chemistry and disrupting species throughout food webs, and the fundamental capacity of the ocean to regulate the climate has been altered. However, key technical, organizational, and conceptual scientific barriers have prevented the identification of policy levers for sustainability and transformative action. Here, we recommend key strategies to address these challenges, including (1) stronger integration of sciences and (2) ocean-observing systems, (3) improved science-policy interfaces, (4) new partnerships supported by (5) a new ocean-climate finance system, and (6) improved ocean literacy and education to modify social norms and behaviors. Adopting these strategies could help establish ocean science as a key foundation of broader sustainability transformations.</t>
  </si>
  <si>
    <t>[Claudet, Joachim; Devillers, Rodolphe; Brun, Victor; Pebayle, Antoine] PSL Univ Paris, Natl Ctr Sci Res, CRIOBE, USR 3278 CNRS EPHE UPVD, Maison Oceans,195 Rue St Jacques, F-75005 Paris, France; [Bopp, Laurent; Masson-Delmotte, Valerie] PSL Univ Paris, Sorbonne Univ, Inst Pierre Simon Laplace, Lab Meteorol Dynam UMR 8539,CNRS,Ecole Normale Su, 24 Rue Lhomond, F-75005 Paris, France; [Cheung, William W. L.] Univ British Columbia, Inst Oceans &amp; Fisheries, Vancouver, BC, Canada; [Devillers, Rodolphe] Mem Univ Newfoundland, Dept Geog, St John, NF, Canada; [Escobar-Briones, Elva] Univ Nacl Autonoma Mexico, Inst Ciencias Mar &amp; Limnol, AP 70-305 Ciudad Univ, Mexico City 04510, DF, Mexico; [Haugan, Peter] Inst Marine Res, POB 1870 Nordnes, N-5817 Bergen, Norway; [Heymans, Johanna J.] European Marine Board, Wandelaarkaai 7, B-8400 Oostende, Belgium; [Heymans, Johanna J.] Scottish Assoc Marine Sci, Oban PA37 1QA, Argyll, Scotland; [Matz-Lueck, Nele] Univ Kiel, Walther Schucking Inst Int Law, Westring 400, D-24118 Kiel, Germany; [Miloslavich, Patricia] Univ Tasmania, Inst Marine &amp; Antarctic Studies, Hobart, Tas, Australia; [Miloslavich, Patricia] Commonwealth Sci &amp; Ind Res Org CSIRO, Hobart, Tas, Australia; [Miloslavich, Patricia] Univ Simon Bolivar, Dept Environm Studies, Caracas, Venezuela; [Mullineaux, Lauren] Woods Hole Oceanog Inst, Woods Hole, MA 02543 USA; [Visbeck, Martin] GEOMAR Helmholtz Ctr Ocean Res Kiel, Duesternbrooker Weg 20, D-24105 Kiel, Germany; [Visbeck, Martin] Univ Kiel, Duesternbrooker Weg 20, D-24105 Kiel, Germany; [Watson, Robert] Univ East Anglia, Tyndall Ctr, Norfolk, England; [Zivian, Anna Milena] Ocean Conservancy, 725 Front St 201, Santa Cruz, CA 95060 USA; [Ansorge, Isabelle] Univ Cape Town, Oceanog Dept, Residence Rd,Upper Campus, ZA-7001 Rondebosch, South Africa; [Araujo, Moacyr] Univ Fed Pernambuco UFPE, Dept Oceanog, Av Arquitetura S-N,Cidade Univ, BR-50740550 Recife, PE, Brazil; [Arico, Salvatore; Barbiere, Julian] United Nations Educ Sci &amp; Cultural Org UNESCO, Intergovt Oceanog Commiss, 7 Pl Fontenoy, F-75007 Paris, France; [Bailly, Denis] Univ Brest, UMR AMURE, 12 Rue Kergoat,CS 93837, F-29200 Brest 3, France; [Barnerias, Cyrille] French Agcy Biodivers AFB, 5 Allee Felix Nadar, F-94300 Vincennes, France; [Bowler, Chris] Univ PSL, Inst Biol IENS IBENS, Dept Biol, INSERM, F-75005 Paris, France; [Cazenave, Anny] Lab Etud Geophys &amp; Oceanog Spatiales LEGOS, Toulouse, France; [Diver, Cameron] Pacific Community, 95 Promenade Roger Laroque BP D5, Noumea 98848, New Caledonia; [Euzen, Agathe] Ecole Ponts ParisTech, LATTS, 6&amp;8 Ave Blaise Pascal Cite Descartes, F-77455 Marne La Vallee, France; [Gaye, Amadou Thierno] Cheikh Anta Diop Univ, Polytech Sch, Lab Atmospher &amp; Ocean Phys Simeon Fongang LPAO SF, Dakar, Senegal; [Hilmi, Nathalie] Ctr Sci Monaco, 8 Quai Antoine Ler, MC-98000 Monaco, Monaco; [Menard, Frederic] Univ Aix Marseille, Univ Toulon, MIO, CNRS,IRD, F-13288 Marseille, France; [Moulin, Cyril] Natl Ctr Sci Res, Inst Natl Sci Univers, Paris, France; [Patricia Munoz, Norma] Inst Politecn Nacl, Ctr Interdisciplinario Invest &amp; Estudios Medio Am, Mexico City, Mexico; [Parmentier, Remi] Varda Grp, Madrid, Spain; [Poertner, Hans-Otto] Helmholtz Ctr Polar &amp; Marine Res, Alfred Wegener Inst, Bremerhaven, Germany; [Osvaldina, Silva] Natl Inst Fisheries Res &amp; Dev INDP, Mindelo San Vicente, Cape Verde; [Ricard, Patricia] Inst Oceanograph Paul Ricard, Ile Embiez, F-83140 Six Fours la Plage, France; [Santos, Ricardo Serrao] Univ Azores, Dept Oceanog &amp; Fisheries, IMAR Ctr, Rua Cais Santa Cruz, P-9900 Horta, Portugal; [Sicre, Marie-Alexandrine] Sorbonne Univ UPMC, Univ Paris 06, LOCEAN Lab, CNRS IRD MNHN, Paris, France; [Sicre, Marie-Alexandrine] Univ Delaware, Sci Comm Ocean Res SCOR, Newark, DE 19716 USA; [Thiebault, Stephanie; Gaill, Francoise] Natl Ctr Sci Res, Inst Ecol &amp; Environm INEE CNRS, 3 Rue Michel Ange, F-75016 Paris, France; [Thiele, Torsten] Inst Adv Sustainabil Studies IASS, Berliner Str 130, D-14467 Potsdam, Germany; [Trouble, Romain] Tara Ocean Fdn, 8 Rue Prague, F-75012 Paris, France; [Turra, Alexander] Univ Sao Paulo, Inst Oceanog, Praga Oceanog,191,SI 112A Butanta, BR-05508120 Sao Paulo, SP, Brazil; [Uku, Jacqueline] Kenya Marine &amp; Fisheries Res Inst, POB 81651, Mombasa 80100, Kenya; [Gaill, Francoise] Ocean &amp; Climate Platform, 195 Rue St Jacques, F-75005 Paris, France</t>
  </si>
  <si>
    <t>Universite PSL; Ecole Pratique des Hautes Etudes (EPHE); Universite Paris Cite; Centre National de la Recherche Scientifique (CNRS); CNRS - National Institute for Earth Sciences &amp; Astronomy (INSU); Universite Paris Saclay; Universite PSL; Sorbonne Universite; University of British Columbia; Memorial University Newfoundland; Universidad Nacional Autonoma de Mexico; Institute of Marine Research - Norway; UHI Millennium Institute; University of Kiel; University of Tasmania; Commonwealth Scientific &amp; Industrial Research Organisation (CSIRO); Simon Bolivar University; Woods Hole Oceanographic Institution; Helmholtz Association; GEOMAR Helmholtz Center for Ocean Research Kiel; University of Kiel; University of Cape Town; Universidade Federal de Pernambuco; Universite de Bretagne Occidentale; Ifremer; Universite PSL; Institut National de la Sante et de la Recherche Medicale (Inserm); Universite Gustave-Eiffel; Centre National de la Recherche Scientifique (CNRS); Ecole des Ponts ParisTech; University Cheikh Anta Diop Dakar; Centre National de la Recherche Scientifique (CNRS); Aix-Marseille Universite; Institut de Recherche pour le Developpement (IRD); Instituto Politecnico Nacional - Mexico; Helmholtz Association; Alfred Wegener Institute, Helmholtz Centre for Polar &amp; Marine Research; Universidade dos Acores; Sorbonne Universite; Museum National d'Histoire Naturelle (MNHN); Institut de Recherche pour le Developpement (IRD); University of Delaware; Universidade de Sao Paulo</t>
  </si>
  <si>
    <t>Claudet, J (corresponding author), PSL Univ Paris, Natl Ctr Sci Res, CRIOBE, USR 3278 CNRS EPHE UPVD, Maison Oceans,195 Rue St Jacques, F-75005 Paris, France.</t>
  </si>
  <si>
    <t>joachim.claudet@cnrs.fr</t>
  </si>
  <si>
    <t>Visbeck, Martin H/B-6541-2016; Menard, Frederic/C-3913-2008; Masson-Delmotte, Valerie L/G-1995-2011; Marie-Alexandrine, Sicre/AAR-1516-2020; Devillers, Rodolphe/AAR-3509-2021; Claudet, Joachim/C-6335-2008; Cheung, William/F-5104-2013; Araujo, Moacyr/B-1167-2013; Turra, Alexander/G-1352-2012; Serrao Santos, Ricardo/B-3960-2008</t>
  </si>
  <si>
    <t>Visbeck, Martin H/0000-0002-0844-834X; Menard, Frederic/0000-0003-1162-660X; Masson-Delmotte, Valerie L/0000-0001-8296-381X; Marie-Alexandrine, Sicre/0000-0002-5015-1400; Devillers, Rodolphe/0000-0003-0784-847X; Claudet, Joachim/0000-0001-6295-1061; Ansorge, Isabelle/0000-0001-7071-8147; Araujo, Moacyr/0000-0001-8462-6446; Turra, Alexander/0000-0003-2225-8371; Brun, Victor/0000-0002-3137-3841; Uku, Dr. Jacqueline/0000-0002-2962-4146; Serrao Santos, Ricardo/0000-0002-2536-1369; Diver, Cameron/0000-0001-8891-6424; Bailly, Denis/0000-0002-6385-9897</t>
  </si>
  <si>
    <t>Intergovernmental Oceanographic Commission through the Global Ocean Observing System Biology and Ecosystems Panel; Australian Institute of Marine Science; Commonwealth Scientific and Industrial Research Organisation of Australia</t>
  </si>
  <si>
    <t>Weare grateful to the Ocean and Climate Platform and UNESCO for organizing the conference ``From COP 21 toward the United Nations Decade of Ocean Science for Sustainable Development (2021-2030).'' We thank the reviewers for very constructive inputs and Luna Merino for drafting a first version of Figure 5. Some recommendations from this work resulted from PEGASuS 2: Ocean Sustainability, a partnership between Future Earth, the National Center for Ecological Analysis and Synthesis, and Global Biodiversity Center at Colorado State University. This work received funding from the Intergovernmental Oceanographic Commission through the Global Ocean Observing System Biology and Ecosystems Panel, the Australian Institute of Marine Science, and the Commonwealth Scientific and Industrial Research Organisation of Australia.</t>
  </si>
  <si>
    <t>JAN 24</t>
  </si>
  <si>
    <t>10.1016/j.oneear.2019.10.012</t>
  </si>
  <si>
    <t>RU6FN</t>
  </si>
  <si>
    <t>WOS:000645242000010</t>
  </si>
  <si>
    <t>Huang, H; Gutjahr, M; Eisenhauer, A; Kuhn, G</t>
  </si>
  <si>
    <t>Huang, Huang; Gutjahr, Marcus; Eisenhauer, Anton; Kuhn, Gerhard</t>
  </si>
  <si>
    <t>No detectable Weddell Sea Antarctic Bottom Water export during the Last and Penultimate Glacial Maximum</t>
  </si>
  <si>
    <t>DEEP SOUTHERN-OCEAN; RARE-EARTH-ELEMENTS; ATMOSPHERIC CO2; ATLANTIC SECTOR; NORTH-ATLANTIC; DOUBLE SPIKE; PB ISOTOPES; CIRCULATION; PACIFIC; ND</t>
  </si>
  <si>
    <t>Weddell Sea-derived Antarctic Bottom Water (AABW) is one of the most important deep water masses in the Southern Hemisphere occupying large portions of the deep Southern Ocean (SO) today. While substantial changes in SO-overturning circulation were previously suggested, the state of Weddell Sea AABW export during glacial climates remains poorly understood. Here we report seawater-derived Nd and Pb isotope records that provide evidence for the absence of Weddell Sea-derived AABW in the Atlantic sector of the SO during the last two glacial maxima. Increasing delivery of Antarctic Pb to regions outside the Weddell Sea traced SO frontal displacements during both glacial terminations. The export of Weddell Sea-derived AABW resumed late during glacial terminations, coinciding with the last major atmospheric CO2 rise in the transition to the Holocene and the Eemian. Our new records lend strong support for a previously inferred AABW overturning stagnation event during the peak Eemian interglacial. The Southern Ocean plays a key role in glacial-interglacial transitions and today, Weddell Sea derived Antarctic Bottom Water is one of the most important deep water masses. New records show that in contrast to today, no Weddell Sea water was exported during the last two glacial maxima, providing new insights towards the condition of Antarctic Bottom Water formation in extreme climate states.</t>
  </si>
  <si>
    <t>[Huang, Huang; Gutjahr, Marcus; Eisenhauer, Anton] GEOMAR Helmholtz Ctr Ocean Res Kiel, Wischhofstr 1-3, D-24148 Kiel, Germany; [Kuhn, Gerhard] Helmholtz Zentrum Polar &amp; Meeresforsch, Alfred Wegener Inst, Alten Hafen 26, D-27568 Bremerhaven, Germany</t>
  </si>
  <si>
    <t>Helmholtz Association; GEOMAR Helmholtz Center for Ocean Research Kiel; Helmholtz Association; Alfred Wegener Institute, Helmholtz Centre for Polar &amp; Marine Research</t>
  </si>
  <si>
    <t>Huang, H (corresponding author), GEOMAR Helmholtz Ctr Ocean Res Kiel, Wischhofstr 1-3, D-24148 Kiel, Germany.</t>
  </si>
  <si>
    <t>huang17323@gmail.com</t>
  </si>
  <si>
    <t>Gutjahr, Marcus/ABC-2674-2020; Gutjahr, Marcus/L-9158-2013; Eisenhauer, Anton/K-6454-2012; Huang, Huang/V-5563-2017</t>
  </si>
  <si>
    <t>Gutjahr, Marcus/0000-0003-2556-2619; Gutjahr, Marcus/0000-0003-2556-2619; Eisenhauer, Anton/0000-0002-6874-7050; Huang, Huang/0000-0001-9723-9955; Kuhn, Gerhard/0000-0001-6069-7485</t>
  </si>
  <si>
    <t>China Scholarship Council (CSC)</t>
  </si>
  <si>
    <t>China Scholarship Council (CSC)(China Scholarship Council)</t>
  </si>
  <si>
    <t>Sediment material for this study was obtained from the AWI core repository in Bremerhaven and the ODP/IODP core repository Bremen. We thank T. Goepfert, A. Kolevica, and M. Seebeck for technical support. This paper benefited from discussions with S. Jaccard, M. Frank, and J. Lippold. H. Huang acknowledges the China Scholarship Council (CSC) for providing financial support to his overseas study.</t>
  </si>
  <si>
    <t>JAN 22</t>
  </si>
  <si>
    <t>10.1038/s41467-020-14302-3</t>
  </si>
  <si>
    <t>KI6MP</t>
  </si>
  <si>
    <t>WOS:000511464000003</t>
  </si>
  <si>
    <t>Rusinova-Videva, S; Nachkova, S; Adamov, A; Dimitrova-Dyulgerova, I</t>
  </si>
  <si>
    <t>Rusinova-Videva, Snezhana; Nachkova, Stefka; Adamov, Aleksandar; Dimitrova-Dyulgerova, Ivanka</t>
  </si>
  <si>
    <t>Antarctic yeast Cryptococcus laurentii (AL65): biomass and exopolysaccharide production and biosorption of metals</t>
  </si>
  <si>
    <t>JOURNAL OF CHEMICAL TECHNOLOGY AND BIOTECHNOLOGY</t>
  </si>
  <si>
    <t>Antarctic yeasts; Cryptococcus laurentii; biosorption; heavy metals; ICP-OES</t>
  </si>
  <si>
    <t>AQUEOUS-SOLUTION; SACCHAROMYCES-CEREVISIAE; LEAD IONS; ZINC IONS; REMOVAL; COPPER; CELLS; CADMIUM; ENHANCEMENT; ADSORPTION</t>
  </si>
  <si>
    <t>BACKGROUND Pollution by heavy metals poses serious environmental problems and is dangerous to human health, so considerable attention has been given to methods for their removal from industrial effluents. The need for highly effective biosorbents able to remove heavy metals from waste waters, even at the low concentrations which are still toxic for living organisms in ecosystems, is a topical problem. RESULTS In the present study, psychrophilic yeast strain Cryptococcus laurentii (AL(65)) was used to explore its potential for biosorption of metal ions. The accumulation of biomass was followed continuously in the context of bioreactor cultivation. An adsorption experiment of caustic pretreated biomass was conducted in batch mode with synthetic mixed solution in the pH range 4.7-7.0, and ion concentrations of individual metals were simultaneously determined by inductively coupled plasma - optical emission spectrometry (ICP-OES). Biosorption abilities were determined for 15 elements: the total amount of adsorbed ions was 68 mg g(-1) dry biomass for 10 mg L-1 initial concentration of each element in the solution, and 113 mg g(-1) for 20 mg L-1. The highest adsorption capacity was observed in the 20 mg L-1 solution for aluminium, chromium, indium, gallium, iron and bismuth in the range 12-16 mg g(-1) dry biomass at an optimal pH of approximate to 5. CONCLUSION The results on the biosorption ability of Antarctic producer Cryptococcus laurentii (AL(65)) can be used in the optimization of technological processes for the removal of heavy metals from aqueous solutions. (c) 2019 Society of Chemical Industry</t>
  </si>
  <si>
    <t>[Nachkova, Stefka] Univ Plovdiv Paisii Hilendarski, Dept Analyt Chem &amp; Comp Chem, Plovdiv, Bulgaria; [Rusinova-Videva, Snezhana] Bulgarian Acad Sci, Stephan Angeloff Inst Microbiol, Dept Appl Microbiol, Sofia, Bulgaria; [Rusinova-Videva, Snezhana; Dimitrova-Dyulgerova, Ivanka] Univ Plovdiv Paisii Hilendarski, Dept Bot &amp; Teaching Methods Biol, Plovdiv, Bulgaria; [Adamov, Aleksandar] Univ Plovdiv Paisii Hilendarski, Dept Biochem &amp; Microbiol, Plovdiv, Bulgaria</t>
  </si>
  <si>
    <t>Plovdiv University; Bulgarian Academy of Sciences; Stephan Angeloff Institute of Microbiology, Bulgarian Academy of Sciences; Plovdiv University; Plovdiv University</t>
  </si>
  <si>
    <t>Nachkova, S (corresponding author), Univ Plovdiv Paisii Hilendarski, Dept Analyt Chem &amp; Comp Chem, Plovdiv, Bulgaria.</t>
  </si>
  <si>
    <t>stefka_nachkova@abv.bg</t>
  </si>
  <si>
    <t>Dimitrova-Dyulgerova, Ivanka/JRY-9698-2023; Dimitrova-Dyulgerova, Ivanka/AAA-2597-2021</t>
  </si>
  <si>
    <t>Dimitrova-Dyulgerova, Ivanka/0000-0002-0193-5014</t>
  </si>
  <si>
    <t>0268-2575</t>
  </si>
  <si>
    <t>1097-4660</t>
  </si>
  <si>
    <t>J CHEM TECHNOL BIOT</t>
  </si>
  <si>
    <t>J. Chem. Technol. Biotechnol.</t>
  </si>
  <si>
    <t>10.1002/jctb.6321</t>
  </si>
  <si>
    <t>Biotechnology &amp; Applied Microbiology; Chemistry, Multidisciplinary; Engineering, Environmental; Engineering, Chemical</t>
  </si>
  <si>
    <t>Biotechnology &amp; Applied Microbiology; Chemistry; Engineering</t>
  </si>
  <si>
    <t>LB9EP</t>
  </si>
  <si>
    <t>WOS:000508486800001</t>
  </si>
  <si>
    <t>Bogan, SN; Johnson, KM; Hofmann, GE</t>
  </si>
  <si>
    <t>Bogan, Samuel N.; Johnson, Kevin M.; Hofmann, Gretchen E.</t>
  </si>
  <si>
    <t>Changes in Genome-Wide Methylation and Gene Expression in Response to Future pCO2 Extremes in the Antarctic Pteropod Limacina helicina antarctica</t>
  </si>
  <si>
    <t>epigenetics; DNA methylation; pteropod; ocean acidification; gene expression; Limacina helicina antarctica</t>
  </si>
  <si>
    <t>GLOBAL DNA HYPOMETHYLATION; LONG-TERM ACCLIMATION; PHENOTYPIC PLASTICITY; OCEAN ACIDIFICATION; CLIMATE-CHANGE; THERMAL TOLERANCE; NOTOTHENIOID FISH; SEA-URCHIN; REVEALS; TEMPERATURE</t>
  </si>
  <si>
    <t>Epigenetic processes such as variation in DNA methylation may promote phenotypic plasticity and the rapid acclimatization of species to environmental change. The extent to which an organism can mount an epigenetic response to current and future climate extremes may influence its capacity to acclimatize or adapt to global change on ecological rather than evolutionary time scales. The thecosome pteropod Limacina helicina antarctica is an abundant macrozooplankton endemic to the Southern Ocean and is considered a bellwether of ocean acidification as it is highly sensitive to variation in carbonate chemistry. In this study, we quantified variation in DNA methylation and gene expression over time across different ocean acidification regimes. We exposed L. helicina antarctica to pCO(2) levels mimicking present-day norms in the coastal Southern Ocean of 255 matm pCO(2), present-day extremes of 530 matm pCO(2), and projected extremes of 918 matm pCO(2) for up to 7 days before measuring global DNA methylation and sequencing transcriptomes in animals from each treatment across time. L. helicina antarctica significantly reduced DNA methylation by 29-56% after 1 day of exposure to 918 matm pCO(2) before DNA methylation returned to control levels after 6 days. In addition, L. helicina antarctica exposed to 918 matm pCO(2) exhibited drastically more differential expression compared to cultures replicating present-day pCO(2) extremes. Differentially expressed transcripts were predominantly downregulated. Furthermore, downregulated genes were enriched with signatures of gene body methylation. These findings support the potential role of DNA methylation in regulating transcriptomic responses by L. helicina antarctica to future ocean acidification and in situ variation in pCO(2) experienced seasonally or during vertical migration. More broadly, L. helicina antarctica was capable of mounting a substantial epigenetic response to ocean acidification despite little evidence of metabolic compensation or recovery of the cellular stress response in this species at future pCO(2) levels.</t>
  </si>
  <si>
    <t>[Bogan, Samuel N.; Johnson, Kevin M.; Hofmann, Gretchen E.] Univ Calif Santa Barbara, Dept Ecol Evolut &amp; Marine Biol, Santa Barbara, CA 93106 USA; [Johnson, Kevin M.] Louisiana State Univ, Dept Biol Sci, Baton Rouge, LA 70803 USA</t>
  </si>
  <si>
    <t>University of California System; University of California Santa Barbara; Louisiana State University System; Louisiana State University</t>
  </si>
  <si>
    <t>hofmann@ucsb.edu</t>
  </si>
  <si>
    <t>Bogan, Samuel/AAN-8542-2020; Marquez Johnson, Kevin/Q-1310-2018</t>
  </si>
  <si>
    <t>Bogan, Samuel/0000-0003-2244-5169; Marquez Johnson, Kevin/0000-0003-3278-3508</t>
  </si>
  <si>
    <t>U.S. National Science Foundation (NSF) through the U.S. Antarctic Program [PLR-1246202]; NSF Graduate Research Fellowship; Department of Ecology, Evolution, and Marine Biology at UC Santa Barbara</t>
  </si>
  <si>
    <t>U.S. National Science Foundation (NSF) through the U.S. Antarctic Program(National Science Foundation (NSF)); NSF Graduate Research Fellowship(National Science Foundation (NSF)); Department of Ecology, Evolution, and Marine Biology at UC Santa Barbara</t>
  </si>
  <si>
    <t>This work was funded in part by a grant from the U.S. National Science Foundation (NSF) through the U.S. Antarctic Program (PLR-1246202) to GH. KJ was supported by an NSF Graduate Research Fellowship during the time of the experiment. SB was supported by a Graduate Student Fellowship from the Department of Ecology, Evolution, and Marine Biology at UC Santa Barbara throughout his contribution to the study.</t>
  </si>
  <si>
    <t>10.3389/fmars.2019.00788</t>
  </si>
  <si>
    <t>KE5QU</t>
  </si>
  <si>
    <t>WOS:000508611000001</t>
  </si>
  <si>
    <t>Fraysse, CP; Pérez, AF; Calcagno, JA; Boy, CC</t>
  </si>
  <si>
    <t>Fraysse, Cintia P.; Perez, Analia F.; Calcagno, Javier A.; Boy, Claudia C.</t>
  </si>
  <si>
    <t>Energetics and development modes of Asteroidea (Echinodermata) from the Southwestern Atlantic Ocean including Burdwood Bank/MPA Namuncura</t>
  </si>
  <si>
    <t>Energetics; Development mode; Sea stars; Burdwood Bank; MPA namuncura; Tierra del fuego</t>
  </si>
  <si>
    <t>TIERRA-DEL-FUEGO; COSMASTERIAS-LURIDA ECHINODERMATA; URCHIN LOXECHINUS-ALBUS; MARINE PROTECTED AREA; ANTARCTIC SEA STAR; ENERGY ALLOCATION; BEAGLE CHANNEL; REPRODUCTIVE-BIOLOGY; BIOCHEMICAL-COMPOSITION; CONTRASTING MODES</t>
  </si>
  <si>
    <t>Reproduction is a highly expensive process that during gonadal development requires an important supply of nutrients. The allocation of energy can vary throughout the reproductive cycle, between sexes and development modes. During research cruise aboard the RV Puerto Deseado in April 2016, we collected fifteen species of sea stars from the southernmost region of Argentina. The main purposes of the present study were threefold: first, to revise and report novel information on the reproductive strategies and energetic density (ED) of body components from the asteroids of the southwestern Atlantic Ocean including Burdwood Bank/ MPA Namuncura; second, to compare the ED of these body components across species with contrasting reproductive strategies; third, to provide a tool to estimate the ED from dry mass of organs of the sea star species examined. Ovaries of Diplopteraster verrucosus (a brooder with a nidamental chamber) revealed a significantly greater ED than did the testes (29.81 +/- 1.38 and 17.76 +/- 1.59, respectively). In Glabraster antarctica (a broadcaster with yolky eggs and facultative planktotrophic larvae), the gonads had EDs of 25.78 +/- 3.16 and 19.21 +/- 0.52 (females and males, respectively). While in Peribolaster folliculatus (a broadcaster with eggs with low yolk content and inferred planktotrophic larvae) there was no significant difference in the ED values between sexes (females: 22.79 +/- 1.10 and males: 20.46 +/- 1.05). For the pyloric caeca, ED values did not reveal any difference between sexes, although in P. folliculatus, the ED was significantly higher than that for D. verrucosus and G. antarctica (25.90 +/- 1.00, 23.03 +/- 0.34, and 22.66 +/- 0.65, respectively). The body wall had higher ED values in D. verrucosus and P. folliculatus than that for all the sea star species analyzed (46.48 +/- 1.63, 51.17 +/- 1.34, respectively). Higher ED values in the ovaries could be related to the nutrition of offspring, while differences found in the body wall may reflect the skeletal structure of this body component. This research provides basic information for understanding the differences on energetic allocation when contrasting development modes are considered.</t>
  </si>
  <si>
    <t>[Fraysse, Cintia P.; Perez, Analia F.; Calcagno, Javier A.] Univ Maimonides, CONICET, CEBBAD, Lab Invertebrados Marinos, Buenos Aires, DF, Argentina; [Fraysse, Cintia P.; Boy, Claudia C.] Consejo Nacl Invest Cient &amp; Tecn, CADIC, Lab Ecol Fisiol &amp; Evoluc Organismos Acuat, Ushuaia, Argentina</t>
  </si>
  <si>
    <t>Consejo Nacional de Investigaciones Cientificas y Tecnicas (CONICET); Consejo Nacional de Investigaciones Cientificas y Tecnicas (CONICET)</t>
  </si>
  <si>
    <t>Pérez, AF (corresponding author), Univ Maimonides, CONICET, CEBBAD, Lab Invertebrados Marinos, Buenos Aires, DF, Argentina.;Boy, CC (corresponding author), Consejo Nacl Invest Cient &amp; Tecn, CADIC, Lab Ecol Fisiol &amp; Evoluc Organismos Acuat, Ushuaia, Argentina.</t>
  </si>
  <si>
    <t>cyn.fraysse@gmail.com; analiafperez1@gmail.com; claudiaboy@gmail.com</t>
  </si>
  <si>
    <t>Fraysse, Cintia/0000-0002-0254-2263</t>
  </si>
  <si>
    <t>Fundacion Felipe Fiorellino [26875]</t>
  </si>
  <si>
    <t>Fundacion Felipe Fiorellino</t>
  </si>
  <si>
    <t>This study was funded by Fundacion Felipe Fiorellino, Universidad Maimonides. This is the scientific contribution 22 of the Marine Protected Area Namuncura (National Law 26875).</t>
  </si>
  <si>
    <t>10.1007/s00300-020-02621-6</t>
  </si>
  <si>
    <t>WOS:000508709300001</t>
  </si>
  <si>
    <t>Iriarte, PJF; González-Wevar, CA; Segovia, NI; Rosenfeld, S; Hüne, M; Fainburg, L; Nuñez, JD; Haye, PA; Poulin, E</t>
  </si>
  <si>
    <t>Fernandez Iriarte, P. J.; Gonzalez-Wevar, C. A.; Segovia, N., I; Rosenfeld, S.; Hune, M.; Fainburg, L.; Nunez, J. D.; Haye, P. A.; Poulin, E.</t>
  </si>
  <si>
    <t>Quaternary ice sheets and sea level regression drove divergence in a marine gastropod along Eastern and Western coasts of South America</t>
  </si>
  <si>
    <t>LAST GLACIAL MAXIMUM; GENETIC-STRUCTURE; SOUTHEASTERN PACIFIC; SPECIES DISTRIBUTION; SOFTWARE PACKAGE; CHILEAN COAST; PATAGONIA; BIOGEOGRAPHY; PHYLOGEOGRAPHY; DIVERSITY</t>
  </si>
  <si>
    <t>The southern coastline of South America is a remarkable area to evaluate how Quaternary glacial processes impacted the demography of the near-shore marine biota. Here we present new phylogeographic analyses in the pulmonate Siphonaria lessonii across its distribution, from northern Chile in the Pacific to Uruguay in the Atlantic. Contrary to our expectations, populations from the southwestern Atlantic, an area that was less impacted by ice during glacial maxima, showed low genetic diversity and evidence of recent expansion, similar to the patterns recorded in this study across heavily ice-impacted areas in the Pacific Magellan margin. We propose that Atlantic and Pacific shallow marine hard-substrate benthic species were both affected during the Quaternary in South America, but by different processes. At higher latitudes of the southeast Pacific, ice-scouring drastically affected S. lessonii populations compared to non-glaciated areas along the Chile-Peru province where the species was resilient. In the southwest Atlantic, S. lessonii populations would have been dramatically impacted by the reduction of near-shore rocky habitat availability as a consequence of glacio-eustatic movements. The increase of gravelly and rocky shore substrates in the southwest Atlantic supports a hypothesis of glacial refugia from where the species recolonized lower latitudes across the Atlantic and Pacific margins. Our results suggest that current patterns of genetic diversity and structure in near-shore marine benthic species do not solely depend on the impact of Quaternary glacial ice expansions but also on the availability of suitable habitats and life-history traits, including developmental mode, bathymetry and the likelihood of dispersal by rafting.</t>
  </si>
  <si>
    <t>[Fernandez Iriarte, P. J.; Fainburg, L.; Nunez, J. D.] Univ Nacl Mar del Plata, Inst Invest Marinas &amp; Costeras, CONICET FCEyN, Funes 3250, RA-7600 Mar Del Plata, Buenos Aires, Argentina; [Gonzalez-Wevar, C. A.] Univ Austral Chile, Inst Ciencias Marinas &amp; Limnol, Lab Genom &amp; Ecol Mol Antartica &amp; Subantartica, Casilla 567, Valdivia, Chile; [Gonzalez-Wevar, C. A.] Univ Austral Chile, Ctr FONDAP Invest Dinam Ecosistemas Marinos Altas, Casilla 567, Valdivia, Chile; [Gonzalez-Wevar, C. A.; Segovia, N., I; Hune, M.; Poulin, E.] Univ Chile, Fac Ciencias, IEB, Dept Ciencias Ecol, Las Palmeras 3425, Santiago, Chile; [Segovia, N., I; Haye, P. A.] Univ Catolica Norte, Fac Ciencias Mar, Dept Biol Marina, Lab Divers Mol, Coquimbo, Chile; [Rosenfeld, S.] Univ Magallanes, Lab Ecosistemas Marinos Antarticos &amp; Subantartico, Punta Arenas 01890, Chile</t>
  </si>
  <si>
    <t>National University of Mar del Plata; Universidad Austral de Chile; Universidad Austral de Chile; Universidad de Chile; Universidad Catolica del Norte; Universidad de Magallanes</t>
  </si>
  <si>
    <t>González-Wevar, CA (corresponding author), Univ Austral Chile, Inst Ciencias Marinas &amp; Limnol, Lab Genom &amp; Ecol Mol Antartica &amp; Subantartica, Casilla 567, Valdivia, Chile.;González-Wevar, CA (corresponding author), Univ Austral Chile, Ctr FONDAP Invest Dinam Ecosistemas Marinos Altas, Casilla 567, Valdivia, Chile.;González-Wevar, CA (corresponding author), Univ Chile, Fac Ciencias, IEB, Dept Ciencias Ecol, Las Palmeras 3425, Santiago, Chile.</t>
  </si>
  <si>
    <t>claudio.gonzalez@uach.cl</t>
  </si>
  <si>
    <t>Haye, Pilar A/B-7082-2015; Poulin, Elie/C-2654-2012; González-Wevar, Claudio Alejandro/AAD-6513-2021; Hüne, Mathias/ABE-6000-2020</t>
  </si>
  <si>
    <t>Haye, Pilar A/0000-0002-1093-9076; Poulin, Elie/0000-0001-7736-0969; Rosenfeld, Sebastian/0000-0002-4363-8018; Fainburg, Leandro A./0000-0002-5505-4212; Fernandez Iriarte, Pedro/0000-0003-0353-8554</t>
  </si>
  <si>
    <t>Fondecyt Initiation Project [11140087]; program FONDAP IDEAL [15150003]; INACH project [RG_18-17]; project GAB [ACT172065]; Fondecyt Regular Project [1151336]; CONICET [PIP 798, PIP 770]; UNMdP [15/E725]; [P05-002 ICM]; [PFB 023]; [UMAG 027210]; [PR-06CRN-18]</t>
  </si>
  <si>
    <t>Fondecyt Initiation Project(Comision Nacional de Investigacion Cientifica y Tecnologica (CONICYT)CONICYT FONDECYT); program FONDAP IDEAL; INACH project; project GAB; Fondecyt Regular Project(Comision Nacional de Investigacion Cientifica y Tecnologica (CONICYT)CONICYT FONDECYT); CONICET(Consejo Nacional de Investigaciones Cientificas y Tecnicas (CONICET)); UNMdP; ; ; ;</t>
  </si>
  <si>
    <t>Several projects and institutions are greatly appreciated, including a Fondecyt Initiation Project 11140087, the program FONDAP IDEAL, Project 15150003 and the INACH project RG_18-17 to C. A. G-W. We also appreciate the support of the projects: P05-002 ICM, PFB 023 (IEB), project GAB (ACT172065) and Fondecyt Regular Project 1151336 to E. P and C. A. G-W.; project UMAG 027210, PR-06CRN-18 to C. A. G-W. and S. R; projects PIP 798 (2012-2014) and PIP 770 (2015-2017) (CONICET) and 15/E725 (UNMdP) to P. F. I. and J. D. N. There were no additional external funds related to this study. Specimens were sampled under the Chilean legislation (Technical Memorandum P. INV No 429/2015 SUBPESCA). Permits to collect specimens in Falkland Islands were issued by the Environmental Planning Department, the Falkland Islands Government. Authors would also like to thank J. Naretto, P. Brickle, J. Ojeda, K. Gerard, L. Porrini and A. Garese for assistance during field works. Samples from Uruguay were delivered by Dr. F. Scarabino from the Centro Universitario Regional del Este-Cure, Sede Rocha, Universidad de la Republica, Uruguay. We recognize the SCAR, AntEco and EBA programs, CAML and SAERI, for encouraging and supporting Antarctic and sub-Antarctic biogeographic studies. This manuscript contributes to the SCAR AntEco programme.</t>
  </si>
  <si>
    <t>JAN 21</t>
  </si>
  <si>
    <t>10.1038/s41598-020-57543-4</t>
  </si>
  <si>
    <t>KJ6AN</t>
  </si>
  <si>
    <t>WOS:000512142100082</t>
  </si>
  <si>
    <t>Fernandez, JCC; Bravo-Gómez, D; Cárdenas, CA; Hajdu, E</t>
  </si>
  <si>
    <t>Fernandez, Julio C. C.; Bravo-Gomez, Diego; Cardenas, Cesar A.; Hajdu, Eduardo</t>
  </si>
  <si>
    <t>Sponges from Doumer Island, Antarctic Peninsula, with description of new species of Clathria (Axosuberites) Topsent, 1893 and Hymeniacidon Bowerbank, 1858, and a re-description of H. torquata Topsent, 1916</t>
  </si>
  <si>
    <t>Porifera; Heteroscleromorpha; sponge diversity; WAP; cold waters; Southern Ocean</t>
  </si>
  <si>
    <t>PASSAGE SOUTHERN-OCEAN; DEEP WEDDELL SEA; HEXACTINELLIDA PORIFERA; POECILOSCLERIDA PORIFERA; DEMOSPONGIAE; HADROMERIDA; SYSTEMATICS; EXPEDITION; POLYMASTIIDAE; CLADORHIZIDAE</t>
  </si>
  <si>
    <t>Antarctic sponges were mainly studied from trawling or dredging (shallow and deep water) during pioneering oceanographic expeditions carried out since the late 19th century. More recently, sponge collections by SCUBA diving have allowed the detection of species in more cryptic habitats such as rocky walls. In this study, we analyzed Antarctic sponges collected by SCUBA (in 2016 to 2018; shallower than 25 m) around Downer Island (Palmer Archipelago, Western Antarctic Peninsula-WAP), when only five sponge species have been known. We gathered over 215 specimens, most part identified; 18 known species and one new species. Clathria (Axosuberites) retamalesi sp. nov., is set apart from its congeners on account of the combination of its habit. categories and dimensions of spicules. The East Antarctic material named as Hymeniacidon spec. (3397 m depth) from the Gauss scientific collection has been related to the shallow species H. torquata Topsent, 1916. We described H. torquata based in several specimens (n= 51) from Doumer Island (WAP), only ca. 41 km from Petermann Island (the type locality). Spicules of H. torquata are smaller than the ones present in the Hymeniacidon spec. material which is here named Hymeniacidon hentscheli sp. nov., since it does not fit into any known cold water species of Hymeniacidon from Antarctica or the Southern Hemisphere, due to a combination of habit, oscula shape, and spicule dimensions. Only five sponge species were previously known from Downer Island, also collected by SCUBA. Our findings suggest that the ongoing study of collections of sponges assembled at Downer Island will still yield new taxonomic findings.</t>
  </si>
  <si>
    <t>[Fernandez, Julio C. C.; Hajdu, Eduardo] Univ Fed Rio de Janeiro, MN, Dept Invertebrados, Lab Taxon Porifera &amp; Mol TAXPOmol, Quinta da Boa Vista S-N, BR-2090040 Rio De Janeiro, RJ, Brazil; [Fernandez, Julio C. C.] Univ Estado Rio de Janeiro, Inst Biol Roberto Alcantara Gomes, Dept Genet, Lab Genet Marinha LGMar,PHLC, 2 Andar,Sala 200A,Rua Sao Francisco Xavier 524, BR-20550013 Rio De Janeiro, RJ, Brazil; [Bravo-Gomez, Diego] Univ Valparaiso, Carrera Biol Marina, Ave Borgono 16344, Vina Del Mar, Chile; [Bravo-Gomez, Diego; Cardenas, Cesar A.] Inst Antartico Chileno, Dept Cient, Plaza Munoz Gamero 1055, Punta Arenas 6200965, Chile</t>
  </si>
  <si>
    <t>Universidade Federal do Rio de Janeiro; Universidade do Estado do Rio de Janeiro; Universidad de Valparaiso</t>
  </si>
  <si>
    <t>Fernandez, JCC (corresponding author), Univ Fed Rio de Janeiro, MN, Dept Invertebrados, Lab Taxon Porifera &amp; Mol TAXPOmol, Quinta da Boa Vista S-N, BR-2090040 Rio De Janeiro, RJ, Brazil.;Fernandez, JCC (corresponding author), Univ Estado Rio de Janeiro, Inst Biol Roberto Alcantara Gomes, Dept Genet, Lab Genet Marinha LGMar,PHLC, 2 Andar,Sala 200A,Rua Sao Francisco Xavier 524, BR-20550013 Rio De Janeiro, RJ, Brazil.</t>
  </si>
  <si>
    <t>juliocesarbio@yahoo.com; dbravo.dbg@gmail.com; ccardenas@inach.cl; eduardo.hajdu@gmail.com</t>
  </si>
  <si>
    <t>Cardenas, Cesar/ABF-1664-2020</t>
  </si>
  <si>
    <t>Cardenas, Cesar/0000-0001-6662-6899</t>
  </si>
  <si>
    <t>CONICYT/FONDECYT/INACH/INICIACION [11150129]; Coordination for Improvement of Higher Education Personnel (CAPES) (AUXPE-CIMAR-1986/2014) [23038.001427/2014-15]; Coordination for Improvement of Higher Education Personnel (CAPES) (PROANTAR) [88887.3631122/201900]; Carlos Chagas Filho Foundation for Research Support in the State of Rio de Janeiro (FAPERJ) (FAPERJ NOTA 10) [E-26/202.361/2019, E-26/202.362/2019]; CAPES (CIMAR); CAPES (PROANTAR); CNPq (PROSUL, Universal, Research Productivity); FAPERJ (Scientist of Our State, Museu Nacional Emergency)</t>
  </si>
  <si>
    <t>CONICYT/FONDECYT/INACH/INICIACION; Coordination for Improvement of Higher Education Personnel (CAPES) (AUXPE-CIMAR-1986/2014)(Coordenacao de Aperfeicoamento de Pessoal de Nivel Superior (CAPES)); Coordination for Improvement of Higher Education Personnel (CAPES) (PROANTAR)(Coordenacao de Aperfeicoamento de Pessoal de Nivel Superior (CAPES)); Carlos Chagas Filho Foundation for Research Support in the State of Rio de Janeiro (FAPERJ) (FAPERJ NOTA 10)(Fundacao Carlos Chagas Filho de Amparo a Pesquisa do Estado do Rio De Janeiro (FAPERJ)); CAPES (CIMAR)(Coordenacao de Aperfeicoamento de Pessoal de Nivel Superior (CAPES)); CAPES (PROANTAR)(Coordenacao de Aperfeicoamento de Pessoal de Nivel Superior (CAPES)); CNPq (PROSUL, Universal, Research Productivity)(Conselho Nacional de Desenvolvimento Cientifico e Tecnologico (CNPQ)); FAPERJ (Scientist of Our State, Museu Nacional Emergency)</t>
  </si>
  <si>
    <t>The authors would like to thank the divers, students and INACH personnel at Yelcho Research Station for assistance during field activities. Dr. Andreas Schmidt-Rhaesa and MSc. Helma Roggenbuck (CeNak-Center of Natural History, Universitat Hamburg-Zoologisches Museum) are deeply thanked for the loan of Hentschel's material (Hymeniacidon hentscheli sp. nov.), and for the high-quality photos of the specimen. Dr. Andrea Paz Martinez Salinas, curator of invertebrate and research coordinator at the Museo Nacional de Historia Natural, Santiago-Chile, for help us to the Porifera collection. This research was funded by CONICYT/FONDECYT/INACH/INICIACION/#11150129 granted to CAC. JCCF thanks the Coordination for Improvement of Higher Education Personnel (CAPES) (AUXPE-CIMAR-1986/2014 no23038.001427/2014-15; and PROANTAR no88887.3631122/201900) and the Carlos Chagas Filho Foundation for Research Support in the State of Rio de Janeiro (FAPERJ) (FAPERJ NOTA 10 noE-26/202.361/2019 and FAPERJ NOTA 10 noE-26/202.362/2019) for Post-doctoral fellowships. Further, JCCF is also grateful to Dr. Gisele Lobo-Hajdu (UERJ) and Dr. Fabiano Thompson (UFRJ; coordinator/head of the PROANTAR process) for supervising his Postdoctoral researches, CIMAR and PROANTAR processes, respectively. EH is thankful to CAPES (CIMAR and PROANTAR), CNPq (PROSUL, Universal, Research Productivity) and FAPERJ (Scientist of Our State, Museu Nacional Emergency) for grants and/or fellowships which enabled the establishment of scientific cooperation with Chilean colleagues for the study of Magellanic and Antarctic Porifera.</t>
  </si>
  <si>
    <t>10.11646/zootaxa.4728.1.4</t>
  </si>
  <si>
    <t>KE9RO</t>
  </si>
  <si>
    <t>WOS:000508888000004</t>
  </si>
  <si>
    <t>Shen, JJ; Wang, J; Chen, H; Wang, Y; Zhu, WM; Fu, P</t>
  </si>
  <si>
    <t>Shen, Jingjing; Wang, Jie; Chen, Hao; Wang, Yi; Zhu, Weiming; Fu, Peng</t>
  </si>
  <si>
    <t>Cyclamenols E and F, two diastereoisomeric bicyclic macrolactams with a cyclopentane moiety from an Antarctic Streptomyces species</t>
  </si>
  <si>
    <t>ORGANIC CHEMISTRY FRONTIERS</t>
  </si>
  <si>
    <t>MICROBIAL NATURAL-PRODUCTS; ABSOLUTE-CONFIGURATIONS; DRUG DISCOVERY; MARINE; INDOLOCARBAZOLES; STRAIN</t>
  </si>
  <si>
    <t>Cyclamenols E (1) and F (2), two bicyclic macrolactams possessing a cyclopentane moiety, were isolated from the Antarctic Streptomyces sp. OUCMDZ-4348. Their structures, including absolute configurations, were determined by spectroscopic analysis, chemical derivatization, and ECD calculation. Treatment of compound 1 with 2,2-dimethoxypropane and pyridinium p-toluenesulfonate in acetone/DMF led to the formation of acetonide 1a with an unexpected skeleton. Compound 1 showed moderate inhibitory activity against the gastric carcinoma cell line N87 with an IC50 value of 9.8 mu M, but no cytotoxicity was observed on the other 25 cancer cell lines tested.</t>
  </si>
  <si>
    <t>[Shen, Jingjing; Wang, Jie; Wang, Yi; Zhu, Weiming; Fu, Peng] Ocean Univ China, Sch Med &amp; Pharm, Minist Educ China, Key Lab Marine Drugs, Qingdao 266003, Peoples R China; [Shen, Jingjing; Wang, Jie; Wang, Yi; Zhu, Weiming; Fu, Peng] Pilot Natl Lab Marine Sci &amp; Technol Qingdao, Lab Marine Drugs &amp; Bioprod, Qingdao 266003, Peoples R China; [Chen, Hao] Minist Nat Resources China, Inst Oceanog 1, Key Lab Marine Bioact Subst, Qingdao 266061, Peoples R China</t>
  </si>
  <si>
    <t>Zhu, WM; Fu, P (corresponding author), Ocean Univ China, Sch Med &amp; Pharm, Minist Educ China, Key Lab Marine Drugs, Qingdao 266003, Peoples R China.;Zhu, WM; Fu, P (corresponding author), Pilot Natl Lab Marine Sci &amp; Technol Qingdao, Lab Marine Drugs &amp; Bioprod, Qingdao 266003, Peoples R China.</t>
  </si>
  <si>
    <t>weimingzhu@ouc.edu.cn; fupeng@ouc.edu.cn</t>
  </si>
  <si>
    <t>fu, peng/JER-6786-2023; Fu, Peng/D-6010-2017</t>
  </si>
  <si>
    <t>Fu, Peng/0000-0002-7768-4004; , Weiming/0000-0002-7591-3264</t>
  </si>
  <si>
    <t>National Key R&amp;D Program of China [2018YFC1406705]; National Natural Science Foundation of China (NSFC) [41806086, 41876172]; Fundamental Research Funds for the Central Universities [201841006]</t>
  </si>
  <si>
    <t>National Key R&amp;D Program of China; National Natural Science Foundation of China (NSFC)(National Natural Science Foundation of China (NSFC)); Fundamental Research Funds for the Central Universities(Fundamental Research Funds for the Central Universities)</t>
  </si>
  <si>
    <t>This work was financially supported by the National Key R&amp;D Program of China (No. 2018YFC1406705), the National Natural Science Foundation of China (NSFC) (No. 41806086 and 41876172), and the Fundamental Research Funds for the Central Universities (No. 201841006).</t>
  </si>
  <si>
    <t>ROYAL SOC CHEMISTRY</t>
  </si>
  <si>
    <t>THOMAS GRAHAM HOUSE, SCIENCE PARK, MILTON RD, CAMBRIDGE CB4 0WF, CAMBS, ENGLAND</t>
  </si>
  <si>
    <t>2052-4129</t>
  </si>
  <si>
    <t>ORG CHEM FRONT</t>
  </si>
  <si>
    <t>Org. Chem. Front.</t>
  </si>
  <si>
    <t>10.1039/c9qo01215j</t>
  </si>
  <si>
    <t>Chemistry, Organic</t>
  </si>
  <si>
    <t>KE5AL</t>
  </si>
  <si>
    <t>WOS:000508568000009</t>
  </si>
  <si>
    <t>Sutherland, BR; Rosevear, MG; Cenedese, C</t>
  </si>
  <si>
    <t>Sutherland, Bruce R.; Rosevear, Madelaine G.; Cenedese, Claudia</t>
  </si>
  <si>
    <t>Laboratory experiments modeling the transport and deposition of sediments by glacial plumes rising under an ice shelf</t>
  </si>
  <si>
    <t>PHYSICAL REVIEW FLUIDS</t>
  </si>
  <si>
    <t>GRAVITY CURRENTS; BENEATH; OCEAN; FRESH; WATER</t>
  </si>
  <si>
    <t>Motivated by the observation of sediments being carried by meltwater plumes originating at the base of a marine terminating glacier, laboratory experiments are performed to examine the transport and deposition of particles settling out from a buoyant line-plume rising along a sloping upper boundary. If the plume source has relatively high momentum and is located near the bottom of the domain, then a strong recirculating region develops near the source. Emanating from this region is a particle bearing buoyant plume that moves at near constant speed along the slope. Particles are observed to settle within the plume itself and then descend from the plume toward the tank bottom being drawn back in the direction of the source through a return flow driven by the plume's entrainment of the underlying ambient fluid. A light attenuation technique is employed to measure nonintrusively the depth of the sediment bed after the source is turned off and all the particles settled out. Sediments are found to accumulate near the source over the extent of the recirculating region and then decrease approximately linearly with distance from the source. Conceptual theoretical models suggest that the linearly sloping bed results from a combination of vertical mixing in the plume near the recirculation region and the return flow acting to detrain from the plume particles more effectively near the plume source where the shear between the plume and the return flow is largest. In many aspects the experiments are not representative of a steady glacial meltwater plume due to restrictions of the experimental setup, notably the relatively low Reynolds number of the flow. Nonetheless the experiments are suggestive of the complicated dynamics and sediment deposition patterns that may occur near the base of a marine terminating glacier, with a crude estimate of mean clay deposition at a rate of 6 cm per year over a distance of 2 km from the source.</t>
  </si>
  <si>
    <t>[Sutherland, Bruce R.] Univ Alberta, Dept Phys, Edmonton, AB T6G 2E1, Canada; [Sutherland, Bruce R.] Univ Alberta, Dept Earth &amp; Atmospher Sci, Edmonton, AB T6G 2E3, Canada; [Rosevear, Madelaine G.] Univ Tasmania, Inst Marine &amp; Antarctic Studies, South Hobart, Australia; [Cenedese, Claudia] Woods Hole Oceanog Inst, Woods Hole, MA 02543 USA</t>
  </si>
  <si>
    <t>University of Alberta; University of Alberta; University of Tasmania; Woods Hole Oceanographic Institution</t>
  </si>
  <si>
    <t>Sutherland, BR (corresponding author), Univ Alberta, Dept Phys, Edmonton, AB T6G 2E1, Canada.;Sutherland, BR (corresponding author), Univ Alberta, Dept Earth &amp; Atmospher Sci, Edmonton, AB T6G 2E3, Canada.</t>
  </si>
  <si>
    <t>bruce.sutherland@ualberta.ca</t>
  </si>
  <si>
    <t>Sutherland, Bruce/AAJ-9135-2021</t>
  </si>
  <si>
    <t>Sutherland, Bruce/0000-0002-9585-779X</t>
  </si>
  <si>
    <t>National Science Foundation [OCE-1332750]; Natural Sciences and Engineering Research Council (NSERC) of Canada</t>
  </si>
  <si>
    <t>National Science Foundation(National Science Foundation (NSF)); Natural Sciences and Engineering Research Council (NSERC) of Canada(Natural Sciences and Engineering Research Council of Canada (NSERC))</t>
  </si>
  <si>
    <t>The authors are grateful for the technical assistance provided by A. Jensen, and we thank the two reviewers of the manuscript for their helpful comments. This research was made possible due to the National Science Foundation (Grant No. OCE-1332750) for their support of the WHOI Geophysical Fluid Dynamics Summer School, where much of the work presented here was undertaken. Additional funds were provided to Sutherland by the Natural Sciences and Engineering Research Council (NSERC) of Canada through its Discovery Grant program.</t>
  </si>
  <si>
    <t>AMER PHYSICAL SOC</t>
  </si>
  <si>
    <t>COLLEGE PK</t>
  </si>
  <si>
    <t>ONE PHYSICS ELLIPSE, COLLEGE PK, MD 20740-3844 USA</t>
  </si>
  <si>
    <t>2469-990X</t>
  </si>
  <si>
    <t>PHYS REV FLUIDS</t>
  </si>
  <si>
    <t>Phys. Rev. Fluids</t>
  </si>
  <si>
    <t>10.1103/PhysRevFluids.5.013802</t>
  </si>
  <si>
    <t>Physics, Fluids &amp; Plasmas</t>
  </si>
  <si>
    <t>KE3KN</t>
  </si>
  <si>
    <t>WOS:000508458100001</t>
  </si>
  <si>
    <t>Balbas, AM; Farley, KA</t>
  </si>
  <si>
    <t>Balbas, A. M.; Farley, K. A.</t>
  </si>
  <si>
    <t>Constraining in situ cosmogenic nuclide paleo-production rates using sequential lava flows during a paleomagnetic field strength low</t>
  </si>
  <si>
    <t>CHEMICAL GEOLOGY</t>
  </si>
  <si>
    <t>Cosmogenic nuclides; Paleomagnetism; Matuyama-Bruhnes; Magnetic reversal; Helium-3; Production rates; Cosmic rays</t>
  </si>
  <si>
    <t>GEOMAGNETIC-FIELD; ANTARCTIC ICE; BE-10; REVERSALS; OLIVINE; HELIUM; INSTABILITY; EXCURSIONS; INTENSITY; SIGNATURE</t>
  </si>
  <si>
    <t>The geomagnetic field prevents a portion of incoming cosmic rays from reaching Earth's atmosphere. During magnetic reversals and excursions, the field strength can decrease by up to 90% relative to the modern-day value. During such anomalies, cosmic ray bombardment to Earth's atmosphere increases as evident from atmospheric Be-10 anomalies recorded in sediment and ice cores. However, how the flux of cosmic rays to Earth's surface varies during such geomagnetic anomalies is not well constrained. We measured fossil cosmogenic He-3 in olivine from the tops of two pairs of 40Ar/39Ar age-dated Tahitian lava flows that erupted during the Matuyama-Brunhes reversal precursor event. We corrected these raw values for the diffusive loss of helium caused by heating from the overlying flow with a diffusion model using cooling rates and maximum temperature conditions based on field measurements of active lava flows from Kilauea, Hawaii. We assume the maximum temperature suggested by field measurements and thus present a limiting case for the highest diffusive loss corrections and thus the highest paleo-production rates. Based on paleomagnetic field strength reconstructions and scaling factor models, the upper limits of the corrected in situ He-3 paleo-production rates (100 +/- 23, 144 +/- 35 atoms g(-1) a(-1)) are in agreement with those expected during the period of a geomagnetic field strength low when these flow tops were exposed. However, the more plausible contact temperatures (&lt; 700 degrees C maximum temperature in diffusion model) are associated with diffusion corrected paleo-production rates lower than those predicted by scalar models. This potential underestimation is likely a function of changes in local non-dipole field components, atmospheric density and/or an overestimation of the dipole field strength reduction during the M-B precursor event.</t>
  </si>
  <si>
    <t>[Balbas, A. M.] Oregon State Univ, Coll Earth Ocean &amp; Atmospher Sci, Corvallis, OR 97331 USA; [Balbas, A. M.; Farley, K. A.] CALTECH, Dept Geol &amp; Planetary Sci, Pasadena, CA 91125 USA</t>
  </si>
  <si>
    <t>Oregon State University; California Institute of Technology</t>
  </si>
  <si>
    <t>Balbas, AM (corresponding author), Oregon State Univ, Coll Earth Ocean &amp; Atmospher Sci, Corvallis, OR 97331 USA.</t>
  </si>
  <si>
    <t>Andrea.Balbas@oregonstate.edu</t>
  </si>
  <si>
    <t>Farley, Kenneth/AAE-7735-2020</t>
  </si>
  <si>
    <t>NSF AGEP Fellowship</t>
  </si>
  <si>
    <t>We thank Kevin Konrad for providing the in vacuo crushed olivine results and helpful discussions. This work was supported by an NSF AGEP Fellowship for A. Balbas and benefitted greatly from discussions with Peter Clark, Joe Stoner, Brendan Reilly, Ed Brook and Anthony Koppers. We thank two anonymous reviewers for helpful comments that improved the manuscript.</t>
  </si>
  <si>
    <t>0009-2541</t>
  </si>
  <si>
    <t>1872-6836</t>
  </si>
  <si>
    <t>CHEM GEOL</t>
  </si>
  <si>
    <t>Chem. Geol.</t>
  </si>
  <si>
    <t>JAN 20</t>
  </si>
  <si>
    <t>10.1016/j.chemgeo.2019.119355</t>
  </si>
  <si>
    <t>KM1HI</t>
  </si>
  <si>
    <t>WOS:000513868400006</t>
  </si>
  <si>
    <t>Sun, XL; Kuiper, KF; Tian, YT; Li, CA; Gemignani, L; Zhang, ZJ; Wijbrans, JR</t>
  </si>
  <si>
    <t>Sun, Xilin; Kuiper, K. F.; Tian, Yuntao; Li, Chang'an; Gemignani, L.; Zhang, Zengjie; Wijbrans, J. R.</t>
  </si>
  <si>
    <t>Impact of hydraulic sorting and weathering on mica provenance studies: An example from the Yangtze River</t>
  </si>
  <si>
    <t>Muscovite; Biotite; Provenance; Grainsize; Age population; Yangtze River</t>
  </si>
  <si>
    <t>DETRITAL ZIRCON GEOCHRONOLOGY; GRAIN-SIZE DISTRIBUTION; LATE CENOZOIC SEDIMENTS; SONGPAN-GANZI COMPLEX; TECTONIC EVOLUTION; EROSION PATTERNS; 40AR/39AR AGES; MUSCOVITE; RECORD; BASIN</t>
  </si>
  <si>
    <t>Detrital muscovite and biotite 40Ar/39Ar analyses are useful tools for studying regional tectonic histories, sediment provenances and paleo-drainage reconstructions. During transport and recycling of detrital micas physical and chemical weathering occurs. This process effects the grain size and age populations ultimately found in river sediments, but is often ignored in provenance studies. Here, we present detrital muscovite and biotite 40Ar/39Ar results of 15 modern sediments from the Yangtze River to address the impact of grainsize on provenance age populations. The beam intensities of 39Ar, formed from K-39 by neutron capture reaction during sample irradiation, have been used as an index for grain size. We found that relatively older detrital mica ages of the Yangtze River are often characterized by small 39Ar signals (i.e., grain sizes), and large grain sizes correspond to younger grains. This observation is also revealed by reanalysis of previously reported detrital mica studies in other major river systems (Red and Brahmaputra rivers) and sediments (Scotian Basin, Canada and Antarctic) and probably results from physical and chemical weathering during transport and recycling. Our Yangtze results indicate that detrital muscovite and biotite ages of grainsize ranging from 100 to 1000 mu m cover all age components as identified in all dated grains (with a size of &gt; 100 mu m), and thus indicate that detrital mica 40Ar/39Ar analyses should include also small grains from &gt; 100 mu m to reduce the effects of hydraulic sorting and weathering. Grainsizes smaller than 100 mu m have not been tested in this study, but will be more difficult to date due to both smaller beam intensities and possible recoil effects.</t>
  </si>
  <si>
    <t>[Sun, Xilin; Tian, Yuntao; Zhang, Zengjie] Sun Yat Sen Univ, Sch Earth Sci &amp; Engn, Guangdong Prov Key Lab Geodynam &amp; Geohazards, Guangzhou 510275, Peoples R China; [Sun, Xilin; Tian, Yuntao] Southern Marine Sci &amp; Engn Guangdong Lab Zhuhai, Zhuhai 519082, Peoples R China; [Sun, Xilin; Kuiper, K. F.; Gemignani, L.; Wijbrans, J. R.] Vrije Univ Amsterdam, Cluster Geol &amp; Geochem, De Boelelaan 1085, NL-1081 IIV Amsterdam, Netherlands; [Li, Chang'an] China Univ Geosci, Sch Earth Sci, Wuhan 430074, Peoples R China; [Gemignani, L.] Free Univ Berlin, Dept Earth Sci, Berlin, Germany; [Zhang, Zengjie] Chinese Acad Sci, Guangzhou Inst Geochem, CAS Key Lab Ocean &amp; Marginal Sea Geol, Guangzhou, Peoples R China</t>
  </si>
  <si>
    <t>Sun Yat Sen University; Southern Marine Science &amp; Engineering Guangdong Laboratory; Southern Marine Science &amp; Engineering Guangdong Laboratory (Zhuhai); Vrije Universiteit Amsterdam; China University of Geosciences; Free University of Berlin; Chinese Academy of Sciences; Guangzhou Institute of Geochemistry, CAS</t>
  </si>
  <si>
    <t>Sun, XL; Tian, YT (corresponding author), Sun Yat Sen Univ, Sch Earth Sci &amp; Engn, Guangdong Prov Key Lab Geodynam &amp; Geohazards, Guangzhou 510275, Peoples R China.;Sun, XL; Kuiper, KF (corresponding author), Vrije Univ Amsterdam, Cluster Geol &amp; Geochem, De Boelelaan 1085, NL-1081 IIV Amsterdam, Netherlands.</t>
  </si>
  <si>
    <t>sunxlin3@mail.sysu.edu.cn; k.f.kuiper@vu.nl; tianyuntao@mail.sysu.edu.cn</t>
  </si>
  <si>
    <t>Wijbrans, Jan/Q-1914-2016; Tian, Yuntao/D-4564-2016</t>
  </si>
  <si>
    <t>Wijbrans, Jan/0000-0002-8091-1239; Gemignani, Lorenzo/0000-0001-9656-8351; Zhang, Zengjie/0000-0001-7627-9480; Sun, Xilin/0000-0002-6142-5980; Tian, Yuntao/0000-0001-5480-9962</t>
  </si>
  <si>
    <t>National Natural Science Foundation of China [41671011, 41672355, 41772211, 41801003, U1701641]; Guangdong Province Introduced Innovative RD Team [2016ZT06N331]; Fundamental Research Funds for the Central Universities [19lgjc03]; argon geochronology laboratory of the Vrije Universiteit Amsterdam; NWO-ALW [864.12.005]</t>
  </si>
  <si>
    <t>National Natural Science Foundation of China(National Natural Science Foundation of China (NSFC)); Guangdong Province Introduced Innovative RD Team; Fundamental Research Funds for the Central Universities(Fundamental Research Funds for the Central Universities); argon geochronology laboratory of the Vrije Universiteit Amsterdam; NWO-ALW(Netherlands Organization for Scientific Research (NWO))</t>
  </si>
  <si>
    <t>This study is financially supported by the National Natural Science Foundation of China (41671011, 41672355, 41772211, 41801003 and U1701641), the Guangdong Province Introduced Innovative R&amp;D Team (2016ZT06N331) and the Fundamental Research Funds for the Central Universities (19lgjc03). This work was supported by the argon geochronology laboratory of the Vrije Universiteit Amsterdam. KK is supported by NWO-ALW grant 864.12.005. Roel van Elsas is acknowledged for his strategic help and support in the mineral separation laboratory at the Vrije Universiteit Amsterdam.</t>
  </si>
  <si>
    <t>10.1016/j.chemgeo.2019.119359</t>
  </si>
  <si>
    <t>WOS:000513868400013</t>
  </si>
  <si>
    <t>Frederikse, T; Buchanan, MK; Lambert, E; Kopp, RE; Oppenheimer, M; Rasmussen, DJ; van de Wal, RSW</t>
  </si>
  <si>
    <t>Frederikse, Thomas; Buchanan, Maya K.; Lambert, Erwin; Kopp, Robert E.; Oppenheimer, Michael; Rasmussen, D. J.; van de Wal, Roderik S. W.</t>
  </si>
  <si>
    <t>Antarctic Ice Sheet and emission scenario controls on 21st-century extreme sea-level changes</t>
  </si>
  <si>
    <t>RISE; AMBIGUITY; THWAITES</t>
  </si>
  <si>
    <t>Uncertainties in Representative Concentration Pathway (RCP) scenarios and Antarctic Ice Sheet (AIS) melt propagate into uncertainties in projected mean sea-level (MSL) changes and extreme sea-level (ESL) events. Here we quantify the impact of RCP scenarios and AIS contributions on 21st-century ESL changes at tide-gauge sites across the globe using extreme-value statistics. We find that even under RCP2.6, almost half of the sites could be exposed annually to a present-day 100-year ESL event by 2050. Most tropical sites face large increases in ESL events earlier and for scenarios with smaller MSL changes than extratropical sites. Strong emission reductions lower the probability of large ESL changes but due to AIS uncertainties, cannot fully eliminate the probability that large increases in frequencies of ESL events will occur. Under RCP8.5 and rapid AIS mass loss, many tropical sites, including low-lying islands face a MSL rise by 2100 that exceeds the present-day 100-year event level.</t>
  </si>
  <si>
    <t>[Frederikse, Thomas] CALTECH, Jet Prop Lab, 4800 Oak Grove Dr, Pasadena, CA 91101 USA; [Frederikse, Thomas; Lambert, Erwin; van de Wal, Roderik S. W.] Univ Utrecht, Inst Marine &amp; Atmospher Res Utrecht IMAU, POB 80011, NL-3508 TA Utrecht, Netherlands; [Buchanan, Maya K.] Climate Cent, One Palmer Sq,Suite 402, Princeton, NJ 08542 USA; [Kopp, Robert E.] Rutgers State Univ, Dept Earth &amp; Planetary Sci, 71 Dudley Rd, New Brunswick, NJ 08901 USA; [Kopp, Robert E.] Rutgers State Univ, Inst Earth Ocean &amp; Atmospher Sci, 71 Dudley Rd, New Brunswick, NJ 08901 USA; [Oppenheimer, Michael] Princeton Univ, Dept Geosci, Robertson Hall, Princeton, NJ 08544 USA; [Oppenheimer, Michael; Rasmussen, D. J.] Princeton Univ, Woodrow Wilson Sch Publ &amp; Int Affairs, Robertson Hall, Princeton, NJ 08544 USA; [van de Wal, Roderik S. W.] Univ Utrecht, Dept Phys Geog, POB 80115, NL-3508 TC Utrecht, Netherlands</t>
  </si>
  <si>
    <t>National Aeronautics &amp; Space Administration (NASA); NASA Jet Propulsion Laboratory (JPL); California Institute of Technology; Utrecht University; Rutgers University System; Rutgers University New Brunswick; Rutgers University System; Rutgers University New Brunswick; Princeton University; Princeton University; Utrecht University</t>
  </si>
  <si>
    <t>Frederikse, T (corresponding author), CALTECH, Jet Prop Lab, 4800 Oak Grove Dr, Pasadena, CA 91101 USA.;Frederikse, T (corresponding author), Univ Utrecht, Inst Marine &amp; Atmospher Res Utrecht IMAU, POB 80011, NL-3508 TA Utrecht, Netherlands.</t>
  </si>
  <si>
    <t>thomas.frederikse@jpl.nasa.gov</t>
  </si>
  <si>
    <t>van de wal, roderik/D-1705-2011; Kopp, Robert E/B-8822-2008; Lambert, Erwin/AAJ-6730-2020</t>
  </si>
  <si>
    <t>van de wal, roderik/0000-0003-2543-3892; Lambert, Erwin/0000-0001-7537-6385; Kopp, Robert/0000-0003-4016-9428; Buchanan, Maya/0000-0001-9806-1132; Oppenheimer, Michael/0000-0002-9708-5914; Rasmussen, D.J./0000-0003-4668-5749; Frederikse, Thomas/0000-0002-5024-0163</t>
  </si>
  <si>
    <t>National Science Foundation [ICER-1663807]; National Aeronautics and Space Administration grant [80NSSC17K0698]; INSeaPTION project, ERA4CS, an ERA-NET; JPI Climate; FORMAS (SE); BMBF (DE); BMWFW (AT); IFD (DK); MINECO (ES); ANR (FR); European Union [690462]</t>
  </si>
  <si>
    <t>National Science Foundation(National Science Foundation (NSF)); National Aeronautics and Space Administration grant; INSeaPTION project, ERA4CS, an ERA-NET; JPI Climate; FORMAS (SE)(Swedish Research Council Formas); BMBF (DE)(Federal Ministry of Education &amp; Research (BMBF)); BMWFW (AT); IFD (DK); MINECO (ES)(Spanish Government); ANR (FR)(Agence Nationale de la Recherche (ANR)); European Union(European Union (EU))</t>
  </si>
  <si>
    <t>Parts of this research (T.F.) were carried out at the Jet Propulsion Laboratory, California Institute of Technology, under a contract with the National Aeronautics and Space Administration. T.F. also acknowledges the NWO ALW NPP program. R.E.K. was supported in part by National Science Foundation grant ICER-1663807 and National Aeronautics and Space Administration grant 80NSSC17K0698. E.L. acknowledges funding from the INSeaPTION project, which is part of ERA4CS, an ERA-NET initiated by JPI Climate, and funded by FORMAS (SE), BMBF (DE), BMWFW (AT), IFD (DK), MINECO (ES), ANR (FR) with co-funding by the European Union (Grant 690462).</t>
  </si>
  <si>
    <t>10.1038/s41467-019-14049-6</t>
  </si>
  <si>
    <t>KK1VN</t>
  </si>
  <si>
    <t>WOS:000512537400011</t>
  </si>
  <si>
    <t>Kim, J; Kim, Y; Kang, HW; Kim, SH; Rho, T; Kang, DJ</t>
  </si>
  <si>
    <t>Kim, Jeonghyun; Kim, Yeseul; Kang, Hyoun-Woo; Kim, Suk Hyun; Rho, TaeKeun; Kang, Dong-Jin</t>
  </si>
  <si>
    <t>Tracing water mass fractions in the deep western Indian Ocean using fluorescent dissolved organic matter</t>
  </si>
  <si>
    <t>Fluorescent dissolved organic matter; Western Indian Ocean; Water mass; PARAFAC</t>
  </si>
  <si>
    <t>OPTICAL-PROPERTIES; NORTH-SEA; CARBON; SPECTROSCOPY; GULF; DEGRADATION; ECOSYSTEMS; EXCITATION; IMPACT; CDOM</t>
  </si>
  <si>
    <t>The meridional distributions of fluorescent dissolved organic matter (FDOM) and various hydrologic properties were investigated along 67 degrees E in the western Indian Ocean. Our results showed that the highest fluorescence of the humic FDOM (FDOMH) was discovered in the Indian Deep Water (IDW), and relatively lower values were observed in the intruding water masses from the upper layer (e.g., Circumpolar Deep Water (CDW), Antarctic Intermediate Water (AAIW), and South Indian Central Water (SICW)). The deep FDOMH was robustly correlated with apparent oxygen utilisation (AOU), as suggested by previous studies. In particular, the slopes of the regression line AOU on FDOMH varied for different water masses and the two humic components. In this study, to identify the factor inducing the variations of the slope, we estimated the relative water mass fraction of different water masses using a three-end-member mixing model with a salinity-FDOMH diagram. The distribution of water mass fractions was in good agreement with water mass distribution from the conventional method from temperature and salinity distribution and previous studies. The FDOMH components were positively correlated with the aged water mass fraction (i.e., IDW; r = 0.93) and negatively correlated with fresher ones originating from the upper water (r = -0.93, -0.51, and -0.95 for CDW, AAIW, and SICW, respectively). The fluorescence ratio between the two FDOMH components was also observed to be linked to the water mass fractions. The results indicate that the distribution of FDOMH is attributed to the mixing of various deep-water masses during the global ocean circulation.</t>
  </si>
  <si>
    <t>[Kim, Jeonghyun; Kim, Yeseul; Kim, Suk Hyun; Kang, Dong-Jin] KIOST, Marine Environm Res Ctr, Busan 49111, South Korea; [Kim, Yeseul; Kang, Dong-Jin] UST, Dept Ocean Sci, Daejeon 34113, South Korea; [Kang, Hyoun-Woo] KIOST, Ocean Circulat &amp; Climate Res Ctr, Busan 49111, South Korea; [Rho, TaeKeun] KIOST, Instrumental Dev &amp; Management Ctr, Busan 49111, South Korea</t>
  </si>
  <si>
    <t>Korea Institute of Ocean Science &amp; Technology (KIOST); University of Science &amp; Technology (UST); Korea Institute of Ocean Science &amp; Technology (KIOST); Korea Institute of Ocean Science &amp; Technology (KIOST)</t>
  </si>
  <si>
    <t>Kang, DJ (corresponding author), KIOST, Marine Environm Res Ctr, Busan 49111, South Korea.</t>
  </si>
  <si>
    <t>jkim@kiost.ac.kr; djocean@kiost.ac.kr</t>
  </si>
  <si>
    <t>Kim, Jeonghyun/AAY-4457-2021</t>
  </si>
  <si>
    <t>Kim, Jeonghyun/0000-0001-6839-5721</t>
  </si>
  <si>
    <t>KIOST Indian Ocean Study (KIOS), a part of Biogeochemical cycling and marine environmental change studies [PE99712]</t>
  </si>
  <si>
    <t>KIOST Indian Ocean Study (KIOS), a part of Biogeochemical cycling and marine environmental change studies</t>
  </si>
  <si>
    <t>We would like to thank all crew members of R/V Isabu of the Korean Institute of Ocean Science and Technology (KIOST) for the assistance with sampling campaigns. We are grateful to two anonymous reviewers for their constructive comments which improve this manuscript. This study is supported by KIOST Indian Ocean Study (KIOS), a part of Biogeochemical cycling and marine environmental change studies (PE99712).</t>
  </si>
  <si>
    <t>10.1016/j.marchem.2019.103720</t>
  </si>
  <si>
    <t>KE7TA</t>
  </si>
  <si>
    <t>WOS:000508752800001</t>
  </si>
  <si>
    <t>Díaz-Puente, B; Pita, A; Uribe, J; Cuéllar-Pinzón, J; Guiñez, R; Presa, P</t>
  </si>
  <si>
    <t>Diaz-Puente, Borja; Pita, Alfonso; Uribe, Juan; Cuellar-Pinzon, Jose; Guinez, Ricardo; Presa, Pablo</t>
  </si>
  <si>
    <t>A biogeography-based management for Mytilus chilensis: The genetic hodgepodge of Los Lagos versus the pristine hybrid zone of the Magellanic ecotone</t>
  </si>
  <si>
    <t>alien species; aquaculture; blue mussels; invertebrates; reservoir; special area of conservation</t>
  </si>
  <si>
    <t>BLUE MUSSEL MYTILUS; SMOOTH-SHELLED MUSSELS; PCR-BASED NUCLEAR; GALLOPROVINCIALIS BIVALVIA; PERUMYTILUS-PURPURATUS; POPULATION-STRUCTURE; EDULIS-PLATENSIS; TAXONOMIC STATUS; SOUTH-AMERICA; PACIFIC COAST</t>
  </si>
  <si>
    <t>This study was intended to identify mussel species from the Magellanic ecotone, quantifying interspecific hybridization within Mytilus and depicting the genetic architecture of Mytilus chilensis in its South Pacific range. The analysis comprises the sub-Antarctic Magallanes Province as a rich ecotone of climates, ecosystems and admixed faunas embedded among the biogeographic regions of the Pacific, the Atlantic, and Antarctica. Highly conserved molecular sequences within species were used to identify species, and polymorphic microsatellites were used to calculate the genetic architecture of M. chilensis. The absence of the invasive species Mytilus galloprovincialis from the M. chilensis range clarifies previous doubts on its expansion southward from the Arauco Gulf. The ubiquitous presence of the typical Glu-5 '-Me-15/16 PAP allele of Mytilus trossulus in the Northern Hemisphere might come from hull biofouling, but rather it seems to be an ancient polymorphism conserved in M. chilensis as occurs in blue mussels from other regions of the Southern Hemisphere. There is a very limited connectivity (F-ST = 0.167) between two latitudinal gene pools of M. chilensis that are highly divergent in composition, architecture, and ecological relevance. Fifty years of aquaculture enhancement in Los Lagos explains its high diversity and genetic heterogeneity among patches, so its mussel management should seek a balance between exploitation and environmental sustainability. The Magellanic ecotone bears a pristine M. chilensis x Mytilus edulis platensis hybrid zone around the Southern Cone, larger (450 km) than previously thought. Such a hybrid zone permeates one of the last remaining wilderness areas in the world (Cape Horn Biosphere Reserve) and is a natural laboratory for addressing introgression, hybridization, and evolution of Mytilus spp. genomes in their last southern frontier.</t>
  </si>
  <si>
    <t>[Diaz-Puente, Borja; Pita, Alfonso; Presa, Pablo] Univ Vigo, CIM, Vigo, Spain; [Pita, Alfonso] Univ Vigo, Fac Biol, Dept Ecol &amp; Anim Biol, Vigo, Spain; [Uribe, Juan] Univ Magallanes, Inst Patagonia, Punta Arenas, Chile; [Cuellar-Pinzon, Jose; Presa, Pablo] Univ Vigo, Fac Biol, Marine Genet Resources Lab ReXenMar, Vigo 36310, Spain; [Guinez, Ricardo] Univ Antofagasta, Fac Ciencias Mar &amp; Recursos Biol, Inst Ciencias Nat Alexander von Humboldt, Antofagasta, Chile</t>
  </si>
  <si>
    <t>Universidade de Vigo; Universidade de Vigo; Universidad de Magallanes; Universidade de Vigo; Universidad de Antofagasta</t>
  </si>
  <si>
    <t>Presa, P (corresponding author), Univ Vigo, Fac Biol, Marine Genet Resources Lab ReXenMar, Vigo 36310, Spain.</t>
  </si>
  <si>
    <t>pressa@uvigo.es</t>
  </si>
  <si>
    <t>Pita, Alfonso/AAP-4730-2021; Presa, Pablo/ABG-8538-2020; Guinez, Ricardo/E-3464-2014</t>
  </si>
  <si>
    <t>Pita, Alfonso/0000-0001-7608-5782; Presa, Pablo/0000-0001-7141-3652; Guinez, Ricardo/0000-0003-3658-7360</t>
  </si>
  <si>
    <t>Chilean regional allocation of the Innovation for Competitiveness Fund [30116751-0]; Ministerio de Educacion de Chile -Universidad de Antofagasta [1755]</t>
  </si>
  <si>
    <t>Chilean regional allocation of the Innovation for Competitiveness Fund; Ministerio de Educacion de Chile -Universidad de Antofagasta</t>
  </si>
  <si>
    <t>Chilean regional allocation of the Innovation for Competitiveness Fund, Grant/Award Number: 30116751-0; Ministerio de Educacion de Chile -Universidad de Antofagasta, Grant/Award Number:1755</t>
  </si>
  <si>
    <t>10.1002/aqc.3271</t>
  </si>
  <si>
    <t>WOS:000508189600001</t>
  </si>
  <si>
    <t>Halloran, PR; Hall, IR; Menary, M; Reynolds, DJ; Scourse, JD; Screen, JA; Bozzo, A; Dunstone, N; Phipps, S; Schurer, AP; Sueyoshi, T; Zhou, TJ; Garry, F</t>
  </si>
  <si>
    <t>Halloran, Paul R.; Hall, Ian R.; Menary, Matthew; Reynolds, David J.; Scourse, James D.; Screen, James A.; Bozzo, Alessio; Dunstone, Nick; Phipps, Steven; Schurer, Andrew P.; Sueyoshi, Tetsuo; Zhou, Tianjun; Garry, Freya</t>
  </si>
  <si>
    <t>Natural drivers of multidecadal Arctic sea ice variability over the last millennium</t>
  </si>
  <si>
    <t>SYSTEM MODEL; CLIMATE; CIRCULATION; OCEAN; TEMPERATURE; VERSION; IMPACT; CMIP5</t>
  </si>
  <si>
    <t>The climate varies due to human activity, natural climate cycles, and natural events external to the climate system. Understanding the different roles played by these drivers of variability is fundamental to predicting near-term climate change and changing extremes, and to attributing observed change to anthropogenic or natural factors. Natural drivers such as large explosive volcanic eruptions or multidecadal cycles in ocean circulation occur infrequently and are therefore poorly represented within the observational record. Here we turn to the first high-latitude annually-resolved and absolutely dated marine record spanning the last millennium, and the Paleoclimate Modelling Intercomparison Project (PMIP) Phase 3 Last Millennium climate model ensemble spanning the same time period, to examine the influence of natural climate drivers on Arctic sea ice. We show that bivalve oxygen isotope data are recording multidecadal Arctic sea ice variability and through the climate model ensemble demonstrate that external natural drivers explain up to third of this variability. Natural external forcing causes changes in sea-ice mediated export of freshwater into areas of active deep convection, affecting the strength of the Atlantic Meridional Overturning Circulation (AMOC) and thereby northward heat transport to the Arctic. This in turn leads to sustained anomalies in sea ice extent. The models capture these positive feedbacks, giving us improved confidence in their ability to simulate future sea ice in in a rapidly evolving Arctic.</t>
  </si>
  <si>
    <t>[Halloran, Paul R.; Garry, Freya] Univ Exeter, Coll Life &amp; Environm Sci, Exeter, Devon, England; [Hall, Ian R.; Reynolds, David J.] Cardiff Univ, Sch Earth &amp; Ocean Sci, Cardiff CF10 3AT, Wales; [Menary, Matthew] Sorbonne Univ SU, LOCEAN IPSL, CNRS, IRD,MNHN, Paris, France; [Reynolds, David J.] Univ Arizona, Lab Tree Ring Res, Tucson, AZ 85721 USA; [Scourse, James D.] Univ Exeter, Coll Life &amp; Environm Sci, Penryn Campus,Treliever Rd, Penryn, Cornwall, England; [Screen, James A.] Univ Exeter, Coll Engn Math &amp; Phys Sci, Exeter, Devon, England; [Bozzo, Alessio] Eumetsat, Darmstadt, Germany; [Dunstone, Nick] Met Off Hadley Ctr, FitzRoy Rd, Exeter EX1 3PB, Devon, England; [Phipps, Steven] Univ Tasmania, Inst Marine &amp; Antarctic Studies, Private Bag 129, Hobart, Tas 7001, Australia; [Schurer, Andrew P.] Univ Edinburgh, Sch Geosci, Edinburgh, Midlothian, Scotland; [Sueyoshi, Tetsuo] Natl Inst Polar Res, 10-3 Midori Cho, Tachikawa, Tokyo 1908518, Japan; [Sueyoshi, Tetsuo] Japan Agcy Marine Earth Sci &amp; Technol, Kanazawa Ku, 3173-25 Showa Machi, Yokohama, Kanagawa 2360001, Japan; [Zhou, Tianjun] Chinese Acad Sci, Inst Atmospher Phys, LASG, Beijing 100029, Peoples R China</t>
  </si>
  <si>
    <t>University of Exeter; Cardiff University; Institut de Recherche pour le Developpement (IRD); Centre National de la Recherche Scientifique (CNRS); Sorbonne Universite; Museum National d'Histoire Naturelle (MNHN); University of Arizona; University of Exeter; University of Exeter; European Organisation for the Exploitation of Meteorological Satellites; Met Office - UK; Hadley Centre; University of Tasmania; University of Edinburgh; Research Organization of Information &amp; Systems (ROIS); National Institute of Polar Research (NIPR) - Japan; Japan Agency for Marine-Earth Science &amp; Technology (JAMSTEC); Chinese Academy of Sciences; Institute of Atmospheric Physics, CAS</t>
  </si>
  <si>
    <t>Halloran, PR (corresponding author), Univ Exeter, Coll Life &amp; Environm Sci, Exeter, Devon, England.</t>
  </si>
  <si>
    <t>p.halloran@exeter.ac.uk</t>
  </si>
  <si>
    <t>Dunstone, Nick J/G-6304-2012; ZHOU, Tianjun/C-3195-2012; Menary, Matthew B/F-6215-2011; Screen, James A/D-7588-2013; Halloran, Paul/G-3965-2012; Hall, Ian/C-2755-2009; Phipps, Steven/B-3135-2008</t>
  </si>
  <si>
    <t>ZHOU, Tianjun/0000-0002-5829-7279; Bozzo, Alessio/0000-0002-8069-3809; Screen, James/0000-0003-1728-783X; Halloran, Paul/0000-0002-9227-0678; Hall, Ian/0000-0001-6960-1419; Schurer, Andrew/0000-0002-9176-3622; Phipps, Steven/0000-0001-5657-8782</t>
  </si>
  <si>
    <t>UK Natural Environmental Research Council [NE/N001435/1, NE/N001176/1, NE/N018486/1]; Leverhulme Trust [PLP-2015-215]; Australian Research Council's Special Research Initiative for the Antarctic Gateway Partnership [SR140300001]; EPICE project - European Union's Horizon 2020 programme [789445]; NERC [NE/N001176/1, NE/N018486/1, NE/N001435/1, NE/N002733/1, NE/H020357/1] Funding Source: UKRI; Marie Curie Actions (MSCA) [789445] Funding Source: Marie Curie Actions (MSCA)</t>
  </si>
  <si>
    <t>UK Natural Environmental Research Council(UK Research &amp; Innovation (UKRI)Natural Environment Research Council (NERC)); Leverhulme Trust(Leverhulme Trust); Australian Research Council's Special Research Initiative for the Antarctic Gateway Partnership(Australian Research Council); EPICE project - European Union's Horizon 2020 programme; NERC(UK Research &amp; Innovation (UKRI)Natural Environment Research Council (NERC)); Marie Curie Actions (MSCA)(Marie Curie Actions)</t>
  </si>
  <si>
    <t>This research was supported by the UK Natural Environmental Research Council grants NE/N001435/1, NE/N001176/1 and NE/N018486/1. J.A.S. was supported by The Leverhulme Trust (PLP-2015-215). S.P. was supported by the Australian Research Council's Special Research Initiative for the Antarctic Gateway Partnership (Project ID SR140300001). M.M. was supported by the EPICE project funded by the European Union's Horizon 2020 programme, Grant Agreement number 789445.</t>
  </si>
  <si>
    <t>10.1038/s41598-020-57472-2</t>
  </si>
  <si>
    <t>ND8EK</t>
  </si>
  <si>
    <t>WOS:000562135500003</t>
  </si>
  <si>
    <t>Moreno-Pino, M; Cristi, A; Gillooly, JF; Trefault, N</t>
  </si>
  <si>
    <t>Moreno-Pino, Mario; Cristi, Antonia; Gillooly, James F.; Trefault, Nicole</t>
  </si>
  <si>
    <t>Characterizing the microbiomes of Antarctic sponges: a functional metagenomic approach</t>
  </si>
  <si>
    <t>MARINE SPONGES; HOST-SPECIFICITY; SYMBIONTS; GENOME; MICROORGANISMS; CONVERGENCE; COMMUNITIES; EVOLUTION; ALIGNMENT; ECOLOGY</t>
  </si>
  <si>
    <t>Relatively little is known about the role of sponge microbiomes in the Antarctic marine environment, where sponges may dominate the benthic landscape. Specifically, we understand little about how taxonomic and functional diversity contributes to the symbiotic lifestyle and aids in nutrient cycling. Here we use functional metagenomics to investigate the community composition and metabolic potential of microbiomes from two abundant Antarctic sponges, Leucetta antarctica and Myxilla sp. Genomic and taxonomic analyses show that both sponges harbor a distinct microbial community with high fungal abundance, which differs from the surrounding seawater. Functional analyses reveal both sponge-associated microbial communities are enriched in functions related to the symbiotic lifestyle (e.g., CRISPR system, Eukaryotic-like proteins, and transposases), and in functions important for nutrient cycling. Both sponge microbiomes possessed genes necessary to perform processes important to nitrogen cycling (i.e., ammonia oxidation, nitrite oxidation, and denitrification), and carbon fixation. The latter indicates that Antarctic sponge microorganisms prefer light-independent pathways for CO2 fixation mediated by chemoautotrophic microorganisms. Together, these results show how the unique metabolic potential of two Antarctic sponge microbiomes help these sponge holobionts survive in these inhospitable environments, and contribute to major nutrient cycles of these ecosystems.</t>
  </si>
  <si>
    <t>[Moreno-Pino, Mario; Cristi, Antonia; Trefault, Nicole] Univ Mayor, Fac Ciencias, GEMA Ctr Gen Ecol &amp; Environm, Santiago 8580745, Chile; [Gillooly, James F.] Univ Florida, Dept Biol, Gainesville, FL 32611 USA</t>
  </si>
  <si>
    <t>Universidad Mayor; State University System of Florida; University of Florida</t>
  </si>
  <si>
    <t>Trefault, N (corresponding author), Univ Mayor, Fac Ciencias, GEMA Ctr Gen Ecol &amp; Environm, Santiago 8580745, Chile.</t>
  </si>
  <si>
    <t>nicole.trefault@umayor.cl</t>
  </si>
  <si>
    <t>Cristi, Antonia/0000-0003-1381-8170; Moreno-Pino, Mario/0000-0002-4332-3315</t>
  </si>
  <si>
    <t>INACH [RG_31-15, DG_12-17, RT_34-17]; CONICYT- FONDECYT [1190879]; Direction of Research and Art Creation (Vicerrectoria de Investigacion) of Universidad Mayor</t>
  </si>
  <si>
    <t>INACH; CONICYT- FONDECYT(Comision Nacional de Investigacion Cientifica y Tecnologica (CONICYT)CONICYT FONDECYT); Direction of Research and Art Creation (Vicerrectoria de Investigacion) of Universidad Mayor</t>
  </si>
  <si>
    <t>This work has been funded by INACH grants RG_31-15, DG_12-17, RT_34-17, CONICYT- FONDECYT grant No1190879, Puente Linking microbial community structure with their functional traits in Antarctic sponge symbionts: insights into the mechanisms of host-microbe interactions and FDP Funcionalidad en comunidades microbianas asociadas a esponjas Antarticas grants from the Direction of Research and Art Creation (Vicerrectoria de Investigacion) of Universidad Mayor. We thank the staff at Prof. Julio Escudero INACH Research Station for logistic support. We are infinitely grateful to Ignacio Garrido, Maria Jose Diaz and Jorge Holtheuer for sponge sampling.</t>
  </si>
  <si>
    <t>10.1038/s41598-020-57464-2</t>
  </si>
  <si>
    <t>ND8DW</t>
  </si>
  <si>
    <t>WOS:000562134000006</t>
  </si>
  <si>
    <t>Morash, AJ; Lyle, JM; Currie, S; Bell, JD; Stehfest, KM; Semmens, JM</t>
  </si>
  <si>
    <t>Morash, Andrea J.; Lyle, Jeremy M.; Currie, Suzanne; Bell, Justin D.; Stehfest, Kilian M.; Semmens, Jayson M.</t>
  </si>
  <si>
    <t>The endemic and endangered Maugean Skate (Zearaja maugeana) exhibits short-term severe hypoxia tolerance</t>
  </si>
  <si>
    <t>hypoxia; metabolism; environmental stress; anaerobic metabolism; endangered species</t>
  </si>
  <si>
    <t>SHARK HEMISCYLLIUM-OCELLATUM; METABOLIC-RATE DEPRESSION; SALMO-SALAR L.; EPAULETTE SHARK; ATLANTIC SALMON; CHILOSCYLLIUM-PUNCTATUM; ENVIRONMENTAL-FACTORS; REPRODUCTIVE-BIOLOGY; GENE-EXPRESSION; CLIMATE-CHANGE</t>
  </si>
  <si>
    <t>The endangered and range-restricted Maugean skate (Zearaja maugeana) is subjected to large environmental variability coupled with anthropogenic stressors in its endemic habitat, Macquarie Harbour, Tasmania. However, little is known about the basic biology/physiology of this skate, or how it may respond to future environmental challenges predicted from climate change and/or increases in human activities such as aquaculture. These skate live at a preferred depth of 5-15 m where the dissolved oxygen (DO) levels are moderate (similar to 55% air saturation), but can be found in areas of the Harbour whereDOcan range from100% saturation to anoxia. Given that the water at their preferred depth is already hypoxic, we sought to investigate their response to further decreases in DO that may arise from potential increases in anthropogenic stress. We measured oxygen consumption, haematological parameters, tissue and enzyme capacity and heat shock protein (HSP) levels in skate exposed to 55% dissolved O-2 saturation (control) and 20% dissolved O-2 saturation (hypoxic) for 48 h. We conclude that the Maugean skate appears to be an oxyconformer, with a decrease in the rate of O-2 consumption with increasing hypoxia. Increases in blood glucose and lactate at 20% O-2 suggest that skate are relying more on anaerobic metabolism to tolerate periods of very low oxygen. Despite these metabolic shifts, there was no difference in HSP70 levels between groups, suggesting this short-term exposure did not elicit a cellular stress response. The metabolic state of the skate suggests that low oxygen stress for longer periods of time (i.e.&gt;48 h) may not be tolerable and could potentially result in loss of habitat or shifts in their preferred habitat. Given its endemic distribution and limited life-history information, it will be critical to understand its tolerance to environmental challenges to create robust conservation strategies.</t>
  </si>
  <si>
    <t>[Morash, Andrea J.] Univ Tasmania, Inst Marine &amp; Antarctic Studies, 15-21 Nubeena Crescent, Taroona, Tas 7053, Australia; [Lyle, Jeremy M.; Bell, Justin D.; Stehfest, Kilian M.; Semmens, Jayson M.] Univ Tasmania, Inst Marine &amp; Antarctic Studies, Fisheries &amp; Aquaculture Ctr, 15-21 Nubeena Crescent, Taroona, Tas 7053, Australia; [Currie, Suzanne] Acadia Univ, Dept Biol, 15 Univ Ave,POB 107, Wolfville, NS B4P 2R6, Canada; [Morash, Andrea J.] Mt Allison Univ, Dept Biol, 63B York St, Sackville, NB E4L 1G7, Canada</t>
  </si>
  <si>
    <t>University of Tasmania; University of Tasmania; Acadia University; Mount Allison University</t>
  </si>
  <si>
    <t>Morash, AJ (corresponding author), Mt Allison Univ, Dept Biol, 63B York St, Sackville, NB E4L 1G7, Canada.</t>
  </si>
  <si>
    <t>amorash@mta.ca</t>
  </si>
  <si>
    <t>Lyle, Jeremy M/J-7170-2014</t>
  </si>
  <si>
    <t>Semmens, Jayson/0000-0003-1742-6692</t>
  </si>
  <si>
    <t>Natural Sciences and Engineering Research Council [06177]; Australian Government through the Fisheries Research and Development Corporation [2013/008]; IMAS; Winifred Violet Scott Charitable Trust</t>
  </si>
  <si>
    <t>Natural Sciences and Engineering Research Council(Natural Sciences and Engineering Research Council of Canada (NSERC)); Australian Government through the Fisheries Research and Development Corporation(Fisheries R&amp;D Corp); IMAS; Winifred Violet Scott Charitable Trust</t>
  </si>
  <si>
    <t>We thank the Tasmanian Salmonid Growers Association and the three individual salmon aquaculture companies Tassal, Petuna and Huon Aquaculture for providing the Macquarie Harbour DO data. Institute for Marine and Antarctic Studies (IMAS), University of Tasmania staff and students Edward Forbes, DavidMoreno and KayWeltz assisted with fieldwork. David Moreno also produced Figure 1. We thank Sustainable Timber Tasmania employees Theresa Weller, for approving our use of the Strahan facility as our laboratory, and Leigh Clark, for assisting us whilst on site. Funding to conduct the experiments was provided by the Winifred Violet Scott Charitable Trust, with laboratory analysis funded by the Natural Sciences and Engineering Research Council Discovery Program (SC; #06177). Funding for the field component was provided by the Australian Government through the Fisheries Research and Development Corporation (Project 2013/008) and IMAS.</t>
  </si>
  <si>
    <t>JAN 18</t>
  </si>
  <si>
    <t>coz105</t>
  </si>
  <si>
    <t>10.1093/conphys/coz105</t>
  </si>
  <si>
    <t>KW4WA</t>
  </si>
  <si>
    <t>WOS:000521165500001</t>
  </si>
  <si>
    <t>Zanin, PR; Satyamurty, P</t>
  </si>
  <si>
    <t>Zanin, Paulo Rodrigo; Satyamurty, Prakki</t>
  </si>
  <si>
    <t>Hydrological processes interconnecting the two largest watersheds of South America from multi-decadal to inter-annual time scales: A critical review</t>
  </si>
  <si>
    <t>Amazon Basin; hydrological memory; Low-Level Jet; Plata Basin; South Atlantic Convergence Zone</t>
  </si>
  <si>
    <t>LA-PLATA BASIN; SEA-SURFACE TEMPERATURE; ATLANTIC CONVERGENCE ZONE; LOW-LEVEL JET; AMAZON BASIN; TROPICAL ATLANTIC; INTERDECADAL VARIABILITY; PARANA RIVER; ANTARCTIC OSCILLATION; RAINFALL VARIABILITY</t>
  </si>
  <si>
    <t>The hydrological aspects of the Amazon and the La Plata basins are interconnected through southward moisture transport performed by the Low-Level Jet east of the Andes and the South Atlantic Convergence Zone. Remote effects of sea surface temperature variability in the Pacific and the Atlantic are of varied periodicities, from multi-decadal to inter-annual time scales. Major oscillations thus far detected are Atlantic Multi-decadal Oscillation, Pacific Multi-decadal Oscillation, North Atlantic Oscillation, Atlantic Dipole, Antarctic Oscillation, and the El Nino Southern Oscillation. In the multi-decadal, inter-decadal and decadal time scales, the effects of climate variability over the hydrological processes that interconnect the Amazon and La Plata watersheds are felt predominantly in the South American Monsoon season, while on the inter-annual scale the effects vary along the year. The hydrological memory in Amazonian soils is also responsible for the inter-annual variability of hydrology of the Amazon Basin. Due to the effects of soil water on evapotranspiration, the hydrological memory can affect the supply of moisture to the La Plata Basin, influencing the inter-annual variability of this basin. The implications of the observed oscillations to the hydrological and climatological variability in the two basins are discussed and synthesized in this article. Hypotheses for future research are formulated.</t>
  </si>
  <si>
    <t>[Zanin, Paulo Rodrigo; Satyamurty, Prakki] Natl Inst Amazon Res INPA, Postgrad Studies Climate &amp; Environm CLIAMB, Manaus, AM, Brazil; [Satyamurty, Prakki] Natl Inst Space Res INPE, Sao Jose Dos Campos, SP, Brazil</t>
  </si>
  <si>
    <t>Institute Nacional de Pesquisas da Amazonia; Instituto Nacional de Pesquisas Espaciais (INPE)</t>
  </si>
  <si>
    <t>Zanin, PR (corresponding author), Natl Inst Amazon Res INPA, Postgrad Studies Climate &amp; Environm CLIAMB, Manaus, AM, Brazil.</t>
  </si>
  <si>
    <t>paulorzgeo@gmail.com</t>
  </si>
  <si>
    <t>Zanin, Paulo Rodrigo/X-5651-2018</t>
  </si>
  <si>
    <t>Zanin, Paulo Rodrigo/0000-0003-4473-2441; Satyamurty, Prakki/0000-0003-4750-0662</t>
  </si>
  <si>
    <t>Coordenacao de Aperfeicoamento de Pessoal de Nivel Superior [001]</t>
  </si>
  <si>
    <t>Coordenacao de Aperfeicoamento de Pessoal de Nivel Superior(Coordenacao de Aperfeicoamento de Pessoal de Nivel Superior (CAPES))</t>
  </si>
  <si>
    <t>Coordenacao de Aperfeicoamento de Pessoal de Nivel Superior, Grant/Award Number: Finance Code 001</t>
  </si>
  <si>
    <t>10.1002/joc.6442</t>
  </si>
  <si>
    <t>WOS:000507815300001</t>
  </si>
  <si>
    <t>Nagakubo, T; Nomura, N; Toyofuku, M</t>
  </si>
  <si>
    <t>Nagakubo, Toshiki; Nomura, Nobuhiko; Toyofuku, Masanori</t>
  </si>
  <si>
    <t>Cracking Open Bacterial Membrane Vesicles</t>
  </si>
  <si>
    <t>membrane vesicles; proteome; lipidome; cargo selection; endocytosis; membrane fusion</t>
  </si>
  <si>
    <t>POLYMORPHIC PHASE-BEHAVIOR; GRAM-NEGATIVE BACTERIA; ESCHERICHIA-COLI; PSEUDOMONAS-AERUGINOSA; ANTARCTIC BACTERIUM; ENVELOPE STRESS; GENE-TRANSFER; MECHANISM; PROTEIN; BIOGENESIS</t>
  </si>
  <si>
    <t>Membrane vesicles (MVs) are nanoparticles composed of lipid membranes that are produced by both Gram-negative and Gram-positive bacteria. MVs have been assigned diverse biological functions, and they show great potential for applications in various fields. However, the mechanisms underlying their functions and biogenesis are not completely understood. Accumulating evidence shows that MVs are heterogenous, and different types of MVs with different compositions are released from the same species. To understand the origin and function of these MVs, determining the biochemical properties of MVs is important. In this review, we will discuss recent progress in understanding the biochemical composition and properties of MVs.</t>
  </si>
  <si>
    <t>[Nagakubo, Toshiki; Nomura, Nobuhiko; Toyofuku, Masanori] Univ Tsukuba, Dept Life &amp; Environm Sci, Tsukuba, Ibaraki, Japan; [Nomura, Nobuhiko; Toyofuku, Masanori] Univ Tsukuba, Microbiol Res Ctr Sustainabil, Tsukuba, Ibaraki, Japan</t>
  </si>
  <si>
    <t>University of Tsukuba; University of Tsukuba</t>
  </si>
  <si>
    <t>Toyofuku, M (corresponding author), Univ Tsukuba, Dept Life &amp; Environm Sci, Tsukuba, Ibaraki, Japan.;Toyofuku, M (corresponding author), Univ Tsukuba, Microbiol Res Ctr Sustainabil, Tsukuba, Ibaraki, Japan.</t>
  </si>
  <si>
    <t>toyofuku.masanori.gf@u.tsukuba.ac.jp</t>
  </si>
  <si>
    <t>Nomura, Nobuhiko/AAR-1915-2021</t>
  </si>
  <si>
    <t>Nomura, Nobuhiko/0000-0003-1103-9157; Nagakubo, Toshiki/0000-0003-0661-0304</t>
  </si>
  <si>
    <t>Ministry of Education, Culture, Sports, Science and Technology of Japan (MEXT) [19H02866]; MEXT [19K15726]; Japan Science and Technology Agency (JST) (ERATO project) [JPMJER 1502]; Grants-in-Aid for Scientific Research [19H02866, 19K15726] Funding Source: KAKEN</t>
  </si>
  <si>
    <t>Ministry of Education, Culture, Sports, Science and Technology of Japan (MEXT)(Ministry of Education, Culture, Sports, Science and Technology, Japan (MEXT)); MEXT(Ministry of Education, Culture, Sports, Science and Technology, Japan (MEXT)); Japan Science and Technology Agency (JST) (ERATO project)(Japan Science &amp; Technology Agency (JST)); Grants-in-Aid for Scientific Research(Ministry of Education, Culture, Sports, Science and Technology, Japan (MEXT)Japan Society for the Promotion of ScienceGrants-in-Aid for Scientific Research (KAKENHI))</t>
  </si>
  <si>
    <t>MT was supported by a Grant-in-Aid for Scientific Research (19H02866) from the Ministry of Education, Culture, Sports, Science and Technology of Japan (MEXT). TN was supported by Grant-in-Aid for Early-Career Scientists (19K15726) from MEXT. NN was supported by the Japan Science and Technology Agency (JST) (ERATO project JPMJER 1502).</t>
  </si>
  <si>
    <t>JAN 17</t>
  </si>
  <si>
    <t>10.3389/fmicb.2019.03026</t>
  </si>
  <si>
    <t>KO6TX</t>
  </si>
  <si>
    <t>WOS:000515683600001</t>
  </si>
  <si>
    <t>Brainard, J</t>
  </si>
  <si>
    <t>Brainard, Jeffrey</t>
  </si>
  <si>
    <t>Brazil opens new Antarctic research center</t>
  </si>
  <si>
    <t>KG2WE</t>
  </si>
  <si>
    <t>WOS:000509802700007</t>
  </si>
  <si>
    <t>Hernández, ASR; Trull, TW; Nodder, SD; Flores, JA; Bostock, H; Abrantes, F; Eriksen, RS; Sierro, FJ; Davies, DM; Ballegeer, AM; Fuertes, MA; Northcote, LC</t>
  </si>
  <si>
    <t>Rigual Hernandez, Andres S.; Trull, Thomas W.; Nodder, Scott D.; Flores, Jose A.; Bostock, Helen; Abrantes, Fatima; Eriksen, Ruth S.; Sierro, Francisco J.; Davies, Diana M.; Ballegeer, Anne-Marie; Fuertes, Miguel A.; Northcote, Lisa C.</t>
  </si>
  <si>
    <t>Coccolithophore biodiversity controls carbonate export in the Southern Ocean</t>
  </si>
  <si>
    <t>POLAR FRONTAL ZONES; EMILIANIA-HUXLEYI; AUSTRALIAN SECTOR; GENETIC DIFFERENTIATION; IRON FERTILIZATION; FORAMINIFERAL FLUX; SEDIMENT TRAPS; PACIFIC SECTOR; NEW-ZEALAND; ACIDIFICATION</t>
  </si>
  <si>
    <t>Southern Ocean waters are projected to undergo profound changes in their physical and chemical properties in the coming decades. Coccolithophore blooms in the Southern Ocean are thought to account for a major fraction of the global marine calcium carbonate (CaCO3) production and export to the deep sea. Therefore, changes in the composition and abundance of Southern Ocean coccolithophore populations are likely to alter the marine carbon cycle, with feedbacks to the rate of global climate change. However, the contribution of coccolithophores to CaCO3 export in the Southern Ocean is uncertain, particularly in the circumpolar subantarctic zone that represents about half of the areal extent of the Southern Ocean and where coccolithophores are most abundant. Here, we present measurements of annual CaCO3 flux and quantitatively partition them amongst coccolithophore species and heterotrophic calcifiers at two sites representative of a large portion of the subantarctic zone. We find that coccolithophores account for a major fraction of the annual CaCO3 export, with the highest contributions in waters with low algal biomass accumulations. Notably, our analysis reveals that although Emiliania huxleyi is an important vector for CaCO3 export to the deep sea, less abundant but larger species account for most of the annual coccolithophore CaCO3 flux. This observation contrasts with the generally accepted notion that high particulate inorganic carbon accumulations during the austral summer in the subantarctic Southern Ocean are mainly caused by E. huxleyi blooms. It appears likely that the climate-induced migration of oceanic fronts will initially result in the poleward expansion of large coccolithophore species increasing CaCO3 production. However, subantarctic coccolithophore populations will eventually diminish as acidification overwhelms those changes. Overall, our analysis emphasizes the need for species-centred studies to improve our ability to project future changes in phytoplankton communities and their influence on marine biogeochemical cycles.</t>
  </si>
  <si>
    <t>[Rigual Hernandez, Andres S.; Flores, Jose A.; Sierro, Francisco J.] Univ Salamanca, Dept Geol, Area Paleontol, E-37008 Salamanca, Spain; [Trull, Thomas W.; Eriksen, Ruth S.; Davies, Diana M.] CSIRO Oceans &amp; Atmosphere Flagship, Hobart, Tas 7001, Australia; [Trull, Thomas W.; Davies, Diana M.] Univ Tasmania, Antarctic Climate &amp; Ecosyst Cooperat Res Ctr, Hobart, Tas 7001, Australia; [Nodder, Scott D.; Bostock, Helen; Northcote, Lisa C.] Natl Inst Water &amp; Atmospher Res, Wellington 6021, New Zealand; [Bostock, Helen] Univ Queensland, Sch Earth &amp; Environm Sci, Brisbane, Qld 4072, Australia; [Abrantes, Fatima] Portuguese Inst Sea &amp; Atmosphere IPMA, Div Geol Marinha DivGM, Rua Alferedo Magalhaes Ramalho 6, Lisbon, Portugal; [Abrantes, Fatima] Univ Algarve, Ctr Ciencias Mar, CCMAR, Campus Gambelas, P-8005139 Faro, Portugal; [Eriksen, Ruth S.] Univ Tasmania, Inst Marine &amp; Antarctic Studies, Private Bag 129, Hobart, Tas 7001, Australia; [Ballegeer, Anne-Marie; Fuertes, Miguel A.] Univ Salamanca, Dept Didact Matemat &amp; Ciencias Expt, E-37008 Salamanca, Spain</t>
  </si>
  <si>
    <t>University of Salamanca; Commonwealth Scientific &amp; Industrial Research Organisation (CSIRO); Antarctic Climate &amp; Ecosystems Cooperative Research Centre (ACE CRC); University of Tasmania; National Institute of Water &amp; Atmospheric Research (NIWA) - New Zealand; University of Queensland; Instituto Portugues do Mar e da Atmosfera; Universidade do Algarve; University of Tasmania; University of Salamanca</t>
  </si>
  <si>
    <t>Hernández, ASR (corresponding author), Univ Salamanca, Dept Geol, Area Paleontol, E-37008 Salamanca, Spain.</t>
  </si>
  <si>
    <t>Sierro, Francisco/A-4714-2008; Ballegeer, Anne Marie/AAB-1707-2021; Bostock, Helen/A-6834-2013; Rigual-Hernández, Andrés/E-2041-2018; Flores, José-Abel/D-4218-2009; Abrantes, Fatima/B-5985-2013; Eriksen, Ruth/J-7760-2014</t>
  </si>
  <si>
    <t>Sierro, Francisco/0000-0002-8647-456X; Ballegeer, Anne Marie/0000-0001-6296-1868; Bostock, Helen/0000-0002-8903-8958; Rigual-Hernández, Andrés/0000-0003-1521-3896; Flores, José-Abel/0000-0003-1909-293X; Abrantes, Fatima/0000-0002-9110-0212; Fuertes, Miguel Angel/0000-0002-6914-6871; Eriksen, Ruth/0000-0002-5184-2465</t>
  </si>
  <si>
    <t>European Union [748690 - SONAR-CO2]</t>
  </si>
  <si>
    <t>This project has received funding from the European Union's Horizon 2020 research and innovation programme under the Marie Sklodowska-Curie grant agreement number 748690 - SONAR-CO2 (Andres S. Rigual Hernandez, Jose A. Flores and Fatima Abrantes).</t>
  </si>
  <si>
    <t>10.5194/bg-17-245-2020</t>
  </si>
  <si>
    <t>KD9RL</t>
  </si>
  <si>
    <t>WOS:000508198600004</t>
  </si>
  <si>
    <t>Golledge, NR</t>
  </si>
  <si>
    <t>Golledge, Nicholas R.</t>
  </si>
  <si>
    <t>Long-term projections of sea-level rise from ice sheets</t>
  </si>
  <si>
    <t>WILEY INTERDISCIPLINARY REVIEWS-CLIMATE CHANGE</t>
  </si>
  <si>
    <t>Antarctic; climate change; commitment; Greenland; ice sheet</t>
  </si>
  <si>
    <t>SURFACE MASS-BALANCE; CLIMATE-CHANGE; PROBABILISTIC ASSESSMENT; GREENLAND MELTWATER; ELEVATION FEEDBACK; WEST ANTARCTICA; OUTLET GLACIERS; PINE ISLAND; DEEP-WATER; MODEL</t>
  </si>
  <si>
    <t>Under future climate change scenarios it is virtually certain that global mean sea level will continue to rise. But the rate at which this occurs, and the height and time at which it might stabilize, are uncertain. The largest potential contributors to sea level are the Greenland and Antarctic ice sheets, but these may take thousands of years to fully adjust to environmental changes. Modeled projections of how these ice masses will evolve in the future are numerous, but vary both in complexity and projection timescale. Typically, there is greater agreement between models in the present century than over the next millennium. This reflects uncertainty in the physical processes that dominate ice-sheet change and also feedbacks in the ice-atmosphere-ocean system, and how these might lead to nonlinear behavior. Satellite observations help constrain short-term projections of ice-sheet change but these records are still too short to capture the full ice-sheet response. Conversely, geological records can be used to inform long-term ice-sheet simulations but are prone to large uncertainties, meaning that they are often unable to adequately confirm or refute the operation of particular processes. Because of these limitations there is a clear need to more accurately reconstruct sea level changes during periods of the past, to improve the spatial and temporal extent of current ice sheet observations, and to robustly attribute observed changes to driving mechanisms. Improved future projections will require models that capture a more extensive suite of physical processes than are presently incorporated, and which better quantify the associated uncertainties. This article is categorized under: Climate Models and Modeling &gt; Knowledge Generation with Models</t>
  </si>
  <si>
    <t>[Golledge, Nicholas R.] Victoria Univ Wellington, Antarctic Res Ctr, Wellington 6140, New Zealand; [Golledge, Nicholas R.] GNS Sci, Lower Hutt, New Zealand</t>
  </si>
  <si>
    <t>Victoria University Wellington; GNS Science - New Zealand</t>
  </si>
  <si>
    <t>Golledge, NR (corresponding author), Victoria Univ Wellington, Antarctic Res Ctr, Wellington 6140, New Zealand.</t>
  </si>
  <si>
    <t>nicholas.golledge@vuw.ac.nz</t>
  </si>
  <si>
    <t>Golledge, Nicholas/0000-0001-7676-8970</t>
  </si>
  <si>
    <t>Ministry for Business Innovation and Employment [CO5X1001]; National Aeronautics and Space Administration [NNX13AK27G, NNX13AM16G]; Royal Society Te Aparangi [RDF-VUW1501]</t>
  </si>
  <si>
    <t>Ministry for Business Innovation and Employment(New Zealand Ministry of Business, Innovation and Employment (MBIE)); National Aeronautics and Space Administration(National Aeronautics &amp; Space Administration (NASA)); Royal Society Te Aparangi(Royal Society of New Zealand)</t>
  </si>
  <si>
    <t>Ministry for Business Innovation and Employment, Grant/Award Number: CO5X1001; National Aeronautics and Space Administration, Grant/Award Numbers: NNX13AK27G, NNX13AM16G; Royal Society Te Aparangi, Grant/Award Number: RDF-VUW1501</t>
  </si>
  <si>
    <t>1757-7780</t>
  </si>
  <si>
    <t>1757-7799</t>
  </si>
  <si>
    <t>WIRES CLIM CHANGE</t>
  </si>
  <si>
    <t>Wiley Interdiscip. Rev.-Clim. Chang.</t>
  </si>
  <si>
    <t>e634</t>
  </si>
  <si>
    <t>10.1002/wcc.634</t>
  </si>
  <si>
    <t>Environmental Studies; Meteorology &amp; Atmospheric Sciences</t>
  </si>
  <si>
    <t>KL1HH</t>
  </si>
  <si>
    <t>WOS:000507583100001</t>
  </si>
  <si>
    <t>Boisvert, L; Vihma, T; Shie, CL</t>
  </si>
  <si>
    <t>Boisvert, Linette; Vihma, Timo; Shie, Chung-Lin</t>
  </si>
  <si>
    <t>Evaporation From the Southern Ocean Estimated on the Basis of AIRS Satellite Data</t>
  </si>
  <si>
    <t>ANTARCTIC SEA-ICE; TURBULENT EXCHANGE; ARCTIC CLOUD; WATER CYCLE; WEDDELL SEA; CLIMATE; HEAT; TRENDS; COEFFICIENTS; SIMULATIONS</t>
  </si>
  <si>
    <t>Evaporation plays an important role in the global water and energy cycles and, hence, in climate change. Evaporation over the Southern Ocean, where the Antarctic sea ice coverage has a large annual cycle, is poorly quantified. In this study, daily evaporation is estimated for the Southern Ocean with a sea-ice-specific algorithm, using surface temperature and air humidity from National Aeronautics and Space Administration's Atmospheric Infrared Sounder (AIRS), and wind speeds from Modern-Era Retrospective Analysis for Research and Applications, Version 2 (MERRA-2), reanalysis during 2003-2016. An uncertainty of 34% was found in the evaporation product. The results indicate that annual evaporation has considerable interannual and regional variability, but with a decreasing trend during the study period over most of the Southern Ocean. There are, however, areas where evaporation has increased, specifically in the Ross Sea in winter and summer, with smaller positive trends in spring and fall. Overall, the changes in the difference between the surface specific humidity and the air specific humidity, and to a much lesser extent in the wind speed, are the main drivers for the changes in evaporation throughout the year. During spring and fall months, changes to the sea ice cover, which alter the surface specific humidity, are the main drivers for the change, but in summer and winter the main driver is the air-specific humidity. Air masses originating from the Antarctic continent (south) are associated with cold and dry conditions, which increase evaporation, whereas air masses from lower latitudes in the Southern Ocean (north) are associated with warm and moist conditions, decreasing evaporation. Comparisons with other reanalysis evaporation products produce similar trends, although annual averages differ.</t>
  </si>
  <si>
    <t>[Boisvert, Linette] NASA, Cryospher Sci Lab, Goddard Space Flight Ctr, Greenbelt, MD 20771 USA; [Vihma, Timo] Finnish Meteorol Inst, Helsinki, Finland; [Shie, Chung-Lin] Univ Maryland Baltimore Cty, Joint Ctr Earth Syst Technol JCET, Baltimore, MD 21228 USA</t>
  </si>
  <si>
    <t>National Aeronautics &amp; Space Administration (NASA); NASA Goddard Space Flight Center; Finnish Meteorological Institute; University System of Maryland; University of Maryland Baltimore County</t>
  </si>
  <si>
    <t>Boisvert, L (corresponding author), NASA, Cryospher Sci Lab, Goddard Space Flight Ctr, Greenbelt, MD 20771 USA.</t>
  </si>
  <si>
    <t>linette.n.boisvert@nasa.gov</t>
  </si>
  <si>
    <t>Vihma, Timo/ABC-9771-2020</t>
  </si>
  <si>
    <t>NASA GSFC Cryospheric Science Lab; Academy of Finland [304345]; [REKLIM-2013-04]; Academy of Finland (AKA) [304345] Funding Source: Academy of Finland (AKA)</t>
  </si>
  <si>
    <t>NASA GSFC Cryospheric Science Lab; Academy of Finland(Research Council of Finland); ; Academy of Finland (AKA)</t>
  </si>
  <si>
    <t>Autonomous sea ice mass balance buoy data on air temperature, humidity, and wind speed from 15 January 2016 to 1 March 2017 were obtained from http://www.meereisportal.de (grant: REKLIM-2013-04). AIRS data can be obtained at airs.jpl.nasa.gov. MERRA-2 data can be obtained from https://gmao.gsfc.nasa.gov/reanalysis/MERRA-2/data_access/.Ice concentration can be obtained from www.nsidc.org. The work of Linette Boisvert was funded by NASA GSFC Cryospheric Science Lab. The work of Timo Vihma was funded by the Academy of Finland (contract 304345). Chung-Lin Shie is a research faculty member at the Joint Center for Earth Systems Technology (JCET).</t>
  </si>
  <si>
    <t>JAN 16</t>
  </si>
  <si>
    <t>e2019JD030845</t>
  </si>
  <si>
    <t>10.1029/2019JD030845</t>
  </si>
  <si>
    <t>KN1EZ</t>
  </si>
  <si>
    <t>WOS:000514584000013</t>
  </si>
  <si>
    <t>Kinase, T; Adachi, K; Oshima, N; Goto-Azuma, K; Ogawa-Tsukagawa, Y; Kondo, Y; Moteki, N; Ohata, S; Mori, T; Hayashi, M; Hara, K; Kawashima, H; Kita, K</t>
  </si>
  <si>
    <t>Kinase, T.; Adachi, K.; Oshima, N.; Goto-Azuma, K.; Ogawa-Tsukagawa, Y.; Kondo, Y.; Moteki, N.; Ohata, S.; Mori, T.; Hayashi, M.; Hara, K.; Kawashima, H.; Kita, K.</t>
  </si>
  <si>
    <t>Concentrations and Size Distributions of Black Carbon in the Surface Snow of Eastern Antarctica in 2011</t>
  </si>
  <si>
    <t>SYOWA STATION; SPECTRAL ALBEDO; ICE CORE; DEPOSITION; SOOT; PARTICLES; AEROSOL; CLOUD; PLATEAU; MODEL</t>
  </si>
  <si>
    <t>Knowledge of black carbon (BC) concentrations and size distributions within surface snow in Antarctica is limited. However, these measurements are important to understanding global aerosol transport from combustion sources, and BC contributes to positive radiative forcing. This study analyzed the concentrations and size distributions of BC and inorganic ions in snow samples collected at the Syowa station in Antarctica from April to December 2011 and along a traverse route to an inland (Mizuho) station. The BC size distributions in snow were bimodal with mass median diameters of similar to 140 and similar to 690 nm. We also estimated the mass median diameter from unimodal distributions and found smaller diameters than were reported by other studies. The mass concentrations of BC in snow were higher in inland samples than in Syowa samples. Among Syowa samples, the BC concentrations in December (2117.3 ng L-1 on average) were higher than in other periods (288.2 ng L-1 on average). The December samples experienced ambient temperatures above 0 degrees C, and the atmospheric BC concentrations did not increase simultaneously. Inorganic ions originated from the ocean and decreased with increasing distance from the coastal area. We conclude that the BC concentrations in surface snow increased mainly by postdeposition processes through the loss of water mass due to melting, evaporation, and sublimation. Our study is the first to report detailed BC concentrations and size distributions in eastern Antarctica, and the results will help to evaluate BC global transport, the snow albedo estimations in this region, and the climate impacts of BC.</t>
  </si>
  <si>
    <t>[Kinase, T.; Adachi, K.; Oshima, N.] Meteorol Res Inst, Atmospher Environm &amp; Appl Meteorol Res Dept, Tsukuba, Ibaraki, Japan; [Kinase, T.; Kita, K.] Ibaraki Univ, Grad Sch Sci &amp; Engn, Mito, Ibaraki, Japan; [Goto-Azuma, K.; Ogawa-Tsukagawa, Y.; Kondo, Y.] Natl Inst Polar Res, Tachikawa, Tokyo, Japan; [Goto-Azuma, K.] SOKENDAI Grad Univ Adv Studies, Hayama, Kanagawa, Japan; [Moteki, N.; Mori, T.] Univ Tokyo, Grad Sch Sci, Dept Earth &amp; Planetary Sci, Tokyo, Japan; [Ohata, S.] Nagoya Univ, Inst Space Earth Environm Res, Nagoya, Aichi, Japan; [Ohata, S.] Nagoya Univ, Inst Adv Res, Nagoya, Aichi, Japan; [Mori, T.] Tokyo Univ Sci, Dept Phys, Fac Sci, Div 1, Tokyo, Japan; [Hayashi, M.; Hara, K.] Fukuoka Univ, Fac Sci, Dept Earth Syst Sci, Fukuoka, Japan; [Kawashima, H.] Akita Prefectural Univ, Fac Syst Sci &amp; Technol, Dept Management Sci &amp; Engn, Yurihonjo, Japan</t>
  </si>
  <si>
    <t>Meteorological Research Institute - Japan; Ibaraki University; Research Organization of Information &amp; Systems (ROIS); National Institute of Polar Research (NIPR) - Japan; Graduate University for Advanced Studies - Japan; University of Tokyo; Nagoya University; Nagoya University; Tokyo University of Science; Fukuoka University; Akita Prefectural University</t>
  </si>
  <si>
    <t>Kinase, T (corresponding author), Meteorol Res Inst, Atmospher Environm &amp; Appl Meteorol Res Dept, Tsukuba, Ibaraki, Japan.;Kinase, T (corresponding author), Ibaraki Univ, Grad Sch Sci &amp; Engn, Mito, Ibaraki, Japan.</t>
  </si>
  <si>
    <t>tkinase@mri-jma-go.jp</t>
  </si>
  <si>
    <t>Hara, Keiichiro/N-8264-2018; Oshima, Naga/E-4708-2012; Moteki, Nobuhiro/L-6580-2018</t>
  </si>
  <si>
    <t>Kawashima, Hiroto/0000-0003-1133-8667</t>
  </si>
  <si>
    <t>Japan Society for the Promotion of Science (JSPS) KAKENHI [JP26701004, JP16H01772, JP18H03363]; Environment Research and Technology Development Fund of the Environmental Restoration and Conservation Agency, Japan [2-1703]; Global Environmental Research Coordination System from the Ministry of the Environment of Japan</t>
  </si>
  <si>
    <t>Japan Society for the Promotion of Science (JSPS) KAKENHI(Ministry of Education, Culture, Sports, Science and Technology, Japan (MEXT)Japan Society for the Promotion of ScienceGrants-in-Aid for Scientific Research (KAKENHI)); Environment Research and Technology Development Fund of the Environmental Restoration and Conservation Agency, Japan; Global Environmental Research Coordination System from the Ministry of the Environment of Japan</t>
  </si>
  <si>
    <t>We thank the members of the 52nd Japanese Antarctic Research Expedition and staff of the National Institute of Polar Research (NIPR) for help with snow sampling and aerosol measurements at Syowa and on the Mizuho traverse route. We thank the members of the Japan Meteorological Agency for help with snow sampling and the provision of meteorological data. We gratefully thank T. Yamanouchi, H. Motoyama, M. Shoibara, J. Ching, and all the people who gave us various suggestions. The meteorological data were obtained from the web sites of the Japanese Meteorological Agency (https://www.data.jma.go.jp/obd/stats/etrn/index.php?prec_no=99&amp;block_no= 89532&amp;year=&amp;month=&amp;day=&amp;view=). The data used in this study are available upon the data center of NIPR (https://ads.nipr.ac.jp/dataset/A20190829-001).This study was performed using facilities 25-13 of NIPR and was financially supported by the Japan Society for the Promotion of Science (JSPS) KAKENHI (grant JP26701004, and JP16H01772, JP18H03363), the Environment Research and Technology Development Fund (2-1703) of the Environmental Restoration and Conservation Agency, Japan, and the Global Environmental Research Coordination System from the Ministry of the Environment of Japan.</t>
  </si>
  <si>
    <t>e2019JD030737</t>
  </si>
  <si>
    <t>10.1029/2019JD030737</t>
  </si>
  <si>
    <t>WOS:000514584000011</t>
  </si>
  <si>
    <t>Krause, JW; Lomas, MW</t>
  </si>
  <si>
    <t>Krause, Jeffrey W.; Lomas, Michael W.</t>
  </si>
  <si>
    <t>Understanding Diatoms' Past and Future Biogeochemical Role in High-Latitude Seas</t>
  </si>
  <si>
    <t>ANTARCTIC POLAR FRONT; PARTICULATE ORGANIC-CARBON; BIOGENIC SILICA; PACIFIC SECTOR; COMMUNITY STRUCTURE; SOUTHERN-OCEAN; BIOMASS; MARINE; PHYTOPLANKTON; TEMPERATURE</t>
  </si>
  <si>
    <t>Because cold-water diatoms' baseline elemental density (BED) is substantially higher than temperate diatoms, previous polar studies may have underestimated diatoms' contribution to elemental standing stocks, contribution to particulate organic carbon (POC) export and incorrectly modeled their susceptibility to future warming. We apply cold-water diatom allometry to Arctic field samples and derive diatom growth rates ranging from 0.01-0.68 day(-1), versus unrealistically high rates estimated using temperate diatom allometry. Reanalysis of published Southern Ocean data (Antarctic Environment and Southern Ocean Process Study and European Iron Fertilization Experiment) shows that diatom POC was significantly underestimated and diatoms could have accounted for a majority of POC export. However, during some field programs (Kerguelen Plateau), temperate allometry properly accounted for diatom biomass. We also predict that warming sea surface temperature may alter high-latitude diatom BED, suggesting that even if abundances do not change with warming, the reduced diatom BED will likely lower the trophic-transfer efficiency and their total carbon flow to consumers.</t>
  </si>
  <si>
    <t>[Krause, Jeffrey W.] Dauphin Isl Sea Lab, Dauphin Isl, AL 36528 USA; [Krause, Jeffrey W.] Univ S Alabama, Dept Marine Sci, Mobile, AL 36688 USA; [Lomas, Michael W.] Bigelow Lab Ocean Sci, East Boothbay, ME USA</t>
  </si>
  <si>
    <t>Dauphin Island Sea Lab; University of South Alabama; Bigelow Laboratory for Ocean Sciences</t>
  </si>
  <si>
    <t>Krause, JW (corresponding author), Dauphin Isl Sea Lab, Dauphin Isl, AL 36528 USA.;Krause, JW (corresponding author), Univ S Alabama, Dept Marine Sci, Mobile, AL 36688 USA.</t>
  </si>
  <si>
    <t>jkrause@disl.edu</t>
  </si>
  <si>
    <t>Krause, Jeffrey/0000-0003-2479-6229; Lomas, Michael/0000-0003-1209-3753</t>
  </si>
  <si>
    <t>National Science Foundation Office of Polar Programs [OCE-1603605, OCE-1603460]; North Pacific Research Board [NA15NMF4720173]</t>
  </si>
  <si>
    <t>National Science Foundation Office of Polar Programs(National Science Foundation (NSF)NSF - Directorate for Geosciences (GEO)); North Pacific Research Board</t>
  </si>
  <si>
    <t>Funding was provided by the National Science Foundation Office of Polar Programs (OCE-1603605, J, K.; OCE-1603460, M. L.) and logistic and vessel support by the North Pacific Research Board (NA15NMF4720173 to M. L., subaward to J. K.). We thank ASGARD Chief Scientist S. Danielson, along with the science party and crew including marine technicians S. Hartz and E. Roth; D. Wiik, T. Martinson, and D. Harlan for logistical support, S. Acton and W. Dobbins for laboratory support, M. Stukel for insightful discussion, and two anonymous reviewers for providing constructive comments. The original project data are available as supporting information and at the National Science Foundation Arctic Data Center (doi:10.18739/A2SF2MC1D). Reanalysis data are provided in the supporting information, and original AESOPS data can be accessed through the Biological and Chemical Oceanography Data Management Office (www.bco-dmo.org/project/2044).</t>
  </si>
  <si>
    <t>e2019GL085602</t>
  </si>
  <si>
    <t>10.1029/2019GL085602</t>
  </si>
  <si>
    <t>KM2WL</t>
  </si>
  <si>
    <t>WOS:000513983400027</t>
  </si>
  <si>
    <t>Lei, JT; Chen, W; Li, Z; Li, F; Zhang, SK</t>
  </si>
  <si>
    <t>Lei, Jintao; Chen, Wu; Li, Zhao; Li, Fei; Zhang, Shengkai</t>
  </si>
  <si>
    <t>A Full-Spectrum Bedrock Thermal Expansion Model and Its Impact on the Global Positioning System Height Time Series</t>
  </si>
  <si>
    <t>DIFFERENT SPATIAL SCALES; SEASONAL-VARIATIONS; GPS; DEFORMATION; WATER; REGION; GRACE</t>
  </si>
  <si>
    <t>Bedrock thermal expansion includes prominent seasonal (annual and semiannual) terms and intricate nonseasonal variations (high-frequency change and transient signals). However, the nonseasonal variations are usually ignored in geodetic studies due to defects in analytical solutions. In this study, we calculate the full-spectrum bedrock thermal expansion displacement using the skin temperature from the ERA5 reanalysis data set. The results show that the nonseasonal variations of bedrock thermal expansion, with a range (maximum minus minimum) reaching 3 mm in some regions, can be observed by geodetic instruments and thus cannot be ignored. Moreover, the mean power of the nonseasonal variations accounts for 20% of the entire thermal expansion. Without considering the influence of the nonseasonal variations, this noise would remain in the original observations and contaminate related geophysical inversions.</t>
  </si>
  <si>
    <t>[Lei, Jintao; Chen, Wu; Li, Zhao] Hong Kong Polytech Univ, Dept Land Surveying &amp; Geoinformat, Hong Kong, Peoples R China; [Li, Fei; Zhang, Shengkai] Wuhan Univ, Chinese Antarctic Ctr Surveying &amp; Mapping, Wuhan, Peoples R China</t>
  </si>
  <si>
    <t>Hong Kong Polytechnic University; Wuhan University</t>
  </si>
  <si>
    <t>Chen, W (corresponding author), Hong Kong Polytech Univ, Dept Land Surveying &amp; Geoinformat, Hong Kong, Peoples R China.</t>
  </si>
  <si>
    <t>wu.chen@polyu.edu.hk</t>
  </si>
  <si>
    <t>LEI, Jintao/HHZ-6471-2022; Chen, Wu/B-5326-2011</t>
  </si>
  <si>
    <t>Chen, Wu/0000-0002-1787-5191; Lei, Jintao/0000-0002-4497-5868</t>
  </si>
  <si>
    <t>National Key Research and Development Program of China [2016YFB0501803, 2017YFA0603104]; Hong Kong RGC Joint Research Scheme [E-PolyU501/16]; State Key Program of National Natural Science Foundation of China [41531069]; NERC [BIGF010001] Funding Source: UKRI</t>
  </si>
  <si>
    <t>National Key Research and Development Program of China; Hong Kong RGC Joint Research Scheme(Hong Kong Research Grants Council); State Key Program of National Natural Science Foundation of China(National Natural Science Foundation of China (NSFC)); NERC(UK Research &amp; Innovation (UKRI)Natural Environment Research Council (NERC))</t>
  </si>
  <si>
    <t>The work was substantially supported by grants from the National Key Research and Development Program of China (2016YFB0501803, 2017YFA0603104), the Hong Kong RGC Joint Research Scheme (E-PolyU501/16), and the State Key Program of National Natural Science Foundation of China (41531069). The ERA5 reanalysis data set in this analysis is available at https://cds.climate.copernicus.eu, the NCEP/NCAR reanalysis data set is available at https://www.esrl.noaa.gov/psd/data/gridded/data.ncep.reanalysis.html, the GPS time series are available at http://garner.ucsd.edu/pub/timeseries/mea-sures/ats/, and the GFZ environment loads are available at http://rz-vm115.gfz-potsdam.de:8080/repository.</t>
  </si>
  <si>
    <t>e2019GL086022</t>
  </si>
  <si>
    <t>10.1029/2019GL086022</t>
  </si>
  <si>
    <t>WOS:000513983400036</t>
  </si>
  <si>
    <t>Liu, GP; Janches, D; Lieberman, RS; Moffat-Griffin, T; Fritts, DC; Mitchell, NJ</t>
  </si>
  <si>
    <t>Liu, Guiping; Janches, Diego; Lieberman, Ruth S.; Moffat-Griffin, Tracy; Fritts, David C.; Mitchell, Nicholas J.</t>
  </si>
  <si>
    <t>Coordinated Observations of 8-and 6-hr Tides in the Mesosphere and Lower Thermosphere by Three Meteor Radars Near 60°S Latitude</t>
  </si>
  <si>
    <t>TERDIURNAL TIDE; ARCTIC MESOSPHERE; SEMIDIURNAL TIDES; 8-HOUR TIDE; VARIABILITY; REGION; OSCILLATIONS</t>
  </si>
  <si>
    <t>Atmospheric 8- and 6-hr tides are observed for the first time in the zonal and meridional winds at similar to 82-97 km altitudes simultaneously at Tierra del Fuego (TDF; 53.7 degrees S, 67.7 degrees W), King Edward Point (KEP; 54.3 degrees S, 36.5 degrees W), and Rothera (ROT; 67.5 degrees S, 68.0 degrees W) at Southern Hemisphere (SH) middle-to-high latitudes during long time spans, allowing to reveal climatology and migrating nature. The monthly averaged amplitudes vary between similar to 1 and 8 m/s for the 8-hr tides while the amplitudes of 6-hr tides are smaller similar to 0.5-4 m/s. Both tides exhibit an annual pattern having the amplitude maxima during SH winter and minima in SH summer. The tidal phases are smaller (earlier) in the zonal wind than in the meridional wind by about 90 degrees. The phase differences observed between TDF and KEP, which are located at similar latitudes but different longitudes suggest the propagation of migrating tides. The study finds that 8- and 6-hr tides are correlated.</t>
  </si>
  <si>
    <t>[Liu, Guiping] Univ Calif Berkeley, Space Sci Lab, Berkeley, CA 94720 USA; [Liu, Guiping] NASA GSFC, CUA, Greenbelt, MD 20771 USA; [Janches, Diego; Lieberman, Ruth S.] NASA, Goddard Space Flight Ctr, Heliophys Sci Div, Greenbelt, MD USA; [Moffat-Griffin, Tracy] British Antarctic Survey, Cambridge, England; [Fritts, David C.] GATS Inc, Boulder, CO USA; [Mitchell, Nicholas J.] Univ Bath, Ctr Space Atmospher &amp; Ocean Sci, Bath, Avon, England</t>
  </si>
  <si>
    <t>University of California System; University of California Berkeley; National Aeronautics &amp; Space Administration (NASA); NASA Goddard Space Flight Center; National Aeronautics &amp; Space Administration (NASA); NASA Goddard Space Flight Center; UK Research &amp; Innovation (UKRI); Natural Environment Research Council (NERC); NERC British Antarctic Survey; University of Bath</t>
  </si>
  <si>
    <t>Liu, GP (corresponding author), Univ Calif Berkeley, Space Sci Lab, Berkeley, CA 94720 USA.;Liu, GP (corresponding author), NASA GSFC, CUA, Greenbelt, MD 20771 USA.</t>
  </si>
  <si>
    <t>guiping@berkeley.edu</t>
  </si>
  <si>
    <t>Janches, Diego/D-4674-2012</t>
  </si>
  <si>
    <t>NASA TIMED program; NASA ISFM Heliophysics program; NASA SSO program; NESC [TI-17-0120]; NSF [AGS-1647354]; University of La Plata; Catholic University of America; NERC [NE/R001391/1, bas0100032] Funding Source: UKRI</t>
  </si>
  <si>
    <t>NASA TIMED program(National Aeronautics &amp; Space Administration (NASA)); NASA ISFM Heliophysics program; NASA SSO program; NESC; NSF(National Science Foundation (NSF)); University of La Plata(National University of La Plata); Catholic University of America; NERC(UK Research &amp; Innovation (UKRI)Natural Environment Research Council (NERC))</t>
  </si>
  <si>
    <t>D. J., R. L., and G. L. are supported by the NASA TIMED and ISFM Heliophysics programs. The data used in this study are publicly available at these sites (http://millstonehill.haystack.mit.edu and http://psddb.nerc-bas.ac.uk).The operation of the SAAMER radar at TDF is supported by NASA SSO program, NESC assessment TI-17-0120, and NSF Grant AGS-1647354. The authors appreciate the invaluable support of Jose Luis Hormaechea, Carlos Ferrer, Gerardo Connon, and Luis Barbero with the operation of SAAMER. SAAMER observations are partially supported through a Memorandum of Understanding between the University of La Plata and the Catholic University of America.</t>
  </si>
  <si>
    <t>e2019GL086629</t>
  </si>
  <si>
    <t>10.1029/2019GL086629</t>
  </si>
  <si>
    <t>WOS:000513983400047</t>
  </si>
  <si>
    <t>Yamazaki, Y; Matthias, V; Miyoshi, Y; Stolle, C; Siddiqui, T; Kervalishvili, G; Lastovicka, J; Kozubek, M; Ward, W; Themens, DR; Kristoffersen, S; Alken, P</t>
  </si>
  <si>
    <t>Yamazaki, Y.; Matthias, V; Miyoshi, Y.; Stolle, C.; Siddiqui, T.; Kervalishvili, G.; Lastovicka, J.; Kozubek, M.; Ward, W.; Themens, D. R.; Kristoffersen, S.; Alken, P.</t>
  </si>
  <si>
    <t>September 2019 Antarctic Sudden Stratospheric Warming: Quasi-6-Day Wave Burst and Ionospheric Effects</t>
  </si>
  <si>
    <t>ROSSBY NORMAL-MODES; NONUNIFORM BACKGROUND CONFIGURATIONS; TOTAL ELECTRON-CONTENT; LARGE-SCALE; PLANETARY-WAVES; 5-DAY WAVE; EQUATORIAL ELECTROJET; LOWER THERMOSPHERE; SYMMETRIC MODES; 6.5-DAY WAVE</t>
  </si>
  <si>
    <t>An exceptionally strong stationary planetary wave with Zonal Wavenumber 1 led to a sudden stratospheric warming (SSW) in the Southern Hemisphere in September 2019. Ionospheric data from European Space Agency's Swarm satellite constellation mission show prominent 6-day variations in the dayside low-latitude region at this time, which can be attributed to forcing from the middle atmosphere by the Rossby normal mode quasi-6-day wave (Q6DW). Geopotential height measurements by the Microwave Limb Sounder aboard National Aeronautics and Space Administration's Aura satellite reveal a burst of global Q6DW activity in the mesosphere and lower thermosphere during the SSW, which is one of the strongest in the record. The Q6DW is apparently generated in the polar stratosphere at 30-40 km, where the atmosphere is unstable due to strong vertical wind shear connected with planetary wave breaking. These results suggest that an Antarctic SSW can lead to ionospheric variability through wave forcing from the middle atmosphere. Plain Language Summary A sudden stratospheric warming (SSW) is an extreme wintertime polar meteorological phenomenon occurring mostly over the Arctic region. Studies have shown that Arctic SSW can influence the entire atmosphere. In September 2019, a rare SSW event occurred in the Antarctic region, providing an opportunity to investigate its broader impact on the whole atmosphere. We present observations from the middle atmosphere and ionosphere during this event, noting unusually strong wave activity throughout this region. Our results suggest that an Antarctic SSW can have a significant impact on the whole atmosphere system similar to those due to Arctic events.</t>
  </si>
  <si>
    <t>[Yamazaki, Y.; Stolle, C.; Siddiqui, T.; Kervalishvili, G.] GFZ German Res Ctr Geosci, Potsdam, Germany; [Matthias, V] Potsdam Inst Climate Impact Res, Potsdam, Germany; [Miyoshi, Y.] Kyushu Univ, Dept Earth &amp; Planetary Sci, Fukuoka, Japan; [Stolle, C.] Univ Potsdam, Fac Sci, Potsdam, Germany; [Lastovicka, J.; Kozubek, M.] CAS, Inst Atmospher Phys, Prague, Czech Republic; [Ward, W.; Themens, D. R.; Kristoffersen, S.] Univ New Brunswick, Dept Phys, Fredericton, NB, Canada; [Alken, P.] Univ Colorado, Cooperat Inst Res Environm Sci, Boulder, CO 80309 USA; [Alken, P.] NOAA, Natl Ctr Environm Informat, Boulder, CO USA</t>
  </si>
  <si>
    <t>Helmholtz Association; Helmholtz-Center Potsdam GFZ German Research Center for Geosciences; Potsdam Institut fur Klimafolgenforschung; Kyushu University; University of Potsdam; Czech Academy of Sciences; Institute of Atmospheric Physics of the Czech Academy of Sciences; University of New Brunswick; University of Colorado System; University of Colorado Boulder; National Oceanic Atmospheric Admin (NOAA) - USA</t>
  </si>
  <si>
    <t>Yamazaki, Y (corresponding author), GFZ German Res Ctr Geosci, Potsdam, Germany.</t>
  </si>
  <si>
    <t>yamazaki@gfz-potsdam.de</t>
  </si>
  <si>
    <t>Kozubek, Michal/G-5259-2014; Lastovicka, Jan/H-6804-2014; Siddiqui, Tarique Adnan/N-4785-2018; Yamazaki, Yosuke/J-9484-2015; Themens, David/AAG-1800-2021; Alken, Patrick/AAD-3084-2022</t>
  </si>
  <si>
    <t>Siddiqui, Tarique Adnan/0000-0001-9394-6708; Themens, David/0000-0003-2567-8187; Stolle, Claudia/0000-0002-5717-1623; Alken, Patrick/0000-0001-8983-3153; Kristoffersen, Samuel/0000-0001-5015-4188</t>
  </si>
  <si>
    <t>ESA [4000126709/19/NL/IS]; Deutsche Forschungsgemeinschaft (DFG) [YA-574-3-1]</t>
  </si>
  <si>
    <t>ESA(European Space Agency); Deutsche Forschungsgemeinschaft (DFG)(German Research Foundation (DFG))</t>
  </si>
  <si>
    <t>We thank the NASA Goddard Earth Sciences (GES) Data and Information Services Center (DISC) (https://disc.gsfc.nasa.gov/) for making the Aura/MLS geopotential height data (DOI: 10.5067/Aura/MLS/DATA2008) and MERRA-2 data (DOI: 10.5067/QBZ6MG944HW0) available. We also thank the European Space Agency (ESA) for providing the Swarm data. The Swarm EEJ and EEF data can be downloaded from the website (ftp://swarm-diss.eo.esa.int/Advanced/EEF/). The Swarm electron density data can be downloaded from the website (ftp://swarm-diss.eo.esa.int/Level1b/Latest_baselines/EFIx_LP/). The Swarm TEC data can be downloaded from the website (ftp://swarm-diss.eo.esa.int/Level2daily/Latest_baselines/TEC/TMS/). The geomagnetic activity index Kp was provided by the GFZ German Research Centre for Geosciences (https://www.gfz-potsdam.de/en/kp-index/).The solar activity index F10.7 was downloaded from the SPDF OMNIWeb database (https://omniweb.gsfc.nasa.gov).This work was supported in part by ESA through Contract 4000126709/19/NL/IS VERA and by the Deutsche Forschungsgemeinschaft (DFG) Grant YA-574-3-1.</t>
  </si>
  <si>
    <t>e2019GL086577</t>
  </si>
  <si>
    <t>10.1029/2019GL086577</t>
  </si>
  <si>
    <t>WOS:000513983400061</t>
  </si>
  <si>
    <t>Guarino, MV; Sime, LC; Schroeder, D; Lister, GMS; Hatcher, R</t>
  </si>
  <si>
    <t>Guarino, Maria-Vittoria; Sime, Louise C.; Schroeder, David; Lister, Grenville M. S.; Hatcher, Rosalyn</t>
  </si>
  <si>
    <t>Machine dependence and reproducibility for coupled climate simulations: the HadGEM3-GC3.1 CMIP Preindustrial simulation</t>
  </si>
  <si>
    <t>MODEL INTERCOMPARISON PROJECT; EXPERIMENTAL-DESIGN; EL-NINO</t>
  </si>
  <si>
    <t>When the same weather or climate simulation is run on different high-performance computing (HPC) platforms, model outputs may not be identical for a given initial condition. While the role of HPC platforms in delivering better climate projections is to some extent discussed in the literature, attention is mainly focused on scalability and performance rather than on the impact of machine-dependent processes on the numerical solution. Here we investigate the behaviour of the Preindustrial (PI) simulation prepared by the UK Met Office for the forthcoming CMIP6 (Coupled Model Intercomparison Project Phase 6) under different computing environments. Discrepancies between the means of key climate variables were analysed at different timescales, from decadal to centennial. We found that for the two simulations to be statistically indistinguishable, a 200-year averaging period must be used for the analysis of the results. Thus, constant-forcing climate simulations using the HadGEM3-GC3.1 model are reproducible on different HPC platforms provided that a sufficiently long duration of simulation is used. In regions where El Nino-Southern Oscillation (ENSO) teleconnection patterns were detected, we found large sea surface temperature and sea ice concentration differences on centennial timescales. This indicates that a 100-year constant-forcing climate simulation may not be long enough to adequately capture the internal variability of the HadGEM3-GC3.1 model, despite this being the minimum simulation length recommended by CMIP6 protocols for many MIP (Model Intercomparison Project) experiments. On the basis of our findings, we recommend a minimum simulation length of 200 years whenever possible.</t>
  </si>
  <si>
    <t>[Guarino, Maria-Vittoria; Sime, Louise C.] British Antarctic Survey, Cambridge, England; [Schroeder, David] Univ Reading, Dept Meteorol, Reading, Berks, England; [Lister, Grenville M. S.; Hatcher, Rosalyn] Univ Reading, Natl Ctr Atmospher Sci, Reading, Berks, England</t>
  </si>
  <si>
    <t>UK Research &amp; Innovation (UKRI); Natural Environment Research Council (NERC); NERC British Antarctic Survey; University of Reading; University of Reading; UK Research &amp; Innovation (UKRI); Natural Environment Research Council (NERC); NERC National Centre for Atmospheric Science</t>
  </si>
  <si>
    <t>Guarino, MV (corresponding author), British Antarctic Survey, Cambridge, England.</t>
  </si>
  <si>
    <t>m.v.guarino@bas.ac.uk</t>
  </si>
  <si>
    <t>Sime, Louise/AAX-7730-2021</t>
  </si>
  <si>
    <t>Sime, Louise/0000-0002-9093-7926; Schroeder, David/0000-0003-2351-4306; Guarino, Maria Vittoria/0000-0002-7531-4560</t>
  </si>
  <si>
    <t>NERC [NE/P013279/1, NE/P009271/1]; NERC [NE/T009470/1, NE/J004804/1, NE/P009271/1, NE/P013279/1, cpom30001, bas0100034] Funding Source: UKRI</t>
  </si>
  <si>
    <t>NERC(UK Research &amp; Innovation (UKRI)Natural Environment Research Council (NERC)); NERC(UK Research &amp; Innovation (UKRI)Natural Environment Research Council (NERC))</t>
  </si>
  <si>
    <t>This research has been supported by NERC (grant nos. NE/P013279/1 and NE/P009271/1).</t>
  </si>
  <si>
    <t>10.5194/gmd-13-139-2020</t>
  </si>
  <si>
    <t>KD9GE</t>
  </si>
  <si>
    <t>WOS:000508168900002</t>
  </si>
  <si>
    <t>Van de Vijver, B; Ballings, P; Goeyers, C</t>
  </si>
  <si>
    <t>Van de Vijver, Bart; Ballings, Petra; Charlotte Goeyers</t>
  </si>
  <si>
    <t>Frankophila dalevittii, a new freshwater diatom (Bacillariophyta) from Campbell Island</t>
  </si>
  <si>
    <t>PHYTOTAXA</t>
  </si>
  <si>
    <t>sub-Antarctica; Campbell Island; Frankophila; new species; raphe slits</t>
  </si>
  <si>
    <t>SPECIES BACILLARIOPHYTA; SP NOV.; COMMUNITIES; DIVERSITY</t>
  </si>
  <si>
    <t>During a survey of the freshwater diatom flora of the sub-Antarctic Campbell Island, located in the southern Pacific Ocean, an unknown freshwater diatom was observed forming long colonies using linking spines. Detailed morphological analysis based on light and scanning electron microscopical observations and comparison with all known Frankophila taxa worldwide justified the description of this unknown taxon as a new species within the genus Frankophila: Frankophila dalevittii Van de Vijver &amp; Goeyers sp. nov. The new taxon is characterized by the presence of well-developed linking spines, the absence of external raphe slits and the presence of internal raphe slits, biseriate striae composed of relatively large areolae and a large axial area. Despite the absence of the external raphe slits, the species is best placed within the genus Frankophila. The new species is described and illustrated and compared with all other Frankophila taxa.</t>
  </si>
  <si>
    <t>[Van de Vijver, Bart; Ballings, Petra; Charlotte Goeyers] Meise Bot Garden, Res Dept, Nieuwelaan 38, B-1860 Meise, Belgium; [Van de Vijver, Bart; Charlotte Goeyers] Univ Antwerp, Dept Biol, ECOBE, Univ Pl 1, B-2610 Antwerp, Belgium</t>
  </si>
  <si>
    <t>University of Antwerp</t>
  </si>
  <si>
    <t>Van de Vijver, B (corresponding author), Meise Bot Garden, Res Dept, Nieuwelaan 38, B-1860 Meise, Belgium.;Van de Vijver, B (corresponding author), Univ Antwerp, Dept Biol, ECOBE, Univ Pl 1, B-2610 Antwerp, Belgium.</t>
  </si>
  <si>
    <t>bart.vandevijver@plantentuinmeise.be</t>
  </si>
  <si>
    <t>Goeyers, Charlotte/0000-0002-1573-3923</t>
  </si>
  <si>
    <t>1179-3155</t>
  </si>
  <si>
    <t>1179-3163</t>
  </si>
  <si>
    <t>Phytotaxa</t>
  </si>
  <si>
    <t>10.11646/phytotaxa.429.1.4</t>
  </si>
  <si>
    <t>KD7BH</t>
  </si>
  <si>
    <t>WOS:000508018800004</t>
  </si>
  <si>
    <t>Somero, GN</t>
  </si>
  <si>
    <t>Somero, George N.</t>
  </si>
  <si>
    <t>The cellular stress response and temperature: Function, regulation, and evolution</t>
  </si>
  <si>
    <t>JOURNAL OF EXPERIMENTAL ZOOLOGY PART A-ECOLOGICAL AND INTEGRATIVE PHYSIOLOGY</t>
  </si>
  <si>
    <t>apoptosis; cellular stress response; cellular thermometers; heat shock response; proteostasis; temperature</t>
  </si>
  <si>
    <t>HEAT-SHOCK PROTEINS; SNAILS GENUS TEGULA; THRESHOLD INDUCTION TEMPERATURE; ACCLIMATION-INDUCED VARIATION; NATIVE MYTILUS-CALIFORNIANUS; GOBY GILLICHTHYS-MIRABILIS; FISH TREMATOMUS-BERNACCHII; THERMAL-ACCLIMATION; ANTARCTIC FISH; TRANSCRIPTIONAL RESPONSES</t>
  </si>
  <si>
    <t>The cellular stress response (CSR) is critical for enabling organisms to cope with thermal damage to proteins, nucleic acids, and membranes. It is a graded response whose properties vary with the degree of cellular damage. Molecular damage has positive, as well as negative, function-perturbing effects. Positive effects include crucial regulatory interactions that orchestrate involvement of the different components of the CSR. Thermally unfolded proteins signal for rapid initiation of transcription of genes encoding heat shock proteins (HSPs), central elements of the heat shock response (HSR). Thermal disruption of messenger RNA (mRNA) secondary structures in untranslated regions leads to the culling of the mRNA pool: thermally labile mRNAs for housekeeping proteins are degraded by exonucleases; heat-resistant mRNAs for stress proteins like HSPs then can monopolize the translational apparatus. Thus, proteins and RNA function as cellular thermometers, and evolved differences in their thermal stabilities enable rapid initiation of the CSR whenever cell temperature rises significantly above the normal thermal range of a species. Covalent DNA damage, which may result from increased production of reactive oxygen species, is temperature-dependent; its extent may determine cellular survival. High levels of stress that exceed capacities for molecular repair can lead to proteolysis, inhibition of cell division, and programmed cell death (apoptosis). Onset of these processes may occur later in the stress period, after initiation of the HSR, to allow HSPs opportunity to restore protein homeostasis. Delay of these energy costly processes may also result from shortfalls in availability of adenosine triphosphate and reducing power during times of peak stress.</t>
  </si>
  <si>
    <t>[Somero, George N.] Stanford Univ, Hopkins Marine Stn, Dept Biol, Pacific Grove, CA 93950 USA</t>
  </si>
  <si>
    <t>Stanford University</t>
  </si>
  <si>
    <t>Somero, GN (corresponding author), Stanford Univ, Hopkins Marine Stn, Dept Biol, Pacific Grove, CA 93950 USA.</t>
  </si>
  <si>
    <t>somero@stanford.edu</t>
  </si>
  <si>
    <t>Somero, George/0000-0003-1431-6455</t>
  </si>
  <si>
    <t>2471-5638</t>
  </si>
  <si>
    <t>2471-5646</t>
  </si>
  <si>
    <t>J EXP ZOOL PART A</t>
  </si>
  <si>
    <t>J. Exp. Zool. Part A-Ecol. Integr. Physiol.</t>
  </si>
  <si>
    <t>10.1002/jez.2344</t>
  </si>
  <si>
    <t>MD2HJ</t>
  </si>
  <si>
    <t>WOS:000507316300001</t>
  </si>
  <si>
    <t>Beltran, C; Golledge, NR; Ohneiser, C; Kowalewski, DE; Sicre, MA; Hageman, KJ; Smith, R; Wilson, GS; Mainié, F</t>
  </si>
  <si>
    <t>Beltran, Catherine; Golledge, Nicholas R.; Ohneiser, Christian; Kowalewski, Douglas E.; Sicre, Marie-Alexandrine; Hageman, Kimberly J.; Smith, Robert; Wilson, Gary S.; Mainie, Francois</t>
  </si>
  <si>
    <t>Southern Ocean temperature records and ice-sheet models demonstrate rapid Antarctic ice sheet retreat under low atmospheric CO2 during Marine Isotope Stage 31</t>
  </si>
  <si>
    <t>Super-interglacial; Pleistocene; Paleoceanography; Paleoclimate modelling; Antarctica; Southern ocean; Organic geochemistry</t>
  </si>
  <si>
    <t>LONG-CHAIN ALKENONES; SEA-LEVEL; CLIMATIC CHANGES; VARIABILITY; COLLAPSE; ATLANTIC; PROXIES; VOLUME; EXTENT</t>
  </si>
  <si>
    <t>Over the last 5 million years, the Earth's climate has oscillated between warm (interglacial) and cold (glacial) states. Some particularly warm interglacial periods (i.e. 'super-interglacials') occurred under low atmospheric CO2 and may have featured extensive Antarctic ice sheet collapse. Here we focus on an extreme super-interglacial known as Marine Isotope Stage 31 (MIS31), between 1.085 and 1.055 million years ago and is the subject of intense discussion. We reconstructed the first Southern Ocean and Antarctic margin sea surface temperatures (SSTs) from organic biomarkers and used them to constrain numerical ice sheet-shelf simulations. Our SSTs indicate that the ocean was on average 5 degrees C (+/- 1.2 degrees C) warmer in summer than today between 50 degrees S and the Antarctic ice margin. Our most conservative ice sheet simulation indicates a complete collapse of the West Antarctic Ice Sheet (WAIS) with additional deflation of the East Antarctic Ice Sheet. We suggest the WAIS retreated because of anomalously high Southern Hemisphere insolation coupled with the intrusion of Circumpolar Deep Water onto the continental shelf under poleward-intensified winds leading to a shorter sea ice season and ocean warming at the continental margin. In this scenario, the extreme warming we observed likely reflects the extensively modified oceanic and hydrologic system following ice sheet collapse. Our work highlights the sensitivity of the Antarctic ice sheets to minor oceanic perturbations that could also be at play for future changes. (C) 2019 Elsevier Ltd. All rights reserved.</t>
  </si>
  <si>
    <t>[Beltran, Catherine; Smith, Robert; Wilson, Gary S.] Univ Otago, Dept Marine Sci, POB 56, Dunedin 9054, New Zealand; [Golledge, Nicholas R.] Victoria Univ Wellington, Antarctic Res Ctr, Wellington 6140, New Zealand; [Golledge, Nicholas R.] Avalon, GNS Sci, Lower Hutt 5011, New Zealand; [Ohneiser, Christian] Univ Otago, Dept Geol, POB 56, Dunedin 9054, New Zealand; [Kowalewski, Douglas E.] Worcester State Univ, Dept Earth Environm &amp; Phys, Worcester, MA 01602 USA; [Sicre, Marie-Alexandrine; Mainie, Francois] Univ Paris 06, UPMC, Sorbonne Univ, CNRS,IRD,MNHN,LOCEAN Lab, 4 Pl Jussieu, F-75005 Paris, France; [Hageman, Kimberly J.] Univ Otago, Dept Chem, POB 56, Dunedin 9054, New Zealand</t>
  </si>
  <si>
    <t>University of Otago; Victoria University Wellington; GNS Science - New Zealand; University of Otago; Massachusetts System of Public Higher Education; Worcester State University; Sorbonne Universite; Institut de Recherche pour le Developpement (IRD); Centre National de la Recherche Scientifique (CNRS); Museum National d'Histoire Naturelle (MNHN); University of Otago</t>
  </si>
  <si>
    <t>Beltran, C (corresponding author), Univ Otago, Dept Marine Sci, POB 56, Dunedin 9054, New Zealand.</t>
  </si>
  <si>
    <t>catherine.beltran@otago.ac.nz</t>
  </si>
  <si>
    <t>Marie-Alexandrine, Sicre/AAR-1516-2020</t>
  </si>
  <si>
    <t>Marie-Alexandrine, Sicre/0000-0002-5015-1400; Smith, Robert Owain/0000-0001-5931-3843</t>
  </si>
  <si>
    <t>French Institut National des Sciences de l'Univers [LEFE/IMAGO 2013, NZARI 2015-3]; New Zealand Antarctic Research Institute contracts [LEFE/IMAGO 2013, NZARI 2015-3]; University of Otago Research Grant; US NSF; Royal Society Te Aparangi [VUW1501]</t>
  </si>
  <si>
    <t>French Institut National des Sciences de l'Univers; New Zealand Antarctic Research Institute contracts; University of Otago Research Grant; US NSF(National Science Foundation (NSF)); Royal Society Te Aparangi(Royal Society of New Zealand)</t>
  </si>
  <si>
    <t>This project was funded by the French Institut National des Sciences de l'Univers and the New Zealand Antarctic Research Institute contracts LEFE/IMAGO 2013, NZARI 2015-3 to Catherine Beltran and a University of Otago Research Grant to Christian Ohneiser. The research used samples provided by the International Ocean Drilling Program, which is sponsored by the US NSF and participating countries under management of Joint Oceanographic Institutions. We are grateful to the International Ocean Drilling Program curatorial staff at the Bremen Core Repository (BCR University of Bremen, Germany) and the Gulf Coast Repository (GCR -Texas A&amp;M University, College Station, Texas) for assistance with sample collection and processing of sample requests.; We are grateful to Maria Rugenstein for providing climate model outputs. Nicholas R. Golledge acknowledges support from the Royal Society Te Aparangi under contract VUW1501.</t>
  </si>
  <si>
    <t>JAN 15</t>
  </si>
  <si>
    <t>10.1016/j.quascirev.2019.106069</t>
  </si>
  <si>
    <t>KM6NL</t>
  </si>
  <si>
    <t>WOS:000514254700006</t>
  </si>
  <si>
    <t>Beny, F; Bout-Roumazeilles, V; Davies, GR; Waelbroeck, C; Bory, A; Tribovillard, N; Delattre, M; Abraham, R</t>
  </si>
  <si>
    <t>Beny, F.; Bout-Roumazeilles, V.; Davies, G. R.; Waelbroeck, C.; Bory, A.; Tribovillard, N.; Delattre, M.; Abraham, R.</t>
  </si>
  <si>
    <t>Radiogenic isotopic and clay mineralogical signatures of terrigenous particles as water-mass tracers: New insights into South Atlantic deep circulation during the last termination</t>
  </si>
  <si>
    <t>Last deglaciation; Paleoceanography; Southern Ocean; South Atlantic; Radiogenic isotopes; Clay mineralogy; Grain size distribution</t>
  </si>
  <si>
    <t>ANTARCTIC BOTTOM WATER; ATMOSPHERIC CO2; MARINE-SEDIMENTS; EAST ANTARCTICA; NORTH-ATLANTIC; CENTRAL BRAZIL; DOME-C; OCEAN CIRCULATION; RIVER SEDIMENTS; CARBON-DIOXIDE</t>
  </si>
  <si>
    <t>The past evolution of the Southern Ocean, one of the major components of the climatic system, is still a matter of debate. This study provides new insights into the deep Southern Ocean circulation based on the radiogenic isotopes and clay mineralogical signature of the terrigenous fractions transported by the main deep water masses to sediments recovered in core MD07-3076Q from the central South Atlantic. This approach successfully permits: (1) provenance identification of the various grain-size fractions (clay, cohesive silt and sortable silt); (2) assignment of each grain-size fraction to a specific water-mass; (3) reconstruction of past changes in the main deep water-mass pathways. These data document the evolution of deep-water masses in the South Atlantic Ocean during the last deglaciation. The Antarctic Bottom Water (AABW) speed and northward extension were maximum at the end of the Last Glacial Maximum (LGM), associated with strong bottom water production in the Weddell Sea, together with a vigorous Lower Circumpolar Deep Water (LCDW). In contrast the North Atlantic Deep Water (NADW) circulation was weaker than today. The onset of the deglaciation (from 17.5 ka to 15 ka, -Heinrich Stadial 1, HS 1) was marked by weakening and southerly retreat of the AABW and by an increase of mixing between AABW and LCDW. The speed of the AABW remained at its lowest during the Belling Allerod (B/A) and the Younger Dryas (YD), and the LCDW slowed and retreated to the south, while the NADW progressively migrated southward, deepened, and strengthened between the beginning of the Balling Altered and the Holocene (from similar to 15 to 10 ka). (C) 2019 Elsevier Ltd. All rights reserved.</t>
  </si>
  <si>
    <t>[Beny, F.; Bout-Roumazeilles, V.; Bory, A.; Tribovillard, N.; Delattre, M.; Abraham, R.] Univ Lille, Lab Oceanol &amp; Geosci, ULCO, CNRS,UMR 8187, F-59655 Villeneuve Dascq, France; [Beny, F.; Davies, G. R.] Vrije Univ Amsterdam, Dept Earth Sci, Fac Sci, Boelelaan 1085, NL-1081 HV Amsterdam, Netherlands; [Waelbroeck, C.] CEA CNRS UVSQ, UMR 8212, Lab Sci Climat &amp; Environm, LSCE IPSL, Site Orme Merisiers, F-91191 Gif Sur Yvette, France</t>
  </si>
  <si>
    <t>Universite du Littoral-Cote-d'Opale; Centre National de la Recherche Scientifique (CNRS); CNRS - National Institute for Earth Sciences &amp; Astronomy (INSU); Universite de Lille; Vrije Universiteit Amsterdam; Centre National de la Recherche Scientifique (CNRS); CNRS - National Institute for Earth Sciences &amp; Astronomy (INSU); CEA; Universite Paris Saclay</t>
  </si>
  <si>
    <t>Beny, F (corresponding author), Univ Lille, Lab Oceanol &amp; Geosci, ULCO, CNRS,UMR 8187, F-59655 Villeneuve Dascq, France.</t>
  </si>
  <si>
    <t>beny.francois@gmail.com</t>
  </si>
  <si>
    <t>Roumazeilles, Viviane Bout/A-8278-2008; BOUT-ROUMAZEILLES, Viviane/AAD-5259-2019</t>
  </si>
  <si>
    <t>BOUT-ROUMAZEILLES, Viviane/0000-0001-6917-818X; Tribovillard, Nicolas/0000-0003-3493-5579; Davies, Gareth Rees/0000-0002-6136-9202; Beny, Francois/0000-0002-2322-4299</t>
  </si>
  <si>
    <t>region Haut de France; Vrije Universiteit of Amsterdam; Europlanet 2020 RI from the European Union's Horizon 2020 research and innovation programme [654208]; European Research Council ERC grant ACCLIMATE [339108]</t>
  </si>
  <si>
    <t>region Haut de France; Vrije Universiteit of Amsterdam; Europlanet 2020 RI from the European Union's Horizon 2020 research and innovation programme; European Research Council ERC grant ACCLIMATE(European Research Council (ERC))</t>
  </si>
  <si>
    <t>We wish to thank Richard Smeets for his invaluable help in the clean lab, Emmeke Bos, Janne Koorneef, and Mathijs van de Ven for the help with TIMS Triton measurements, Bas van der Wagt and Kirsten van Zuilen for Neptune MC-ICPMS measurements. Tristan Lippens is thanked for computer support. We also wish to thank all organizations that provided financial support to the project: the region Haut de France and the Vrije Universiteit of Amsterdam. The research was supported by Europlanet 2020 RI, which received funding from the European Union's Horizon 2020 research and innovation programme under grant agreement No 654208. We also want to express our special thanks to the flotte oceanographique francaise for retrieving the sediment core used in this study. FB and VBR thanks Monique Centric for administrative support. CW acknowledges support from the European Research Council ERC grant ACCLIMATE/no 339108.</t>
  </si>
  <si>
    <t>10.1016/j.quascirev.2019.106089</t>
  </si>
  <si>
    <t>WOS:000514254700005</t>
  </si>
  <si>
    <t>Channell, JET; Singer, BS; Jicha, BR</t>
  </si>
  <si>
    <t>Channell, J. E. T.; Singer, B. S.; Jicha, B. R.</t>
  </si>
  <si>
    <t>Timing of Quaternary geomagnetic reversals and excursions in volcanic and sedimentary archives</t>
  </si>
  <si>
    <t>Quaternary; Magnetic reversals; Magnetic excursions; 40Ar/39Ar dating; Astrochronology</t>
  </si>
  <si>
    <t>MONO LAKE EXCURSION; MATUYAMA-BRUNHES BOUNDARY; RELATIVE PALEOINTENSITY RPI; COBB MOUNTAIN SUBCHRON; HIGH-RESOLUTION MAGNETOSTRATIGRAPHY; TRANSITIONALLY MAGNETIZED LAVAS; NATURAL REMANENT MAGNETIZATION; ANTARCTIC SOUTH ATLANTIC; CHIBA COMPOSITE SECTION; HUCKLEBERRY RIDGE TUFF</t>
  </si>
  <si>
    <t>We review the ages of Quaternary magnetic polarity reversals and magnetic excursions. Improvements in radioisotopic 40Ar/39Ar dating of reversals and excursions reflect the use of multi-collector mass spectrometers, along with ultra-low backgrounds, laser-based incremental heating methods, and adoption of 28.201 Ma for the Fish Canyon sanidine (FCs) standard age (Kuiper et al., 2008). These improvements have brought 40Ar/39Ar ages of reversals and excursions into close correspondence with astrochronological ages based on the correlation of delta O-18 data to LRO4 (Lisiecki and Raymo, 2005) and, in a few cases, correlation to ice-core chronologies. Ages of two polarity reversals, the Matuyama-Brunhes boundary and base Olduvai, are at odds with ages given in popular geomagnetic polarity timescales. Sedimentary records of the Laschamp and Iceland Basin excursion are numerous and widespread, and attest to global manifestation and global synchronicity of these excursions. Records of other Quaternary excursions are less numerous. The Blake excursion (similar to 115 ka) has been recorded in North Atlantic sediments, Chinese loess, Indian Ocean volcanics, and Spanish speleothems. The Santa Rosa excursion (similar to 932 ka) has been recorded in North Atlantic and Phillipine Basin sediments, as well as in volcanic rocks from New Mexico and Galapagos. The Punaruu excursion (similar to 1115 ka) has been observed in sediments from the North Atlantic and California Margin as well as in volcanic rocks on Tahiti. Uniformity of individual excursion ages, using astrochronological, 40Ar/39Ar Ar and U-Th methods, argues for synchronous global manifestation of excursions, strengthening the usefulness of magnetic excursions (and reversals) in Quaternary stratigraphy. (C) 2019 Elsevier Ltd. All rights reserved.</t>
  </si>
  <si>
    <t>[Channell, J. E. T.] Univ Florida, Dept Geol Sci, Gainesville, FL 32611 USA; [Singer, B. S.; Jicha, B. R.] Univ Wisconsin, Dept Geosci, Madison, WI 53706 USA</t>
  </si>
  <si>
    <t>State University System of Florida; University of Florida; University of Wisconsin System; University of Wisconsin Madison</t>
  </si>
  <si>
    <t>Channell, JET (corresponding author), Univ Florida, Dept Geol Sci, Gainesville, FL 32611 USA.</t>
  </si>
  <si>
    <t>jetc@ufl.edu</t>
  </si>
  <si>
    <t>Singer, Brad S/HNC-4900-2023</t>
  </si>
  <si>
    <t>Singer, Brad S/0000-0003-3595-5168</t>
  </si>
  <si>
    <t>US National Science Foundation</t>
  </si>
  <si>
    <t>We thank two anonymous reviewers for their suggested improvements to the manuscript, and Claude Hillaire-Marcel for editorial guidance. Research dealing with the documentation, identification, and dating of polarity reversals and excursions in sedimentary and volcanic archives has been supported by grants to the authors from the US National Science Foundation.</t>
  </si>
  <si>
    <t>10.1016/j.quascirev.2019.106114</t>
  </si>
  <si>
    <t>WOS:000514254700001</t>
  </si>
  <si>
    <t>Lamping, N; Müller, J; Esper, O; Hillenbrand, CD; Smith, JA; Kuhn, G</t>
  </si>
  <si>
    <t>Lamping, Nele; Mueller, Juliane; Esper, Oliver; Hillenbrand, Claus-Dieter; Smith, James A.; Kuhn, Gerhard</t>
  </si>
  <si>
    <t>Highly branched isoprenoids reveal onset of deglaciation followed by dynamic sea-ice conditions in the western Amundsen Sea, Antarctica</t>
  </si>
  <si>
    <t>Quaternary; Palaeoclimatology; Antarctica; Marine biomarkers; HBIs; IPSO25; Sea ice; West Antarctic Ice Sheet</t>
  </si>
  <si>
    <t>SOUTHERN-OCEAN SEDIMENTS; LAST GLACIAL MAXIMUM; MAJOR DIATOM TAXA; PINE ISLAND GLACIER; SURFACE SEDIMENTS; SHEET RETREAT; PHYTOPLANKTON DYNAMICS; SEASONAL VARIABILITY; MARINE-SEDIMENTS; ATLANTIC SECTOR</t>
  </si>
  <si>
    <t>The Amundsen Sea drainage sector of the West Antarctic Ice Sheet (WAIS) is widely regarded as a candidate for triggering potential WAIS collapse. The grounded ice sheet drains into the Amundsen Sea Embayment and is thereby buttressed by its fringing ice shelves, which have thinned at an alarming rate. Satellite-based observations additionally reveal a considerable long-term decrease in sea-ice cover in the Amundsen Sea over the last two decades although the long-term significance of this trend is unclear due to the short instrumental record since the 1970s. In this context, investigations of past sea-ice conditions are crucial for improving our understanding of the influence that sea-ice variability has on the adjacent marine environment as well as any role it plays in modulating ice shelf and ice sheet dynamics. In this study, we apply novel organic geochemical biomarker techniques to a marine sediment core from the western Amundsen Sea shelf in order to provide a valuable long-term perspective on sea-ice conditions and the retreat of the Getz Ice Shelf during the last deglaciation. We analysed a specific biomarker lipid called IPSO25 alongside a phytoplankton biomarker and sedimentological parameters and additionally applied diatom transfer functions for reconstructing palaeo sea-ice coverage. This multi-proxy data set reveals a dynamic behaviour of the Getz Ice Shelf and sea-ice cover during the deglaciation following the last ice age, with potential linkages to inter-hemispheric seesaw climate patterns. We further apply and evaluate the recently proposed PIPSO25 approach for semi-quantitative sea-ice reconstructions and discuss potential limitations. (C) 2019 The Authors. Published by Elsevier Ltd.</t>
  </si>
  <si>
    <t>[Lamping, Nele; Mueller, Juliane; Esper, Oliver; Kuhn, Gerhard] Alfred Wegener Inst, Helmholtz Zentrum Polar &amp; Meeresforsch, Alten Hafen 26, D-27568 Bremerhaven, Germany; [Mueller, Juliane] Univ Bremen, Dept Geosci, Klagenfurter Str, D-28359 Bremen, Germany; [Mueller, Juliane] Marum Ctr Marine Environm Sci, Leobener Str 8, D-28359 Bremen, Germany; [Hillenbrand, Claus-Dieter; Smith, James A.] British Antarctic Survey, High Cross,Madingley Rd, Cambridge CB3 0ET, England</t>
  </si>
  <si>
    <t>Helmholtz Association; Alfred Wegener Institute, Helmholtz Centre for Polar &amp; Marine Research; University of Bremen; University of Bremen; UK Research &amp; Innovation (UKRI); Natural Environment Research Council (NERC); NERC British Antarctic Survey</t>
  </si>
  <si>
    <t>Lamping, N (corresponding author), Alten Hafen 26, D-27568 Bremerhaven, Germany.</t>
  </si>
  <si>
    <t>nele.lamping@awi.de; juliane.mueller@awi.de; oliver.esper@awi.de; hilc@bas.ac.uk; jaas@bas.ac.uk; gerhard.kuhn@awi.de</t>
  </si>
  <si>
    <t>Muller, Juliane/L-1875-2013</t>
  </si>
  <si>
    <t>Muller, Juliane/0000-0003-0724-4131; Lamping, Nele/0000-0001-6258-8952</t>
  </si>
  <si>
    <t>Helmholtz Research Grant [VH-NG-1101]; NERC [NE/M013081/1]; research program PACES II: Polar Regions and Coasts in the changing EarthSystem; NERC [bas0100030] Funding Source: UKRI</t>
  </si>
  <si>
    <t>Helmholtz Research Grant; NERC(UK Research &amp; Innovation (UKRI)Natural Environment Research Council (NERC)); research program PACES II: Polar Regions and Coasts in the changing EarthSystem; NERC(UK Research &amp; Innovation (UKRI)Natural Environment Research Council (NERC))</t>
  </si>
  <si>
    <t>Denise Diekstall, Maximilian Mues, Robert Grosser and Mandy Kuck are kindly acknowledged for laboratory support. We thank the captain, crew and science party of RV Polarstern cruise PS69. Simon Belt is acknowledged for providing the 7-HND internal standard for HBI quantification. N.L. and J.M were funded through the Helmholtz Research Grant VH-NG-1101. J.A.S and C.D.H were funded by NERC grant NE/M013081/1. G.K. was funded through the research program PACES II: Polar Regions and Coasts in the changing EarthSystem.</t>
  </si>
  <si>
    <t>10.1016/j.quascirev.2019.106103</t>
  </si>
  <si>
    <t>WOS:000514254700015</t>
  </si>
  <si>
    <t>Christensen, JP</t>
  </si>
  <si>
    <t>Christensen, John P.</t>
  </si>
  <si>
    <t>Improved bromide measurements using chloramine-T shows, bromide depletion in the Gulf of Maine</t>
  </si>
  <si>
    <t>CONTINENTAL SHELF RESEARCH</t>
  </si>
  <si>
    <t>Seawater bromide; Bromide method; Bromide/chlorinity ratios; Continental shelf</t>
  </si>
  <si>
    <t>ORGANIC-MATTER; LAMINARIA-DIGITATA; IODINE; SEDIMENTS; SEAWEEDS; CARBON; BROMINATION; MACROALGAE; SPECIATION; TRANSPORT</t>
  </si>
  <si>
    <t>The assay for bromide (Br-) based on bromination of phenol red using chloramine-T was tested with small volumes (0.3 ml or less) of seawater and had two confounding issues. High blanks (with no added bromide) occasionally occurred, and the reaction-derived color frequently was destroyed by coupled reactions within the assay. The method was modified by lowering the assay pH to 3.9, by reducing the assay temperature to 13C, and by keeping the reaction short (10 s). As a result, blank absorbances were very low, and reaction-produced color was not destroyed in routine assays. In addition, no interferences by ionic seawater constituents were found. The assay was tested on natural water samples from the Antarctic continental shelf and from the Gulf of Maine. The results were highly precise; duplicates of 32 samples from the Gulf of Maine had an average standard error of the mean of +/- 2.26 mu mol kg(-1). Antarctic bottom waters had bromide concentrations of 834.1 and 831.9 mu mol kg(-1) and the Br-/Chl ratio, where Chl is the chlorinity in mu mol chloride equivalents (kg of seawater)(-1), statistically matched the previously determined ocean mean of 0.15410 mol %. In the Gulf of Maine, vertical profiles from the sea surface to the sea floor showed lower concentrations inshore near the surface (minimum of 762.2 mu mol kg(-1)) and greater concentrations at depth (maximum of 837.3 mu mol kg(-1) in a basin containing continental slope water). At the offshore basin with slope water, the BC/Chl ratio of all waters below 15 m matched the ocean mean. Sites near the Maine and New Hampshire coast had lower concentrations of bromide, and the station-averaged Br-/Chl ratios reached a minimum of 0.15283 mol %. A previous explanation for reduced Br-/Chl ratios in shallow seas was that the fresh water Br-/Chl ratio could be much less than the ocean mean. A two endmember mixing model of the Gulf of Maine showed that this mechanism could explain a reduction in bromide concentrations in coastal Maine of about 0.6 mu mol kg(-1), but this depletion is 10-fold low of the observed bromide reduction. The lowered bromide content in coastal waters could be due to 1) significant macroalgal uptake along the coastline, and 2) in situ bromination of dissolved organics and planktonic detritus via photochemical or peroxide oxidation.</t>
  </si>
  <si>
    <t>[Christensen, John P.] New England Oceanog Lab, 74 Orion St,Suite 1, Brunswick, ME 04011 USA</t>
  </si>
  <si>
    <t>Christensen, JP (corresponding author), New England Oceanog Lab, 74 Orion St,Suite 1, Brunswick, ME 04011 USA.</t>
  </si>
  <si>
    <t>jchriste@newenglandoceanlab.org</t>
  </si>
  <si>
    <t>NSF [1551195]; New England Oceanographic Laboratory, Brunswick Maine, USA [17008]; Office of Polar Programs (OPP); Directorate For Geosciences [1551195] Funding Source: National Science Foundation</t>
  </si>
  <si>
    <t>NSF(National Science Foundation (NSF)); New England Oceanographic Laboratory, Brunswick Maine, USA; Office of Polar Programs (OPP); Directorate For Geosciences(National Science Foundation (NSF)NSF - Directorate for Geosciences (GEO))</t>
  </si>
  <si>
    <t>This work was supported by NSF (grant number 1551195) and by New England Oceanographic Laboratory, Brunswick Maine, USA (project 17008).</t>
  </si>
  <si>
    <t>0278-4343</t>
  </si>
  <si>
    <t>1873-6955</t>
  </si>
  <si>
    <t>CONT SHELF RES</t>
  </si>
  <si>
    <t>Cont. Shelf Res.</t>
  </si>
  <si>
    <t>10.1016/j.csr.2019.104028</t>
  </si>
  <si>
    <t>KL2WZ</t>
  </si>
  <si>
    <t>WOS:000513290600006</t>
  </si>
  <si>
    <t>Tang, BL; Yang, J; Chen, XL; Wang, P; Zhao, HL; Su, HN; Li, CY; Yu, Y; Zhong, S; Wang, L; Lidbury, I; Ding, HT; Wang, M; McMinn, A; Zhang, XY; Chen, Y; Zhang, YZ</t>
  </si>
  <si>
    <t>Tang, Bai-Lu; Yang, Jie; Chen, Xiu-Lan; Wang, Peng; Zhao, Hui-Lin; Su, Hai-Nan; Li, Chun-Yang; Yu, Yang; Zhong, Shuai; Wang, Lei; Lidbury, Ian; Ding, Haitao; Wang, Min; McMinn, Andrew; Zhang, Xi-Ying; Chen, Yin; Zhang, Yu-Zhong</t>
  </si>
  <si>
    <t>A predator-prey interaction between a marine Pseudoalteromonas sp. and Gram-positive bacteria</t>
  </si>
  <si>
    <t>SP-NOV; AMINO-ACIDS; CELL-WALL; PEPTIDOGLYCAN; LYSOSTAPHIN; PURIFICATION; ABUNDANCE; SEAWATER; GENUS</t>
  </si>
  <si>
    <t>Predator-prey interactions play important roles in the cycling of marine organic matter. Here we show that a Gram-negative bacterium isolated from marine sediments (Pseudoalteromonas sp. strain CF6-2) can kill Gram-positive bacteria of diverse peptidoglycan (PG) chemotypes by secreting the metalloprotease pseudoalterin. Secretion of the enzyme requires a Type II secretion system. Pseudoalterin binds to the glycan strands of Gram positive bacterial PG and degrades the PG peptide chains, leading to cell death. The released nutrients, including PG-derived D-amino acids, can then be utilized by strain CF6-2 for growth. Pseudoalterin synthesis is induced by PG degradation products such as glycine and glycine-rich oligopeptides. Genes encoding putative pseudoalterin-like proteins are found in many other marine bacteria. This study reveals a new microbial interaction in the ocean.</t>
  </si>
  <si>
    <t>[Tang, Bai-Lu; Yang, Jie; Chen, Xiu-Lan; Wang, Peng; Zhao, Hui-Lin; Su, Hai-Nan; Yu, Yang; Zhong, Shuai; Wang, Lei; Zhang, Xi-Ying; Zhang, Yu-Zhong] Shandong Univ, Marine Biotechnol Res Ctr, State Key Lab Microbial Technol, Qingdao 266237, Peoples R China; [Wang, Peng; Li, Chun-Yang; Wang, Min; McMinn, Andrew; Chen, Yin; Zhang, Yu-Zhong] Ocean Univ China, Inst Adv Ocean Study, Coll Marine Life Sci, Qingdao 266003, Peoples R China; [Li, Chun-Yang; Zhang, Yu-Zhong] Pilot Natl Lab Marine Sci &amp; Technol Qingdao, Lab Marine Biol &amp; Biotechnol, Qingdao 266373, Peoples R China; [Lidbury, Ian; Chen, Yin] Univ Warwick, Sch Life Sci, Coventry, W Midlands, England; [Ding, Haitao] Polar Res Inst China, SOA Key Lab Polar Sci, Shanghai 200136, Peoples R China; [McMinn, Andrew] Univ Tasmania, Inst Marine &amp; Antarctic Studies, Hobart, Tas, Australia</t>
  </si>
  <si>
    <t>Shandong University; Ocean University of China; Laoshan Laboratory; University of Warwick; Polar Research Institute of China; University of Tasmania</t>
  </si>
  <si>
    <t>Zhang, YZ (corresponding author), Shandong Univ, Marine Biotechnol Res Ctr, State Key Lab Microbial Technol, Qingdao 266237, Peoples R China.;Zhang, YZ (corresponding author), Ocean Univ China, Inst Adv Ocean Study, Coll Marine Life Sci, Qingdao 266003, Peoples R China.;Zhang, YZ (corresponding author), Pilot Natl Lab Marine Sci &amp; Technol Qingdao, Lab Marine Biol &amp; Biotechnol, Qingdao 266373, Peoples R China.</t>
  </si>
  <si>
    <t>zhangyz@sdu.edu.cn</t>
  </si>
  <si>
    <t>Zhang, Xi/HJH-1211-2023; Yang, Jie/JCD-9867-2023; Wang, zijun/JNS-5435-2023; Li, Chun-Yang/JBS-2194-2023; Chen, Yin/C-2669-2009; Wang, Min/AFR-9645-2022</t>
  </si>
  <si>
    <t>Li, Chun-Yang/0000-0002-1151-4897; Chen, Yin/0000-0002-0367-4276; Wang, Min/0000-0002-2357-589X; Wang, Peng/0000-0002-4983-9953; Lidbury, Ian/0000-0001-7190-315X; Yang, Jie/0000-0001-9785-5117; Zhang, Yu-Zhong/0000-0002-2017-1005</t>
  </si>
  <si>
    <t>National Science Foundation of China [U1706207, 31630012, 91851205, 31670063]; National Key R &amp; D Program of China [2018YFC1406703]; Program of Shandong for Taishan Scholars [tspd20181203]; AoShan Talents Cultivation Program - Qingdao National Laboratory for Marine Science and Technology [2017ASTCP-OS14]</t>
  </si>
  <si>
    <t>National Science Foundation of China(National Natural Science Foundation of China (NSFC)); National Key R &amp; D Program of China; Program of Shandong for Taishan Scholars; AoShan Talents Cultivation Program - Qingdao National Laboratory for Marine Science and Technology</t>
  </si>
  <si>
    <t>We thank Aharon Oren of the Hebrew University of Jerusalem, Israel for his constructive comments. We thank the staffs from BL18U1&amp;BL19U1 beamlines of National Facility for Protein Sciences Shanghai (NFPS) and Shanghai Synchrotron Radiation Facility, for assistance during data collection. We thank Marine Culture Collection of China for providing the MCCC bacterial strains. This work was supported the National Science Foundation of China (U1706207, 31630012, 91851205, 31670063), the National Key R &amp; D Program of China (2018YFC1406703), the Program of Shandong for Taishan Scholars (tspd20181203), and AoShan Talents Cultivation Program Supported by Qingdao National Laboratory for Marine Science and Technology (2017ASTCP-OS14).</t>
  </si>
  <si>
    <t>10.1038/s41467-019-14133-x</t>
  </si>
  <si>
    <t>KK1UG</t>
  </si>
  <si>
    <t>WOS:000512534100006</t>
  </si>
  <si>
    <t>Kemp, CW; Tibby, J; Arnold, LJ; Barr, C; Gadd, PS; Marshall, JC; McGregor, GB; Jacobsen, GE</t>
  </si>
  <si>
    <t>Kemp, C. W.; Tibby, J.; Arnold, L. J.; Barr, C.; Gadd, P. S.; Marshall, J. C.; McGregor, G. B.; Jacobsen, G. E.</t>
  </si>
  <si>
    <t>Climates of the last three interglacials in subtropical eastern Australia inferred from wetland sediment geochemistry</t>
  </si>
  <si>
    <t>Ralaeoclirnate; North Stradbroke Island; Holocene; MIS 5; MIS 7; mu XRF</t>
  </si>
  <si>
    <t>NORTH STRADBROKE ISLAND; LAGUNA POTROK AIKE; PACIFIC WARM POOL; LATE QUATERNARY; LATE PLEISTOCENE; PALEOHYDROLOGICAL RECORD; ANTARCTIC TEMPERATURE; SOUTHEAST QUEENSLAND; ENVIRONMENTAL-CHANGE; DIFFERENT FRACTIONS</t>
  </si>
  <si>
    <t>Records of Australian climate during Marine Isotope Stages 5 and 7 (130-71 and 243-191 ka) are rare, preventing detailed assessments of long-term climate, drivers and ecological responses across the continent over glacial-interglacial timescales. This study presents a geochemistry-based palaeoclimate record from Fern Gully Lagoon on North Stradbroke Island (also known as Minjerribah) in subtropical eastern Australia, which records climates in MIS 7a-c, MIS 5 and much of the Holocene, in addition to MIS 4 (71-57 ka), and parts of MIS 6, MIS 3 and MIS 2 (191-130, 57-29 and 29-14 ka). Indicators of inorganic sedimentation from a 9.5 m sediment core - focussed on high-resolution estimates of sediment geochemistry supported by x-radiography, inorganic content and magnetic susceptibility - were combined with a chronology consisting of six radiocarbon (C-14) and thirteen single-grain optically stimulated luminescence (OSL) ages. Hiatuses occurred at similar to 178-153 ka, similar to 36-21 ka and similar to 7-2 ka and likely result from the wetland drying. Low values of locally sourced aeolian materials indicate a wet MIS 7a-c and early MIS 6 before a relatively dry MIS 5. Inorganic flux during the Holocene was up to four times greater than during MIS 5, consistent with long-term interglacial drying observed in other regions, most notably in central Australia. This study highlights the importance of employing a combination of multiple dating approaches and calibrated geochemical proxies to derive climate reconstructions and to identify depositional complexities in organic-rich wetland records.</t>
  </si>
  <si>
    <t>[Kemp, C. W.; Tibby, J.; Barr, C.] Univ Adelaide, Sprigg Geobiol Ctr, Geog Environm &amp; Populat, Adelaide, SA, Australia; [Arnold, L. J.] Univ Adelaide, Inst Environm, Inst Photon &amp; Adv Sensing, Sch Phys Sci,Sprigg Geobiol Ctr, Adelaide, SA, Australia; [Gadd, P. S.; Jacobsen, G. E.] Australian Nucl Sci &amp; Technol Org, Lucas Heights, Australia; [Marshall, J. C.; McGregor, G. B.] Queensland Dept Environm &amp; Sci, Brisbane, Qld, Australia; [Marshall, J. C.] Griffith Univ, Australian Rivers Inst, Brisbane, Qld, Australia</t>
  </si>
  <si>
    <t>University of Adelaide; University of Adelaide; Australian Nuclear Science &amp; Technology Organisation; Griffith University</t>
  </si>
  <si>
    <t>Kemp, CW (corresponding author), Univ Adelaide, Dept Geog Environm &amp; Populat, North Terrace, Adelaide, SA 5005, Australia.</t>
  </si>
  <si>
    <t>Christopher.kemp@adelaide.edu.au</t>
  </si>
  <si>
    <t>; Arnold, Lee/J-4356-2018</t>
  </si>
  <si>
    <t>Tibby, John/0000-0002-5897-2932; Gadd, Patricia/0000-0001-6725-1603; Marshall, Jonathan/0000-0002-7177-4543; Kemp, Christopher/0000-0003-3185-2647; Arnold, Lee/0000-0001-9603-3824</t>
  </si>
  <si>
    <t>Quandamooka Yoolooburrabee Aboriginal Corporation; Australian Research Council [DP150103875, FT130100195]; Australian Institute of Nuclear Science and Engineering [ALNGRA16003]; Australian Research Council [FT130100195] Funding Source: Australian Research Council</t>
  </si>
  <si>
    <t>Quandamooka Yoolooburrabee Aboriginal Corporation; Australian Research Council(Australian Research Council); Australian Institute of Nuclear Science and Engineering; Australian Research Council(Australian Research Council)</t>
  </si>
  <si>
    <t>We acknowledge Minjerribah (NSI) and the surrounding waters as Quandamooka Country, and we thank the Quandamooka Yoolooburrabee Aboriginal Corporation for their support of this research. This project was supported by the Australian Research Council Discovery Project DP150103875 and Future Fellowship Project FT130100195. Radiocarbon dating and Itrax pXRF scanning were achieved with the support of Australian Institute of Nuclear Science and Engineering grant ALNGRA16003. We would like to thank Cameron Schulz (DES) and Dr Harald Hofmann (UQ) for field assistance, and the Queensland Government for the Fern Gully Lagoon topographic map. We would also like to thank Mark Raven for WD-XRF analysis and Dr Katherine Grant for support running centred log-ratio calibration on Itrax data, as well as Chester Willard for his useful contributions to the discussion. This manuscript was improved by the contributions of two anonymous reviewers.</t>
  </si>
  <si>
    <t>10.1016/j.palaeo.2019.109463</t>
  </si>
  <si>
    <t>KE7SQ</t>
  </si>
  <si>
    <t>WOS:000508751800001</t>
  </si>
  <si>
    <t>Hospitaleche, CA; De Los Reyes, M; Santillana, S; Reguero, M</t>
  </si>
  <si>
    <t>Acosta Hospitaleche, Carolina; De Los Reyes, Martin; Santillana, Sergio; Reguero, Marcelo</t>
  </si>
  <si>
    <t>First fossilized skin of a giant penguin from the Eocene of Antarctica</t>
  </si>
  <si>
    <t>LETHAIA</t>
  </si>
  <si>
    <t>Lutetian; mineralized integument; Palaeeudyptes gunnari; Palaeogene; Seymour Island; Submeseta Formation</t>
  </si>
  <si>
    <t>MARAMBIO SEYMOUR ISLAND; SOFT-TISSUE; PALAEEUDYPTES-GUNNARI; INNER-MONGOLIA; PRESERVATION; SYSTEMATICS; EVOLUTION; IMPRESSIONS; SPECIMEN; FEATHERS</t>
  </si>
  <si>
    <t>An articulated wing belonging to Palaeeudyptes gunnari containing mineralized skin was found in Lutetian (middle Eocene) sediments from Seymour Island, Antarctica. It shows the connective tissues, morphology and density of the feather follicles, and a groove pattern left by the feather calami resting on the skin. Analysis of the preserved surfaces indicates a composition of calcium phosphate. This is the most complete and only articulated wing described for this species and represents the first record of a neornithine bird preserving three-dimensional integument. Plumage density of the wing MLP 14-I-10-22, estimated by counting the follicles under a stereoscopic microscope, is lower than that of the modern Emperor penguin.</t>
  </si>
  <si>
    <t>[Acosta Hospitaleche, Carolina] Comis Nacl Invest Cient &amp; Tecnol CONICET, Div Paleontol Vertebrados, Fac Ciencias Nat &amp; Museo, Museo La Plata, Paseo Bosque S-N, RA-1900 La Plata, Buenos Aires, Argentina; [De Los Reyes, Martin; Santillana, Sergio; Reguero, Marcelo] Inst Antartico Argentino, Direcc Nacl Antartico, 25 Mayo 1143 B1650, San Martin, Argentina; [Reguero, Marcelo] Museo La Plata, Div Paleontol Vertebrados, Paseo Bosque S-N, RA-1900 La Plata, Buenos Aires, Argentina</t>
  </si>
  <si>
    <t>National University of La Plata; Museo La Plata; Instituto Antartico Argentino; National University of La Plata; Museo La Plata</t>
  </si>
  <si>
    <t>Hospitaleche, CA (corresponding author), Comis Nacl Invest Cient &amp; Tecnol CONICET, Div Paleontol Vertebrados, Fac Ciencias Nat &amp; Museo, Museo La Plata, Paseo Bosque S-N, RA-1900 La Plata, Buenos Aires, Argentina.</t>
  </si>
  <si>
    <t>acostacaro@fcnym.unlp.edu.ar; mdelosreyes@fcnym.unlp.edu.ar; snsantillana@gmail.com; regui@fcnym.unlp.edu.ar</t>
  </si>
  <si>
    <t>Reguero, Marcelo A./JHS-4893-2023; Acosta Hospitaleche, Carolina/E-5740-2017</t>
  </si>
  <si>
    <t>Oceanwide Expeditions, Vlissingen (NL)</t>
  </si>
  <si>
    <t>We thank the Instituto Antartico Argentino (IAA) of the Direccion Nacional del Antartico (DNA) for inviting us to study the material and the Fuerza Aerea Argentina (FAA) for key support of Antarctic fieldwork in 2014. L. Acosta Burlaille (MLP) prepared the material for this study, B. Pianzola (MLP) took the photographs and C. Morgan (MLP) improved the English grammar. We specially thank Dr J. Alistair Crame for his critical reading and the grammar and style suggestions. CAH is particularly grateful to Oceanwide Expeditions, Vlissingen (NL), for financial support.</t>
  </si>
  <si>
    <t>SCANDINAVIAN UNIV PRESS-UNIVERSITETSFORLAGET AS</t>
  </si>
  <si>
    <t>OSLO</t>
  </si>
  <si>
    <t>SEHESTEDS GATE 3, PO BOX 509, OSLO, 0105, NORWAY</t>
  </si>
  <si>
    <t>0024-1164</t>
  </si>
  <si>
    <t>1502-3931</t>
  </si>
  <si>
    <t>Lethaia</t>
  </si>
  <si>
    <t>10.1111/let.12366</t>
  </si>
  <si>
    <t>LV0JD</t>
  </si>
  <si>
    <t>WOS:000507225400001</t>
  </si>
  <si>
    <t>Sun, H; Gao, ZY; Qi, D; Chen, BS; Chen, LQ; Cai, WJ</t>
  </si>
  <si>
    <t>Sun, Heng; Gao, Zhongyong; Qi, Di; Chen, Bao Shan; Chen, Liqi; Cai, Wei-Jun</t>
  </si>
  <si>
    <t>Surface seawater partial pressure of CO2 variability and air-sea CO2 fluxes in the Bering Sea in July 2010</t>
  </si>
  <si>
    <t>Bering sea; Partial pressure of CO2; Carbonate chemistry; Spatial variability; Controlling processes; CO2 sink</t>
  </si>
  <si>
    <t>DISSOLVED INORGANIC CARBON; COASTAL OCEAN; SPATIAL VARIABILITY; TOTAL ALKALINITY; CHUKCHI SEA; PCO(2); DIOXIDE; WATER; SHELF; PACIFIC</t>
  </si>
  <si>
    <t>Prior studies of surface seawater CO2 partial pressure (pCO(2)) and air-sea CO2 fluxes have primarily been conducted on the eastern Bering Sea shelf area, with a paucity of data in the Bering Sea basin. In order to assess the surface variability and the air-sea CO2 fluxes for a more complete set of different regions, underway surface seawater pCO(2) and related parameters were investigated across the Bering Sea basin, slope and shelf in July 2010 during the 4th Chinese National Arctic Research Expedition (CHINARE). The surface pCO(2) exhibited large spatial variability and was observed to vary from 137 mu atm in the central Bering Strait to 481 mu atm in the western Bering Strait. In the central Bering Strait, the high supersaturation with respect to the atmospheric pCO(2) (378 +/- 2 mu atm) was driven by the upwelling event. The neutral or weak CO2 sink in the Bering Sea basin and eastern nearshore region were related to high nutrient low chlorophyll status and riverine input, respectively. Biological process maintained the most shelf and slope areas as a strong CO2 sink. Overall, despite a small CO2 outgassing area the whole Bering Sea still acted as a net ocean CO2 sink of -6.4 +/- 0.9 mmol m(-2) d(-1) in summer.</t>
  </si>
  <si>
    <t>[Sun, Heng; Gao, Zhongyong; Qi, Di; Chen, Liqi] TIO, MNR, Key Lab Global Change &amp; Marine Atmospher Chem GCM, Xiamen 361005, Peoples R China; [Chen, Bao Shan; Cai, Wei-Jun] Univ Delaware, Sch Marine Sci &amp; Policy, Newark, DE USA</t>
  </si>
  <si>
    <t>Sun, H; Gao, ZY (corresponding author), TIO, MNR, Key Lab Global Change &amp; Marine Atmospher Chem GCM, Xiamen 361005, Peoples R China.</t>
  </si>
  <si>
    <t>sunh@tio.org.cn; gao@tio.org.cn</t>
  </si>
  <si>
    <t>Cai, Wei-Jun/0000-0003-3606-8325</t>
  </si>
  <si>
    <t>National Key Research and Development Program of China [2019YFA0607003]; Scientific Research Foundation of Third Institute of Oceanography, MNR [2018005, 2017029]; National Natural Science Foundation of China [41406221, 41476173, 41806222, 41630969]; Chinese Projects for Investigations and Assessments of the Arctic and Antarctic [CHI-NARE2017-2020]; Natural Science Foundation of Fujian Proince, China [2019Jo5148]; Bilateral Cooperation of Maritime Affairs [2200207]; NSF Arctic Natural Science Program [ARC-0909330]</t>
  </si>
  <si>
    <t>National Key Research and Development Program of China; Scientific Research Foundation of Third Institute of Oceanography, MNR; National Natural Science Foundation of China(National Natural Science Foundation of China (NSFC)); Chinese Projects for Investigations and Assessments of the Arctic and Antarctic; Natural Science Foundation of Fujian Proince, China; Bilateral Cooperation of Maritime Affairs; NSF Arctic Natural Science Program</t>
  </si>
  <si>
    <t>We would like to thank the captain and all crews of R/VXuelong for their tireless efforts in supporting our work during the 4th Chinese National Arctic Expedition. This work was funded by the National Key Research and Development Program of China (2019YFA0607003), Scientific Research Foundation of Third Institute of Oceanography, MNR, No. (2018005, 2017029), National Natural Science Foundation of China (41406221, 41476173, 41806222, 41630969), the Chinese Projects for Investigations and Assessments of the Arctic and Antarctic (CHI-NARE2017-2020), Natural Science Foundation of Fujian Proince, China (No 2019Jo5148) and Bilateral Cooperation of Maritime Affairs (2200207). WJC thanks the support from NSF Arctic Natural Science Program (ARC-0909330).</t>
  </si>
  <si>
    <t>10.1016/j.csr.2019.104031</t>
  </si>
  <si>
    <t>WOS:000513290600001</t>
  </si>
  <si>
    <t>Yang, MY; Frank, TD; Fielding, CR</t>
  </si>
  <si>
    <t>Yang, Mingyu; Frank, Tracy D.; Fielding, Christopher R.</t>
  </si>
  <si>
    <t>Intergranular aragonite cement as evidence for widespread cryogenic brine formation during Quaternary glaciation in the McMurdo Sound region, Antarctica</t>
  </si>
  <si>
    <t>Cryogenic brine; Aragonite cement; Isotope geochemistry; Quaternary glaciation; ANDRILL; McMurdo Dry Valleys; McMurdo Sound; Antarctica</t>
  </si>
  <si>
    <t>OXYGEN-ISOTOPE FRACTIONATION; SOUTHERN VICTORIA LAND; DRY VALLEYS; TAYLOR VALLEY; ROSS-SEA; CALCIUM-CARBONATE; VESTFOLD-HILLS; SALINE LAKES; SYNTHETIC ARAGONITE; FRYXELL BASIN</t>
  </si>
  <si>
    <t>Briny groundwater is present below the extremely cold and dry surface of the McMurdo Dry Valleys and below the seafloor of the adjacent McMurdo Sound in Antarctica. The lack of reliable groundwater samples in the region, however, has long limited understanding of its origin, nature, and spatial distribution. In this regard, intergranular carbonate cements, widespread in subsurface Cenozoic strata and recently recognized as brine precipitates, provide an indirect means of solving these issues. This study examines the petrography and isotope geochemistry of intergranular aragonite cement phases that occur in subsurface Pliocene-Quaternary sedimentary sections that formed in the lower Taylor Valley (cores DVDP-10, -11) and in offshore McMurdo Sound (core AND-1B). Aragonite cement in the coastal Taylor Valley sections is characterized by very low delta O-18 values (-26.9 to -19.4 parts per thousand VPDB) compared to values in the offshore section (-12.5 to -2.7 parts per thousand VPDB). These differences are interpreted to reflect two settings for cryogenic brine formation, which produced isotopically distinct brines during Quaternary glaciation. In the coastal region, seawater-meltwater mixtures were isolated and cryogenically concentrated in an ice-dammed lake setting that formed in response to the expansion of the East and West Antarctic Ice Sheets into the lower Taylor Valley. In McMurdo Sound, cryogenic concentration of seawater occurred in a semi-isolated flexural trough that was deepened by lithospheric depression of volcanic edifices and the expanded West Antarctic Ice Sheet. Aragonite cement phases serve as excellent proxies for tracing the extents of subsurface brine bodies along the continental margin of Antarctica. Given the propensity for cryogenic brine formation in glaciomarine settings, the likelihood of brine cements in rock records from other analogous high-latitude, cold settings must not be overlooked. (C) 2019 Elsevier Ltd. All rights reserved.</t>
  </si>
  <si>
    <t>[Yang, Mingyu; Frank, Tracy D.; Fielding, Christopher R.] Univ Nebraska, Dept Earth &amp; Atmospher Sci, 126 Bessey Hall, Lincoln, NE 68588 USA</t>
  </si>
  <si>
    <t>University of Nebraska System; University of Nebraska Lincoln</t>
  </si>
  <si>
    <t>Yang, MY (corresponding author), Univ Nebraska, Dept Earth &amp; Atmospher Sci, 126 Bessey Hall, Lincoln, NE 68588 USA.</t>
  </si>
  <si>
    <t>mingyu.yang@huskers.unl.edu</t>
  </si>
  <si>
    <t>Yang, Mingyu/HII-2795-2022</t>
  </si>
  <si>
    <t>Frank, Tracy/0000-0002-8422-7389; Yang, Mingyu/0000-0002-0565-2820</t>
  </si>
  <si>
    <t>National Science Foundation [PLR-1341390]; Geological Society of America Graduate Student Research Grant</t>
  </si>
  <si>
    <t>National Science Foundation(National Science Foundation (NSF)); Geological Society of America Graduate Student Research Grant</t>
  </si>
  <si>
    <t>This work was supported by the National Science Foundation Grant (PLR-1341390) to T.D.F. and C.R.F. and by the Geological Society of America Graduate Student Research Grant to M.Y. The Department of Earth and Atmospheric Sciences at the University of Nebraska-Lincoln provided facility support. The Antarctic Marine Geology Research Facility at Florida State University assisted with sample collection. We thank Ian Fairchild, StepYhen Grasby, Paul Niles, an anonymous reviewer, and the Associate Editor, Adrian Immenhauser, for their insightful comments that helped improve the manuscript.</t>
  </si>
  <si>
    <t>10.1016/j.gca.2019.10.027</t>
  </si>
  <si>
    <t>JV4JV</t>
  </si>
  <si>
    <t>WOS:000502332400018</t>
  </si>
  <si>
    <t>Liu, HY; Bai, XM; Pang, XP</t>
  </si>
  <si>
    <t>Liu, Haiyan; Bai, Xuemei; Pang, Xiaoping</t>
  </si>
  <si>
    <t>Intercity variability and local factors influencing the level of pesticide residues in marketed fruits and vegetables of China</t>
  </si>
  <si>
    <t>Pesticide residues; Food safety; Marketed fruits/vegetables; Policy; Economy; Agriculture</t>
  </si>
  <si>
    <t>LESS-DEVELOPED-COUNTRIES; FOOD SAFETY; CONSUMER ATTITUDES; EXPOSURE; AGRICULTURE; METABOLISM; INVESTMENT; AWARENESS; RISKS; WATER</t>
  </si>
  <si>
    <t>Controlling pesticide residues in marketed fruits and vegetables is an essential issue for food safety and public health. Local governments improve local conditions, like policymaking and implementation, economic structure and development level, and agricultural practices, to control pesticide residues. However, the level of influence and relative importance of these local factors are not analyzed quantitatively. Here we present the food safety level across 42 Chinese cities as measured by the level of pesticide residues (LPR) in fresh fruits and vegetables, and explore how local socio-economic and policy factors influence its intercity variability. A total of 12,070 sample measurements were used in this study. The relationships between LPR and local socio-economic-policy factors were tested by using Pearson correlation analysis, two-sided independent t-test, and stepwise multivariable linear regression. Our analysis shows that: (1) the pesticide residues in 97.1% of the samples were within legal limits, but the LPR had a considerable cross-city disparity and (2) eight socio-economic-policy variables were found to be significantly correlated with LPR at the city level. Six policy-related variables, namely the number of pesticide-related policies, the number of food safety-related policies, the number of food safety-related news reports, the supermarket revolution, the administrative level of the city and the transparency of supervision of food safety, could explain 32.8% of the intercity variability of LPR. This was followed by the gross domestic product (GDP) per capita from the tertiary sector (15.6%) and the pesticide usage per cultivated area in local agriculture (13.4%). After eliminating the collinearity of these variables, local socio-economic-policy factors collectively could explain around 40% of the intercity variability of LPR. This indicates that local-level policy may have a larger impact on local food safety in terms of LPR than economic factors or local agricultural practice, underscoring the critical role of local government in ensuring food safety. (C) 2019 Elsevier B.V. All rights reserved.</t>
  </si>
  <si>
    <t>[Liu, Haiyan; Pang, Xiaoping] Wuhan Univ, Chinese Antarctic Ctr Surveying &amp; Mapping, Wuhan 430079, Hubei, Peoples R China; [Liu, Haiyan; Pang, Xiaoping] Wuhan Univ, Sch Resource &amp; Environm Sci, Wuhan 430079, Hubei, Peoples R China; [Bai, Xuemei] Australian Natl Univ, Fenner Sch Environm &amp; Soc, Canberra, ACT 0200, Australia</t>
  </si>
  <si>
    <t>Wuhan University; Wuhan University; Australian National University</t>
  </si>
  <si>
    <t>Liu, HY (corresponding author), Wuhan Univ, Chinese Antarctic Ctr Surveying &amp; Mapping, Wuhan 430079, Hubei, Peoples R China.</t>
  </si>
  <si>
    <t>liuhaiyan@whu.edu.cn</t>
  </si>
  <si>
    <t>Bai, Xuemei/A-5443-2012</t>
  </si>
  <si>
    <t>Bai, Xuemei/0000-0001-6556-8041; liu, haiyan/0000-0003-3158-0661</t>
  </si>
  <si>
    <t>Ministry of Science and Technology of the People's Republic of China; Chinese Academy of Inspection and Quarantine as part of one National Science and Technology Foundation of China [2015FY111200]</t>
  </si>
  <si>
    <t>Ministry of Science and Technology of the People's Republic of China(Ministry of Science and Technology, China); Chinese Academy of Inspection and Quarantine as part of one National Science and Technology Foundation of China</t>
  </si>
  <si>
    <t>This work was funded by the Ministry of Science and Technology of the People's Republic of China and Chinese Academy of Inspection and Quarantine as part of one National Science and Technology Foundation of China (2015FY111200). The views of this paper are solely the responsibility of the authors and do not necessarily reflect the official views of the Chinese Academy of Inspection and Quarantine or the Government of China.</t>
  </si>
  <si>
    <t>10.1016/j.scitotenv.2019.134481</t>
  </si>
  <si>
    <t>JR2SH</t>
  </si>
  <si>
    <t>WOS:000499480800036</t>
  </si>
  <si>
    <t>Zangrando, R; Zanella, V; Karroca, O; Barbaro, E; Kehrwald, NM; Battistel, D; Morabito, E; Gambaro, A; Barbante, C</t>
  </si>
  <si>
    <t>Zangrando, Roberta; Zanella, Veronica; Karroca, Ornela; Barbaro, Elena; Kehrwald, Natalie M.; Battistel, Dario; Morabito, Elisa; Gambaro, Andrea; Barbante, Carlo</t>
  </si>
  <si>
    <t>Dissolved organic matter in the deep TALDICE ice core: A nano-UPLC-nano-ESI-HRMS method</t>
  </si>
  <si>
    <t>Untargeted analysis; Ice cores; Nano-UPLC-nano-ESI-HRMS; Antarctica; TALDICE</t>
  </si>
  <si>
    <t>UNSATURATED FATTY-ACIDS; MASS-SPECTROMETRY CHARACTERIZATION; MOLECULAR COMPOSITION; ANTARCTIC ICE; OLEIC-ACID; DICARBOXYLIC-ACIDS; CLIMATE-CHANGE; ALPHA-PINENE; SEA-ICE; ORGANOSULFATE FORMATION</t>
  </si>
  <si>
    <t>Trace organic compounds in deep ice cores supply important paleoclimatic information. Untargeted analyses of dissolved organic matter provide an overview of molecular species in ice samples however, sample volumes usually required for these analyses are generally not available from deep ice cores. Here, we developed an analytical method using a nano-UPLC-nano-ESI-HRMS to detect major molecular species in ice cores. Samples (4 mu L) from the TALos Dome Ice CorE (TALDICE), allowed investigating molecular species across a range of depths including during glacial and interglacial periods. We detected 317 chemical species that were tentatively assigned to fatty acids, hydroxy fatty acids and their degradation products (oxo-fatty acids and dicarboxylic acids), as well as oxidation byproducts of isoprene and monoterpenes. These compounds indicate that the main sources of the organic fraction are microbes as well as primary and secondary aerosols. Interglacial samples encompass a wide range of species including compounds from the oxidation of isoprene and monoterpenes as well as unsaturated fatty acids, while the glacial samples contained less diverse species. This difference may be due to decreased temperatures during the glacial period inhibiting terrestrial vegetation growth and increasing the sea ice extent, thereby weakening the emission sources. (C) 2019 Elsevier B.V. All rights reserved.</t>
  </si>
  <si>
    <t>[Zangrando, Roberta; Barbaro, Elena; Gambaro, Andrea; Barbante, Carlo] CNR, Inst Polar Sci, Via Torino 155, I-30172 Venice, VE, Italy; [Zanella, Veronica; Karroca, Ornela; Battistel, Dario; Morabito, Elisa; Gambaro, Andrea; Barbante, Carlo] Ca Foscari Univ Venice, Dept Environm Sci Informat &amp; Stat, Via Torino 155, I-30170 Venice, VE, Italy; [Kehrwald, Natalie M.] US Geol Survey, Geosci &amp; Environm Change Sci Ctr, Denver Fed Ctr, MS 980, Denver, CO 80225 USA</t>
  </si>
  <si>
    <t>Consiglio Nazionale delle Ricerche (CNR); Istituto di Scienze Polari (ISP-CNR); Universita Ca Foscari Venezia; United States Department of the Interior; United States Geological Survey</t>
  </si>
  <si>
    <t>Zangrando, R (corresponding author), CNR, Inst Polar Sci, Via Torino 155, I-30172 Venice, VE, Italy.</t>
  </si>
  <si>
    <t>roberta.zangrando@cnr.it</t>
  </si>
  <si>
    <t>BARBARO, ELENA/AAK-3106-2021; Barbante, Carlo/B-3195-2011; Barbaro, Elena/AAX-8809-2020; Kehrwald, Natalie M/A-3848-2013</t>
  </si>
  <si>
    <t>Barbaro, Elena/0000-0003-2639-7475; Kehrwald, Natalie M/0000-0002-9160-2239; Barbante, Carlo/0000-0003-4177-2288; Morabito, Elisa/0000-0002-0631-0267</t>
  </si>
  <si>
    <t>Early Human Impact ERC Advanced Grant of the European Commission's VII Framework Program [267696]; Programma Nazionale di Ricerche in Antartide (PNRA) Grant [PEA 2013/B2.05]; European Union Marie Curie IIF Fellowship (TDICOSO) within the VII Framework Program [MIF1-CT-2006-039529]; European Research Council (ERC) [267696] Funding Source: European Research Council (ERC)</t>
  </si>
  <si>
    <t>Early Human Impact ERC Advanced Grant of the European Commission's VII Framework Program; Programma Nazionale di Ricerche in Antartide (PNRA) Grant; European Union Marie Curie IIF Fellowship (TDICOSO) within the VII Framework Program(European Union (EU)); European Research Council (ERC)(European Research Council (ERC)Spanish Government)</t>
  </si>
  <si>
    <t>This research received financial support from the Early Human Impact ERC Advanced Grant of the European Commission's VII Framework Program, grant number 267696, by Programma Nazionale di Ricerche in Antartide (PNRA) Grant: PEA 2013/B2.05, and by European Union Marie Curie IIF Fellowship (MIF1-CT-2006-039529, TDICOSO) within the VII Framework Program. The Talos Dome Ice Core Project (TALDICE), a joint European programme, is funded by national contributions from Italy, France, Germany, Switzerland and the United Kingdom. Primary logistical support was provided by PNRA at Talos Dome. The authors gratefully acknowledge the help of ELGA LabWater in providing the Chorus I and Chorus II that produced the ultrapure water used in these experiments. Any use of trade, firm, or product names is for descriptive purposes only and does not imply endorsement by the U.S. Government.</t>
  </si>
  <si>
    <t>10.1016/j.scitotenv.2019.134432</t>
  </si>
  <si>
    <t>WOS:000499480800019</t>
  </si>
  <si>
    <t>Oellermann, M; Hickey, AJR; Fitzgibbon, QP; Smith, G</t>
  </si>
  <si>
    <t>Oellermann, Michael; Hickey, Anthony J. R.; Fitzgibbon, Quinn P.; Smith, Greg</t>
  </si>
  <si>
    <t>Thermal sensitivity links to cellular cardiac decline in three spiny lobsters</t>
  </si>
  <si>
    <t>CLIMATE-CHANGE; MITOCHONDRIAL-FUNCTION; CIRCULATORY-SYSTEM; TEMPERATURE-DEPENDENCE; OXYGEN LIMITATION; HEART PERFORMANCE; PORCELAIN CRABS; HEMOLYMPH-FLOW; METABOLIC-RATE; MILNE-EDWARDS</t>
  </si>
  <si>
    <t>Understanding mechanisms of thermal sensitivity is key to predict responses of marine organisms to changing temperatures. Sustaining heart function is critical for complex organisms to oxygenate tissues, particularly under temperature stress. Yet, specific mechanisms that define thermal sensitivity of cardiac function remain unclear. Here we investigated whole animal metabolism, cardiac performance and mitochondrial function in response to elevated temperatures for temperate, subtropical and tropical spiny lobster species. While oxygen demands increased with rising temperatures, heart function became limited or declined in all three species of lobsters. The decline in cardiac performance coincided with decreases in mitochondrial efficiency through increasing mitochondrial proton leakage, which predicts impaired compensation of ATP production. Species differences were marked by shifts in mitochondrial function, with the least thermal scope apparent for tropical lobsters. We conclude that acute temperature stress of spiny lobsters, irrespective of their climatic origin, is marked by declining cellular energetic function of the heart, contributing to an increasing loss of whole animal performance. Better understanding of physiological thermal stress cascades will help to improve forecasts of how changing environmental temperatures affect the fitness of these ecologically and commercially important species.</t>
  </si>
  <si>
    <t>[Oellermann, Michael; Fitzgibbon, Quinn P.; Smith, Greg] Univ Tasmania, Inst Marine &amp; Antarctic Studies IMAS, Fisheries &amp; Aquaculture Ctr, Hobart, Tas 7001, Australia; [Hickey, Anthony J. R.] Univ Auckland, Sch Biol Sci, Auckland, New Zealand</t>
  </si>
  <si>
    <t>University of Tasmania; University of Auckland</t>
  </si>
  <si>
    <t>Oellermann, M (corresponding author), Univ Tasmania, Inst Marine &amp; Antarctic Studies IMAS, Fisheries &amp; Aquaculture Ctr, Hobart, Tas 7001, Australia.</t>
  </si>
  <si>
    <t>michael.oellermann@utas.edu.au</t>
  </si>
  <si>
    <t>; Oellermann, Michael/G-7073-2011; Smith, Gregory/C-9263-2013</t>
  </si>
  <si>
    <t>Fitzgibbon, Quinn/0000-0002-1104-3052; Oellermann, Michael/0000-0001-5392-6737; Smith, Gregory/0000-0002-8677-1230</t>
  </si>
  <si>
    <t>German Research Foundation [OE 658/1-1]; Australian Research Council Industrial Transformation Research HUB [IH120100032]</t>
  </si>
  <si>
    <t>German Research Foundation(German Research Foundation (DFG)); Australian Research Council Industrial Transformation Research HUB(Australian Research Council)</t>
  </si>
  <si>
    <t>We would like to thank all staff at IMAS Taroona for their technical and logistical assistance, particularly Larnie Linton, Ross Goldsmid, Karl van Drunen, Craig Thomas, Alan Beech, Matthew Allen and Lisette Robertson. We further thank Samantha Twiname and Gretta Pecl for their manifold support and two anonymous reviewers whose comments helped improve and clarify this manuscript. We acknowledge the palawa, traditional custodians of lutruwita who have extensive knowledge of nubeena. MO was supported by a German Research Foundation fellowship OE 658/1-1. Tropical and sub-tropical lobsters were provided through collaboration with the Australian Research Council Industrial Transformation Research HUB (project number IH120100032).</t>
  </si>
  <si>
    <t>JAN 14</t>
  </si>
  <si>
    <t>10.1038/s41598-019-56794-0</t>
  </si>
  <si>
    <t>MO2HL</t>
  </si>
  <si>
    <t>WOS:000551353700001</t>
  </si>
  <si>
    <t>Zhou, YD; Wang, Y; Li, YN; Shen, CC; Liu, ZS; Wang, CS</t>
  </si>
  <si>
    <t>Zhou, Yadong; Wang, Yuan; Li, Yuanning; Shen, Chengcheng; Liu, Zhensheng; Wang, Chunsheng</t>
  </si>
  <si>
    <t>First report of Osedax in the Indian Ocean indicative of trans-oceanic dispersal through the Southern Ocean</t>
  </si>
  <si>
    <t>MARINE BIODIVERSITY</t>
  </si>
  <si>
    <t>Osedax rubiplumus; New record; Biogeography; Southwest Indian Ocean</t>
  </si>
  <si>
    <t>MULTIPLE SEQUENCE ALIGNMENT; WHALE FALLS; BONE WORMS; SIBOGLINIDAE; ANNELIDA; PERFORMANCE; ECOLOGY</t>
  </si>
  <si>
    <t>Three specimens of the bone-eating worms, Osedax rubiplumus Rouse, Goffredi &amp; Vrijenhoek, 2004, were collected from pig bones deployed in the periphery of Longqi vent field on the Southwest Indian Ridge (SWIR). Osedax rubiplumus was previously only reported in both the eastern and western North Pacific and Antarctic oceans. Our finding extends its range to the Indian Ocean, representing a much wider distribution of O. rubiplumus than previously expected. Moreover, all individuals of O. rubiplumus from the SWIR form a single haplotype with the highest divergence from the Pacific ones.</t>
  </si>
  <si>
    <t>[Zhou, Yadong; Shen, Chengcheng; Liu, Zhensheng; Wang, Chunsheng] State Ocean Adm, Key Lab Marine Ecosyst &amp; Biogeochem, Hangzhou, Peoples R China; [Zhou, Yadong; Wang, Yuan; Shen, Chengcheng; Liu, Zhensheng; Wang, Chunsheng] Minist Nat Resources, Inst Oceanog 2, Hangzhou, Peoples R China; [Wang, Yuan] State Ocean Adm, Key Lab Submarine Geosci, Hangzhou, Peoples R China; [Li, Yuanning] Yale Univ, Dept Ecol &amp; Evolutionary Biol, 165 Prospect St, New Haven, CT 06511 USA; [Wang, Chunsheng] State Key Lab Satellite Ocean Environm Dynam, Hangzhou 310012, Peoples R China; [Wang, Chunsheng] Shanghai Jiao Tong Univ, Sch Oceanog, Shanghai 200240, Peoples R China</t>
  </si>
  <si>
    <t>Ministry of Natural Resources of the People's Republic of China; Yale University; Shanghai Jiao Tong University</t>
  </si>
  <si>
    <t>Wang, CS (corresponding author), State Ocean Adm, Key Lab Marine Ecosyst &amp; Biogeochem, Hangzhou, Peoples R China.;Wang, CS (corresponding author), Minist Nat Resources, Inst Oceanog 2, Hangzhou, Peoples R China.;Wang, CS (corresponding author), State Key Lab Satellite Ocean Environm Dynam, Hangzhou 310012, Peoples R China.;Wang, CS (corresponding author), Shanghai Jiao Tong Univ, Sch Oceanog, Shanghai 200240, Peoples R China.</t>
  </si>
  <si>
    <t>wangsio@sio.org.cn</t>
  </si>
  <si>
    <t>Li, Yuanning/AAE-4533-2021; Li, Yuanning/GXH-5887-2022</t>
  </si>
  <si>
    <t>Li, Yuanning/0000-0002-2206-5804; Li, Yuanning/0000-0002-2206-5804; Zhou, Yadong/0000-0002-3577-1118</t>
  </si>
  <si>
    <t>National Natural Science Foundation of China (NSFC) [41606156]; Scientific Research Fund of the Second Institute of Oceanography, MNR [QNYC1902]; Foundation of China Ocean Mineral Resources RD Association [DYHC-135-43, DYHC-135-49, DY135-E2-1-02]; National Key Research and Development Program of China [2017YFC0306603]</t>
  </si>
  <si>
    <t>National Natural Science Foundation of China (NSFC)(National Natural Science Foundation of China (NSFC)); Scientific Research Fund of the Second Institute of Oceanography, MNR; Foundation of China Ocean Mineral Resources RD Association; National Key Research and Development Program of China</t>
  </si>
  <si>
    <t>This work was supported by the National Natural Science Foundation of China (NSFC) (Grant No. 41606156), the Scientific Research Fund of the Second Institute of Oceanography, MNR (Grant No. QNYC1902), the Foundation of China Ocean Mineral Resources R&amp;D Association (No. DY135-E2-1-02), and the National Key Research and Development Program of China (Grant No. 2017YFC0306603). Cruises DY43 and DY49 were supported by the Foundation of China Ocean Mineral Resources R&amp;D Association (No. DYHC-135-43 and No. DYHC-135-49).</t>
  </si>
  <si>
    <t>1867-1616</t>
  </si>
  <si>
    <t>1867-1624</t>
  </si>
  <si>
    <t>MAR BIODIVERS</t>
  </si>
  <si>
    <t>Mar. Biodivers.</t>
  </si>
  <si>
    <t>10.1007/s12526-019-01034-x</t>
  </si>
  <si>
    <t>Biodiversity Conservation; Marine &amp; Freshwater Biology</t>
  </si>
  <si>
    <t>Biodiversity &amp; Conservation; Marine &amp; Freshwater Biology</t>
  </si>
  <si>
    <t>KM2LM</t>
  </si>
  <si>
    <t>WOS:000513954200001</t>
  </si>
  <si>
    <t>Hollowed, AB; Holsman, KK; Haynie, AC; Hermann, AJ; Punt, AE; Aydin, K; Ianelli, JN; Kasperski, S; Cheng, W; Faig, A; Kearney, KA; Reum, JCP; Spencer, P; Spies, I; Stockhausen, W; Szuwalski, CS; Whitehouse, GA; Wilderbuer, TK</t>
  </si>
  <si>
    <t>Hollowed, Anne Babcock; Holsman, Kirstin Kari; Haynie, Alan C.; Hermann, Albert J.; Punt, Andre E.; Aydin, Kerim; Ianelli, James N.; Kasperski, Stephen; Cheng, Wei; Faig, Amanda; Kearney, Kelly A.; Reum, Jonathan C. P.; Spencer, Paul; Spies, Ingrid; Stockhausen, William; Szuwalski, Cody S.; Whitehouse, George A.; Wilderbuer, Thomas K.</t>
  </si>
  <si>
    <t>Integrated Modeling to Evaluate Climate Change Impacts on Coupled Social-Ecological Systems in Alaska</t>
  </si>
  <si>
    <t>climate change; fishery management strategy; Bering Sea; walleye pollock; Pacific cod; climate projections</t>
  </si>
  <si>
    <t>EASTERN BERING-SEA; POLLOCK THERAGRA-CHALCOGRAMMA; WALLEYE POLLOCK; ECONOMIC-IMPACTS; BIAS CORRECTION; FUTURE CLIMATE; MANAGEMENT; FISHERY; OCEAN; RESPONSES</t>
  </si>
  <si>
    <t>The Alaska Climate Integrated Modeling (ACLIM) project represents a comprehensive, multi-year, interdisciplinary effort to characterize and project climate-driven changes to the eastern Bering Sea (EBS) ecosystem, from physics to fishing communities. Results from the ACLIM project are being used to understand how different regional fisheries management approaches can help promote adaptation to climate-driven changes to sustain fish and shellfish populations and to inform managers and fishery dependent communities of the risks associated with different future climate scenarios. The project relies on iterative communications and outreaches with managers and fishery-dependent communities that have informed the selection of fishing scenarios. This iterative approach ensures that the research team focuses on policy relevant scenarios that explore realistic adaptation options for managers and communities. Within each iterative cycle, the interdisciplinary research team continues to improve: methods for downscaling climate models, climate-enhanced biological models, socio-economic modeling, and management strategy evaluation (MSE) within a common analytical framework. The evolving nature of the ACLIM framework ensures improved understanding of system responses and feedbacks are considered within the projections and that the fishing scenarios continue to reflect the management objectives of the regional fisheries management bodies. The multi-model approach used for projection of biological responses, facilitates the quantification of the relative contributions of climate forcing scenario, fishing scenario, parameter, and structural uncertainty with and between models. Ensemble means and variance within and between models inform risk assessments under different future scenarios. The first phase of projections of climate conditions to the end of the 21st century is complete, including projections of catch for core species under baseline (status quo) fishing conditions and two alternative fishing scenarios are discussed. The ACLIM modeling framework serves as a guide for multidisciplinary integrated climate impact and adaptation decision making in other large marine ecosystems.</t>
  </si>
  <si>
    <t>[Hollowed, Anne Babcock; Holsman, Kirstin Kari; Haynie, Alan C.; Aydin, Kerim; Ianelli, James N.; Kasperski, Stephen; Kearney, Kelly A.; Reum, Jonathan C. P.; Spencer, Paul; Spies, Ingrid; Stockhausen, William; Szuwalski, Cody S.; Wilderbuer, Thomas K.] NOAA, Alaska Fisheries Sci Ctr, Natl Marine Fisheries Serv, Seattle, WA 98115 USA; [Hermann, Albert J.; Cheng, Wei; Faig, Amanda; Kearney, Kelly A.; Whitehouse, George A.] Univ Washington, Joint Inst Study Atmosphere &amp; Ocean, Seattle, WA 98195 USA; [Hermann, Albert J.; Cheng, Wei] NOAA, Pacific Marine Environm Lab, Oceans &amp; Atmospher Res, 7600 Sand Point Way Ne, Seattle, WA 98115 USA; [Punt, Andre E.; Faig, Amanda; Whitehouse, George A.] Univ Washington, Coll Environm, Sch Aquat &amp; Fishery Sci, Seattle, WA 98195 USA; [Reum, Jonathan C. P.] Univ Tasmania, Ctr Marine Socioecol, Inst Marine &amp; Antarctic Studies, Coll Sci &amp; Engn, Hobart, Tas, Australia</t>
  </si>
  <si>
    <t>National Oceanic Atmospheric Admin (NOAA) - USA; University of Washington; University of Washington Seattle; National Oceanic Atmospheric Admin (NOAA) - USA; University of Washington; University of Washington Seattle; University of Tasmania</t>
  </si>
  <si>
    <t>Hollowed, AB (corresponding author), NOAA, Alaska Fisheries Sci Ctr, Natl Marine Fisheries Serv, Seattle, WA 98115 USA.</t>
  </si>
  <si>
    <t>Anne.Hollowed@noaa.gov</t>
  </si>
  <si>
    <t>Kearney, Kelly A/A-8673-2014; Cheng, Wei/J-1030-2017</t>
  </si>
  <si>
    <t>Stockhausen, William/0000-0003-3633-2157; Whitehouse, George/0000-0002-9130-9403</t>
  </si>
  <si>
    <t>Joint Institute for the Study of the Atmosphere and Ocean (JISAO) under NOAA [NA15OAR4320063, 2019-1043]; Fisheries and the Environment (FATE); Stock Assessment Analytical Methods (SAAM) Science and Technology North Pacific Climate Regimes and Ecosystem Productivity; Integrated Ecosystem Assessment Program (IEA); Economics and Human Dimensions Program; NOAA's Research Transition Acceleration Program (RTAP); Alaska Fisheries Science Center (ASFC); Office of Oceanic and Atmospheric Research (OAR); National Marine Fisheries Service (NMFS)</t>
  </si>
  <si>
    <t>Joint Institute for the Study of the Atmosphere and Ocean (JISAO) under NOAA; Fisheries and the Environment (FATE); Stock Assessment Analytical Methods (SAAM) Science and Technology North Pacific Climate Regimes and Ecosystem Productivity; Integrated Ecosystem Assessment Program (IEA); Economics and Human Dimensions Program; NOAA's Research Transition Acceleration Program (RTAP); Alaska Fisheries Science Center (ASFC); Office of Oceanic and Atmospheric Research (OAR); National Marine Fisheries Service (NMFS)</t>
  </si>
  <si>
    <t>Multiple NOAA National Marine Fisheries programs provided support for ACLIM including Fisheries and the Environment (FATE), Stock Assessment Analytical Methods (SAAM) Science and Technology North Pacific Climate Regimes and Ecosystem Productivity, the Integrated Ecosystem Assessment Program (IEA), the Economics and Human Dimensions Program, NOAA's Research Transition Acceleration Program (RTAP), the Alaska Fisheries Science Center (ASFC), the Office of Oceanic and Atmospheric Research (OAR), and the National Marine Fisheries Service (NMFS). Additionally, the International Council for the Exploration of the Sea (ICES) and the North Pacific Marine Science Organization (PICES) provided support for Strategic Initiative for the Study of Climate Impacts on Marine Ecosystems (SI-CCME) and the Strategic Initiative on the Human Dimension (SIHD) workshops, which facilitated development of the ideas presented in this manuscript. This publication is partially funded by the Joint Institute for the Study of the Atmosphere and Ocean (JISAO) under NOAA Cooperative Agreement NA15OAR4320063, Contribution No. 2019-1043. This is IEA publication number 2019_9.</t>
  </si>
  <si>
    <t>10.3389/fmars.2019.00775</t>
  </si>
  <si>
    <t>KD6LA</t>
  </si>
  <si>
    <t>WOS:000507975000001</t>
  </si>
  <si>
    <t>Hughes, KA; Pescott, OL; Peyton, J; Adriaens, T; Cottier-Cook, EJ; Key, G; Rabitsch, W; Tricarico, E; Barnes, DKA; Baxter, N; Belchier, M; Blake, D; Convey, P; Dawson, W; Frohlich, D; Gardiner, LM; González-Moreno, P; James, R; Malumphy, C; Martin, S; Martinou, AF; Minchin, D; Monaco, A; Moore, N; Morley, SA; Ross, K; Shanklin, J; Turvey, K; Vaughan, D; Vaux, AGC; Werenkraut, V; Winfield, IJ; Roy, HE</t>
  </si>
  <si>
    <t>Hughes, Kevin A.; Pescott, Oliver L.; Peyton, Jodey; Adriaens, Tim; Cottier-Cook, Elizabeth J.; Key, Gillian; Rabitsch, Wolfgang; Tricarico, Elena; Barnes, David K. A.; Baxter, Naomi; Belchier, Mark; Blake, Denise; Convey, Peter; Dawson, Wayne; Frohlich, Danielle; Gardiner, Lauren M.; Gonzalez-Moreno, Pablo; James, Ross; Malumphy, Christopher; Martin, Stephanie; Martinou, Angeliki F.; Minchin, Dan; Monaco, Andrea; Moore, Niall; Morley, Simon A.; Ross, Katherine; Shanklin, Jonathan; Turvey, Katharine; Vaughan, David; Vaux, Alexander G. C.; Werenkraut, Victoria; Winfield, Ian J.; Roy, Helen E.</t>
  </si>
  <si>
    <t>Invasive non-native species likely to threaten biodiversity and ecosystems in the Antarctic Peninsula region</t>
  </si>
  <si>
    <t>biodiversity; horizon scanning; non-native; pathways; Protocol on Environmental Protection to the Antarctic Treaty; risk assessment</t>
  </si>
  <si>
    <t>POA-ANNUA L.; CLIMATE-CHANGE; BIOLOGICAL INVASIONS; ERETMOPTERA-MURPHYI; TERRESTRIAL; DISPERSAL; ERADICATION; MANAGEMENT; IMPACTS; PLANTS</t>
  </si>
  <si>
    <t>The Antarctic is considered to be a pristine environment relative to other regions of the Earth, but it is increasingly vulnerable to invasions by marine, freshwater and terrestrial non-native species. The Antarctic Peninsula region (APR), which encompasses the Antarctic Peninsula, South Shetland Islands and South Orkney Islands, is by far the most invaded part of the Antarctica continent. The risk of introduction of invasive non-native species to the APR is likely to increase with predicted increases in the intensity, diversity and distribution of human activities. Parties that are signatories to the Antarctic Treaty have called for regional assessments of non-native species risk. In response, taxonomic and Antarctic experts undertook a horizon scanning exercise using expert opinion and consensus approaches to identify the species that are likely to present the highest risk to biodiversity and ecosystems within the APR over the next 10 years. One hundred and three species, currently absent in the APR, were identified as relevant for review, with 13 species identified as presenting a high risk of invading the APR. Marine invertebrates dominated the list of highest risk species, with flowering plants and terrestrial invertebrates also represented; however, vertebrate species were thought unlikely to establish in the APR within the 10 year timeframe. We recommend (a) the further development and application of biosecurity measures by all stakeholders active in the APR, including surveillance for species such as those identified during this horizon scanning exercise, and (b) use of this methodology across the other regions of Antarctica. Without the application of appropriate biosecurity measures, rates of introductions and invasions within the APR are likely to increase, resulting in negative consequences for the biodiversity of the whole continent, as introduced species establish and spread further due to climate change and increasing human activity.</t>
  </si>
  <si>
    <t>[Hughes, Kevin A.; Barnes, David K. A.; Convey, Peter; Morley, Simon A.; Shanklin, Jonathan; Vaughan, David] British Antarctic Survey, Nat Environm Res Council, High Cross,Madingley Rd, Cambridge CB3 0ET, England; [Pescott, Oliver L.; Peyton, Jodey; Turvey, Katharine; Winfield, Ian J.; Roy, Helen E.] UK Ctr Ecol &amp; Hydrol, Oxford, Oxon, England; [Adriaens, Tim] Res Inst Nat &amp; Forest INBO, Brussels, Belgium; [Cottier-Cook, Elizabeth J.] Scottish Assoc Marine Sci, Scottish Marine Inst, Dunbeg, Scotland; [Key, Gillian; Moore, Niall] Anim &amp; Plant Hlth Agcy, GB Nonnat Species Secretariat, York, N Yorkshire, England; [Rabitsch, Wolfgang] Environm Agcy Austria, Vienna, Austria; [Tricarico, Elena] Univ Florence, Dept Biol, Florence, Italy; [Baxter, Naomi; Blake, Denise] Falkland Isl Govt, Stanley, Falkland Island; [Belchier, Mark; James, Ross] Govt South Georgia &amp; South Sandwich Isl, Stanley, Falkland Island; [Dawson, Wayne] Durham Univ Durham, Dept Biosci, Durham, England; [Frohlich, Danielle] SWCA Environm Consultants, Honolulu, HI USA; [Gardiner, Lauren M.] Univ Cambridge, Sainsbury Lab, Univ Cambridge Herbarium, Cambridge, England; [Gonzalez-Moreno, Pablo] CABI, Egham, Surrey, England; [Gonzalez-Moreno, Pablo] Univ Cordoba, Dept Forest Engn, ERSAF, Cordoba, Spain; [Malumphy, Christopher] Fera Sci Ltd, Natl Agrifood Innovat Campus, York, N Yorkshire, England; [Martin, Stephanie] Govt Tristan da Cunha, Administrators Off, Edinburgh Of The Seven S, Tristan da Cunh; [Martinou, Angeliki F.] Cyprus Inst, Nicosia, Cyprus; [Minchin, Dan] Marine Organism Invest, Killaloe, Ireland; [Monaco, Andrea] Directorate Environm &amp; Nat Syst Lazio Reg Author, Rome, Italy; [Ross, Katherine] Falklands Conservat, Stanley, Falkland Island; [Vaux, Alexander G. C.] Publ Hlth England, Med Entomol Grp, Emergency Response Sci &amp; Technol, Salisbury, Wilts, England; [Werenkraut, Victoria] Univ Nacl Comahue, INIBIOMA CONICET, Ctr Reg Univ Bariloche, Lab Ecotono, San Carlos De Bariloche, Rio Negro, Argentina</t>
  </si>
  <si>
    <t>UK Research &amp; Innovation (UKRI); Natural Environment Research Council (NERC); NERC British Antarctic Survey; UK Centre for Ecology &amp; Hydrology (UKCEH); Research Institute for Nature &amp; Forest; Animal &amp; Plant Health Agency UK; University of Florence; Durham University; University of Cambridge; Universidad de Cordoba; Food &amp; Environment Research Agency; Public Health England; Universidad Nacional del Comahue; Consejo Nacional de Investigaciones Cientificas y Tecnicas (CONICET)</t>
  </si>
  <si>
    <t>Hughes, KA (corresponding author), British Antarctic Survey, Nat Environm Res Council, High Cross,Madingley Rd, Cambridge CB3 0ET, England.</t>
  </si>
  <si>
    <t>kehu@bas.ac.uk</t>
  </si>
  <si>
    <t>González-Moreno, Pablo/AAA-7395-2021; Martinou, Kelly/AAN-5691-2020; Tricarico, Elena/ABC-9819-2021; Convey, Peter/AAV-5728-2020; Rabitsch, Wolfgang B/G-4562-2011; Winfield, Ian J/I-6085-2012; Adriaens, Tim/F-6936-2010; González-moreno, Pablo/C-8422-2015; Hughes, Kevin/JVZ-0793-2024; Pescott, Oliver/O-4321-2019</t>
  </si>
  <si>
    <t>Martinou, Kelly/0000-0003-2892-8583; Tricarico, Elena/0000-0002-7392-0794; Convey, Peter/0000-0001-8497-9903; Adriaens, Tim/0000-0001-7268-4200; González-moreno, Pablo/0000-0001-9764-8927; Dawson, Wayne/0000-0003-3402-0774; Monaco, Andrea/0000-0003-3336-5121; Vaux, Alexander/0000-0003-2463-5660; Werenkraut, Victoria/0000-0003-2417-3953; Gardiner, Lauren/0000-0002-8843-0317; Rabitsch, Wolfgang/0000-0002-3811-6071; Pescott, Oliver/0000-0002-0685-8046; Barnes, David/0000-0002-9076-7867</t>
  </si>
  <si>
    <t>Natural Environment Research Council [NE/R016429/1]; Government of the United Kingdom; Foreign and Commonwealth Office Conflict, Security and Stabilisation Fund; Darwin Plus [DPLUS074]; NERC [bas0100036, NE/R016429/1, bas010011] Funding Source: UKRI</t>
  </si>
  <si>
    <t>Natural Environment Research Council(UK Research &amp; Innovation (UKRI)Natural Environment Research Council (NERC)); Government of the United Kingdom; Foreign and Commonwealth Office Conflict, Security and Stabilisation Fund; Darwin Plus; NERC(UK Research &amp; Innovation (UKRI)Natural Environment Research Council (NERC))</t>
  </si>
  <si>
    <t>Natural Environment Research Council, Grant/Award Number: NE/R016429/1; Government of the United Kingdom; Foreign and Commonwealth Office Conflict, Security and Stabilisation Fund; Darwin Plus, Grant/Award Number: DPLUS074</t>
  </si>
  <si>
    <t>10.1111/gcb.14938</t>
  </si>
  <si>
    <t>WOS:000507121200001</t>
  </si>
  <si>
    <t>Rodriguez, ES; Perron, MMG; Strzelec, M; Proemse, BC; Bowie, AR; Paull, B</t>
  </si>
  <si>
    <t>Rodriguez, Estrella Sanz; Perron, Morgane M. G.; Strzelec, Michal; Proemse, Bernadette C.; Bowie, Andrew R.; Paull, Brett</t>
  </si>
  <si>
    <t>Analysis of levoglucosan and its isomers in atmospheric samples by ion chromatography with electrospray lithium cationisation - Triple quadrupole tandem mass spectrometry</t>
  </si>
  <si>
    <t>JOURNAL OF CHROMATOGRAPHY A</t>
  </si>
  <si>
    <t>Biomass burning; Levoglucosan; Atmospheric samples; Ion chromatography; Mass spectrometry; Lithium cationisation</t>
  </si>
  <si>
    <t>ANION-EXCHANGE CHROMATOGRAPHY; PERFORMANCE LIQUID-CHROMATOGRAPHY; MONOSACCHARIDE ANHYDRIDES; PARTICULATE MATTER; BIOMASS COMBUSTION; RECENT PROGRESS; AEROSOLS; QUANTIFICATION; SUGAR; ICE</t>
  </si>
  <si>
    <t>Biomass burning (BB) emissions are a significant source of particles to the atmosphere, especially in the Southern Hemisphere, where the occurrence of anthropogenic and natural wild fires is common. These emissions can threaten human health through increased exposure, whilst simultaneously representing a significant source of trace metals and nutrients to the ocean. One well known method to track BB emissions is through monitoring the atmospheric concentration of specific monosaccharide anhydrides (MAs), specifically levoglucosan and its isomers, mannosan and galactosan. Herein, a new method for the determination of levoglucosan and its isomers in marine and terrestrial aerosol samples is presented, which delivers both high selectivity and sensitivity, through the coupling of ion chromatography and triple quadrupole tandem mass spectrometry. Optimal chromatographic conditions, providing baseline separation for target anhydrosugars in under 8 min, were obtained using a Dionex CarboPac (R) PA-1 column with an electrolytically generated KOH gradient. To improve the ionisation efficiency for MS detection, an organic make-up solvent was fed into the IC column effluent before the ESI source, and to further increase both sensitivity and selectivity, cationisation of levoglucosan was investigated by adding salts into the make-up solvent, namely, sodium, ammonium and lithium salts. Using positive lithium cationisation with 0.5 mM lithium chloride in methanol as the make-up solvent, delivered at a flow rate of 0.02 mL min(-1), the levoglucosan response was improved by factors of 100 and 10, comparing to negative ionisation and positive sodium cationisation, respectively. Detection was carried out in SRM mode for quantitation and identification, achieving an instrumental LOD of 0.10, 0.12 and 0.5 mu g L-1 for levoglucosan, mannosan and galactosan, respectively. Finally, the method was applied to the analysis of 41 marine and terrestrial aerosol samples from Australia, its surrounding coastal waters and areas within the remote Southern Ocean, covering a large range of BB marker concentrations. (C) 2019 Elsevier B.V. All rights reserved.</t>
  </si>
  <si>
    <t>[Rodriguez, Estrella Sanz; Proemse, Bernadette C.; Paull, Brett] Univ Tasmania, Australian Ctr Res Separat Sci, Sch Nat Sci, GPO Box 252-75, Hobart, Tas 7001, Australia; [Perron, Morgane M. G.; Strzelec, Michal; Proemse, Bernadette C.; Bowie, Andrew R.] Univ Tasmania, Inst Marine &amp; Antarctic Studies, Private Bag 129, Hobart, Tas 7001, Australia; [Bowie, Andrew R.] Univ Tasmania, Antarctic Climate &amp; Ecosyst Cooperat Res Ctr, Private Bag 80, Hobart, Tas 7001, Australia</t>
  </si>
  <si>
    <t>University of Tasmania; University of Tasmania; Antarctic Climate &amp; Ecosystems Cooperative Research Centre (ACE CRC); University of Tasmania</t>
  </si>
  <si>
    <t>Rodriguez, ES (corresponding author), Univ Tasmania, Australian Ctr Res Separat Sci, Sch Nat Sci, GPO Box 252-75, Hobart, Tas 7001, Australia.</t>
  </si>
  <si>
    <t>estrella.sanzrodriguez@utas.edu.au</t>
  </si>
  <si>
    <t>Perron, Morgane/HHS-1241-2022; paull, brett/AAO-8366-2020; Bowie, Andrew/C-8677-2013; Proemse, Bernadette/N-8956-2017</t>
  </si>
  <si>
    <t>paull, brett/0000-0001-6373-6582; Sanz Rodriguez, Estrella/0000-0003-3443-6382; Bowie, Andrew/0000-0002-5144-7799; Proemse, Bernadette/0000-0002-6630-6892; Perron, Morgane/0000-0001-5424-7138</t>
  </si>
  <si>
    <t>Australian Research Council Future Fellowship [FT130100037]; Antarctic Climate and Ecosystems Cooperative Research Centre (ACE CRC)</t>
  </si>
  <si>
    <t>Australian Research Council Future Fellowship(Australian Research Council); Antarctic Climate and Ecosystems Cooperative Research Centre (ACE CRC)(Australian GovernmentDepartment of Industry, Innovation and ScienceCooperative Research Centres (CRC) Programme)</t>
  </si>
  <si>
    <t>We are grateful to the Australian Marine National Facility for providing a platform on board R.V. Investigator for marine sampling. We would also like to thank the staff of Gravity Discovery Centre in Gingin (Western Australia) for collecting additional landbased aerosol samples. This work was supported by an Australian Research Council Future Fellowship (FT130100037 to A.R.B.) and through the Antarctic Climate and Ecosystems Cooperative Research Centre (ACE CRC). The authors acknowledge Thermo Fisher Scientific for placement of the IC-TSQ instrument within the University of Tasmania to undertake this work.</t>
  </si>
  <si>
    <t>0021-9673</t>
  </si>
  <si>
    <t>1873-3778</t>
  </si>
  <si>
    <t>J CHROMATOGR A</t>
  </si>
  <si>
    <t>J. Chromatogr. A</t>
  </si>
  <si>
    <t>JAN 11</t>
  </si>
  <si>
    <t>10.1016/j.chroma.2019.460557</t>
  </si>
  <si>
    <t>KG3AZ</t>
  </si>
  <si>
    <t>WOS:000509816200017</t>
  </si>
  <si>
    <t>Yu, Y; Yang, J; Zheng, LY; Sheng, Q; Li, CY; Wang, M; Zhang, XY; McMinn, A; Zhang, YZ; Song, XY; Chen, XL</t>
  </si>
  <si>
    <t>Yu, Yang; Yang, Jie; Zheng, Li-Yuan; Sheng, Qi; Li, Chun-Yang; Wang, Min; Zhang, Xi-Ying; McMinn, Andrew; Zhang, Yu-Zhong; Song, Xiao-Yan; Chen, Xiu-Lan</t>
  </si>
  <si>
    <t>Diversity of D-Amino Acid Utilizing Bacteria From Kongsfjorden, Arctic and the Metabolic Pathways for Seven D-Amino Acids</t>
  </si>
  <si>
    <t>D-amino acids (DAA); DAA metabolism; DAA oxidoreductase; dehydrogenase; DAA transaminase; D-serine ammonia-lyase; D-serine ammonia-lyase DSD1; Asp racemase; marine bacteria</t>
  </si>
  <si>
    <t>D-SERINE DEHYDRATASE; D-ASPARTIC ACID; ALANINE RACEMASE; FUNCTIONAL-CHARACTERIZATION; DEHYDROGENASE; GENE; PURIFICATION; RACEMIZATION</t>
  </si>
  <si>
    <t>D-amino acids (DAAs) are an important component of the refractory dissolved organic matter pool in the ocean. Microbes play a vital role in promoting the recycling of DAAs in the ocean. However, the diversity of marine DAA-utilizing bacteria and how they metabolize DAAs are seldom studied. Here, by enrichment culture with DAAs as the sole nitrogen source, bacteria of 12 families from three phyla were recovered from surface seawater and sediment from Kongsfjorden, Arctic, and seven DAA-utilizing bacterial strains were isolated. These strains have different DAA-utilizing abilities. Of the seven DAAs used, Halomonas titanicae SM1922 and Pseudoalteromonas neustonica SM1927 were able to utilize seven and five of them, respectively, while the other strains were able to utilize only one or two. Based on genomic, transcriptional and biochemical analyses, the key genes involved in DAA metabolism in each strain were identified and the metabolic pathways for the seven DAAs in these marine bacteria were identified. Conversion of DAAs into alpha-keto acids is generally the main pathway in marine DAA-utilizing bacteria, which is performed by several key enzymes, including DAA oxidoreductases/dehydrogenases, D-serine ammonia-lyases, D-serine ammonia-lyase DSD1s and DAA transaminases. In addition, conversion of DAAs into LAAs is another pathway, which is performed by amino acid racemases. Among the identified key enzymes, D-serine ammonia-lyase DSD1 and Asp racemase are first found to be employed by bacteria for DAA utilization. These results shed light on marine DAA-utilizing bacteria and the involved DAA metabolism pathways, offering a better understanding of the DAA recycling in the ocean.</t>
  </si>
  <si>
    <t>[Yu, Yang; Yang, Jie; Zheng, Li-Yuan; Sheng, Qi; Zhang, Xi-Ying; Zhang, Yu-Zhong; Song, Xiao-Yan; Chen, Xiu-Lan] Shandong Univ, Marine Biotechnol Res Ctr, Inst Marine Sci &amp; Technol, State Key Lab Microbial Technol, Qingdao, Peoples R China; [Li, Chun-Yang; Wang, Min; McMinn, Andrew; Zhang, Yu-Zhong] Ocean Univ China, Coll Marine Life Sci, Inst Adv Ocean Study, Qingdao, Peoples R China; [McMinn, Andrew] Univ Tasmania, Inst Marine &amp; Antarctic Studies, Hobart, Tas, Australia; [Zhang, Yu-Zhong] Pilot Natl Lab Marine Sci &amp; Technol, Lab Marine Biol &amp; Biotechnol, Qingdao, Peoples R China</t>
  </si>
  <si>
    <t>Shandong University; Ocean University of China; University of Tasmania; Laoshan Laboratory</t>
  </si>
  <si>
    <t>Song, XY; Chen, XL (corresponding author), Shandong Univ, Marine Biotechnol Res Ctr, Inst Marine Sci &amp; Technol, State Key Lab Microbial Technol, Qingdao, Peoples R China.</t>
  </si>
  <si>
    <t>xysong@sdu.edu.cn; cxl0423@sdu.edu.cn</t>
  </si>
  <si>
    <t>Wang, zijun/JNS-5435-2023; Zhang, Xi/HJH-1211-2023; Li, Chun-Yang/JBS-2194-2023; Wang, Min/AFR-9645-2022; sheng, qi/KHT-2652-2024; Yang, Jie/JCD-9867-2023</t>
  </si>
  <si>
    <t>Li, Chun-Yang/0000-0002-1151-4897; Wang, Min/0000-0002-2357-589X; Zhang, Yu-Zhong/0000-0002-2017-1005</t>
  </si>
  <si>
    <t>National Key Research and Development Program of China [2018YFC1406703, 2018YFC1406704]; National Science Foundation of China [U1706207, 31670063, 31670038]; Program of Shandong for Taishan Scholars [tspd20181203]; Aoshan Talents Cultivation Program - Qingdao National Laboratory for Marine Science and Technology [2017ASTCP-OS14]</t>
  </si>
  <si>
    <t>National Key Research and Development Program of China; National Science Foundation of China(National Natural Science Foundation of China (NSFC)); Program of Shandong for Taishan Scholars; Aoshan Talents Cultivation Program - Qingdao National Laboratory for Marine Science and Technology</t>
  </si>
  <si>
    <t>This work was supported by the National Key Research and Development Program of China (2018YFC1406703 and 2018YFC1406704), the National Science Foundation of China (grants U1706207, 31670063, and 31670038), the Program of Shandong for Taishan Scholars (tspd20181203), and Aoshan Talents Cultivation Program Supported by Qingdao National Laboratory for Marine Science and Technology (2017ASTCP-OS14).</t>
  </si>
  <si>
    <t>JAN 10</t>
  </si>
  <si>
    <t>10.3389/fmicb.2019.02983</t>
  </si>
  <si>
    <t>KF5FB</t>
  </si>
  <si>
    <t>WOS:000509266600001</t>
  </si>
  <si>
    <t>Novaglio, C; Smith, ADM; Frusher, S; Ferretti, F</t>
  </si>
  <si>
    <t>Novaglio, Camilla; Smith, Anthony D. M.; Frusher, Stewart; Ferretti, Francesco</t>
  </si>
  <si>
    <t>Identifying historical baseline at the onset of exploitation to improve understanding of fishing impacts</t>
  </si>
  <si>
    <t>catchability; ecological status; fish; ocean; survey; sustainability; trawling</t>
  </si>
  <si>
    <t>SOUTH-EAST FISHERY; GULF-OF-CALIFORNIA; CLIMATE-CHANGE; MESH SIZE; MARINE; AUSTRALIA; CATCH; ANECDOTES; ABUNDANCE; COLLAPSE</t>
  </si>
  <si>
    <t>Marine communities have long been impacted by human activities, but the quantification of human-driven changes often relies on recent data. This is because historical data on fish populations are lacking and are challenging to include in contemporary stock and ecological assessments. As a result, the impacts of early fishing pressure on marine communities are generally poorly documented worldwide. Marine communities of Southeast Australia have a relatively short history of exploitation compared with other temperate systems and were sampled before and after the onset of commercial fishing. As such, they provide a rare opportunity to identify historical baselines and to understand ecological changes after the onset of commercial exploitation. This study compares survey data collected around Tasmania, Southeast Australia, in 1909-1910 with data from the 1980s. The period considered precedes the establishment of a trawl fishery in Southeast Australia in 1915, of other important commercial fisheries in Tasmania, and of a fisheries data collection programme in 1984. Nominal catch rates are used to examine changes across all families of demersal fish recorded in catches and generalized linear models are used to estimate and compare standardized indices of abundance between the 1909-1910 and 1980s data for key commercial families. Results show significant, and thus far unreported, fishing-induced changes in marine communities after the establishment of commercial fishing in the region. Changes mostly relate to shifts in catch composition and steep declines in the abundance of the main commercial families. This study illustrates a method for analysing low-quality historical catch data and provides estimates of pre-commercial fishing abundance that can be included in stock and ecological assessments. More broadly, this study demonstrates the significant role of early fishing in shaping marine communities and increases our understanding about general patterns of exploitation that have been difficult to identify with longer but less detailed fishing histories.</t>
  </si>
  <si>
    <t>[Novaglio, Camilla; Smith, Anthony D. M.] Commonwealth Sci &amp; Ind Res Org, CSIRO Oceans &amp; Atmosphere, Hobart, Tas, Australia; [Frusher, Stewart] Univ Tasmania, Inst Marine &amp; Antarctic Studies, Hobart, Tas, Australia; [Novaglio, Camilla; Smith, Anthony D. M.; Frusher, Stewart] Univ Tasmania, Ctr Marine Socioecol, Hobart, Tas, Australia; [Ferretti, Francesco] Stanford Univ, Hopkins Marine Stn, Pacific Grove, CA 93950 USA; [Ferretti, Francesco] Virginia Tech, Dept Fish &amp; Wildlife Conservat, Blacksburg, VA USA</t>
  </si>
  <si>
    <t>Commonwealth Scientific &amp; Industrial Research Organisation (CSIRO); University of Tasmania; University of Tasmania; Stanford University; Virginia Polytechnic Institute &amp; State University</t>
  </si>
  <si>
    <t>Novaglio, C (corresponding author), Commonwealth Sci &amp; Ind Res Org, Battery Point, Tas 7004, Australia.</t>
  </si>
  <si>
    <t>camilla.novaglio@gmail.com</t>
  </si>
  <si>
    <t>Ferretti, Francesco/AAR-2545-2020</t>
  </si>
  <si>
    <t>Ferretti, Francesco/0000-0001-9510-3552; Novaglio, Camilla/0000-0003-3681-1377</t>
  </si>
  <si>
    <t>Oceans and Atmosphere Flagship, Commonwealth Scientific and Industrial Research Organization; Institute for Marine and Antarctic Studies; Lenfest Ocean Program</t>
  </si>
  <si>
    <t>Funding for this study was provided by the Oceans and Atmosphere Flagship, Commonwealth Scientific and Industrial Research Organization, the Institute for Marine and Antarctic Studies, and the Lenfest Ocean Program. We further thank Drs Jeremy Lyle and Neil Klaer for their assistance with survey data retrieval and for their comments on the article, Dr Miriana Sporcic for her advice on statistical analysis, and Dr Peter Last for making his knowledge on species taxonomy and ecologies available.</t>
  </si>
  <si>
    <t>10.1002/aqc.3264</t>
  </si>
  <si>
    <t>WOS:000506518200001</t>
  </si>
  <si>
    <t>Klemmedson, AD; Reiss, CS; Goebel, ME; Kaufmann, RS; Dorval, E; Linkowski, TB; Borras-Chavez, R</t>
  </si>
  <si>
    <t>Klemmedson, Angela D.; Reiss, Christian S.; Goebel, Michael E.; Kaufmann, Ronald S.; Dorval, Emmanis; Linkowski, Tomasz B.; Borras-Chavez, Renato</t>
  </si>
  <si>
    <t>Variability in age of a Southern Ocean myctophid (Gymnoscopelus nicholsi) derived from scat-recovered otoliths</t>
  </si>
  <si>
    <t>Myctophidae; Gymnoscopelus nicholsi; Otolith; Mesopelagic; Southern Ocean; Antarctic fur seal; Krill</t>
  </si>
  <si>
    <t>ANTARCTIC FUR SEALS; KRILL EUPHAUSIA-SUPERBA; KING GEORGE ISLAND; ARCTOCEPHALUS-GAZELLA; SCOTIA SEA; FISH PREY; VERTICAL-DISTRIBUTION; MESOPELAGIC FISHES; SHETLAND ISLANDS; FEEDING ECOLOGY</t>
  </si>
  <si>
    <t>Myctophids are ecologically important in the Southern Ocean, where they occupy a central trophic position and are a key energy resource for top predators. However, understanding their population dynamics is limited by a paucity of data due to sampling challenges. Antarctic fur seal Arctocephalus gazella scats provide large collections of otoliths and other prey remains that can be used to form time series for important mesopelagic taxa such as Gymnoscopelus nicholsi (Gn). Examination of otoliths from scats allowed for a reconstruction of Gn age and length structure from 8 selected sample years between 2000 and 2015. While mean reconstructed length did not change significantly over the time series, mean age declined. Older age classes were scarce in scat samples, and age-6 animals were not found after 2008. During the same time period, Gn otoliths in fur seal scats declined from approximately 2000 to fewer than 200. The decline in the number of otoliths in Antarctic fur seal scat samples coupled with the negative trend in mean age suggests declines in the availability of Gn on the South Shetland Island slope region between 2000 and 2015. This study demonstrates the utility of central-place foragers in assessing populations of unfished but ecologically important mesopelagic fishes, thus allowing evaluation of hypotheses about their population structure and dispersal.</t>
  </si>
  <si>
    <t>[Klemmedson, Angela D.; Kaufmann, Ronald S.] Univ San Diego, Dept Environm &amp; Ocean Sci, San Diego, CA 92110 USA; [Reiss, Christian S.; Goebel, Michael E.] NOAA Fisheries, Antarctic Ecosyst Res Div, Southwest Fisheries Sci Ctr, La Jolla, CA 92037 USA; [Dorval, Emmanis] Ocean Associates Inc, Natl Marine Fisheries, Southwest Fisheries Sci Ctr, La Jolla, CA 92037 USA; [Linkowski, Tomasz B.] Natl Marine Fisheries Res Inst, Dept Fisheries Oceanog &amp; Marine Ecol, PL-81332 Gdynia, Poland; [Borras-Chavez, Renato] Pontificia Univ Catolica Chile, Ctr Appl Ecol &amp; Sustainabil, Santiago 8331150, Chile</t>
  </si>
  <si>
    <t>University of San Diego; National Oceanic Atmospheric Admin (NOAA) - USA; National Oceanic Atmospheric Admin (NOAA) - USA; National Marine Fisheries Research Institute; Pontificia Universidad Catolica de Chile</t>
  </si>
  <si>
    <t>Klemmedson, AD (corresponding author), Univ San Diego, Dept Environm &amp; Ocean Sci, San Diego, CA 92110 USA.</t>
  </si>
  <si>
    <t>aklemmedson@sandiego.edu</t>
  </si>
  <si>
    <t>Borras-Chavez, Renato/0000-0002-6415-2121; Linkowski, Tomasz/0000-0002-9214-5818; Dorval, Emmanis/0000-0002-7621-2611</t>
  </si>
  <si>
    <t>US AMLR Program; Antarctic Wildlife Research Fund; NOAA [DT_02-15]; Chilean Antarctic Institute [DT_02-15]; CONICYT 'Capital Humano Avanzado' [21130059, CONICYT/PIA/BASAL FB0002]</t>
  </si>
  <si>
    <t>US AMLR Program; Antarctic Wildlife Research Fund; NOAA(National Oceanic Atmospheric Admin (NOAA) - USA); Chilean Antarctic Institute; CONICYT 'Capital Humano Avanzado'</t>
  </si>
  <si>
    <t>The authors are grateful to the numerous US AMLR field-and ship-based scientists for collecting and processing fur seal scats and identifying otoliths. Thank you to Dr. John Field, Dr. Julian Ashford, Jennifer Walsh, Anthony Cossio, Dr. Douglas Krause, and 2 anonymous reviewers for thoughtful comments. Special recognition to the late Dr. Adrian Dahood-Fritz for her valuable contributions to this manuscript through many constructive revisions and detailed maps of the study area. This work was supported by the US AMLR Program and the Antarctic Wildlife Research Fund. Allmarinemammal studies were conducted under the MarineMammal Protection Act Permit #16074 and Antarctic Conservation Act Permits. All research and protocols were independently reviewed by the Southwest Fisheries Science Center Institutional Animal Care and Use Committee (SWPI2014-03R). The last year of the diet portion of this study was jointly funded by NOAA and the Chilean Antarctic Institute through a grant to Mr. Borras-Chavez (INACH Grant No. DT_02-15) and to CONICYT 'Capital Humano Avanzado' (Grant No. 21130059 and CONICYT/PIA/BASAL FB0002).</t>
  </si>
  <si>
    <t>JAN 9</t>
  </si>
  <si>
    <t>10.3354/meps13176</t>
  </si>
  <si>
    <t>KW5FJ</t>
  </si>
  <si>
    <t>WOS:000521190300004</t>
  </si>
  <si>
    <t>Sosdian, SM; Babila, TL; Greenop, R; Foster, GL; Lear, CH</t>
  </si>
  <si>
    <t>Sosdian, S. M.; Babila, T. L.; Greenop, R.; Foster, G. L.; Lear, C. H.</t>
  </si>
  <si>
    <t>Ocean Carbon Storage across the middle Miocene: a new interpretation for the Monterey Event</t>
  </si>
  <si>
    <t>FORAMINIFERAL MG/CA-PALEOTHERMOMETRY; ANTARCTIC ICE-SHEET; ISOTOPE STRATIGRAPHY; BORON ISOTOPE; SEA-LEVEL; CLIMATE; EVOLUTION; SEAWATER; CYCLE; B/CA</t>
  </si>
  <si>
    <t>The Miocene Climatic Optimum (MCO, 14-17 Ma) was similar to 3-4 degrees C warmer than present, similar to estimates for 2100. Coincident with the MCO is the Monterey positive carbon isotope (delta C-13) excursion, with oceans more depleted in C-12 relative to C-13 than any time in the past 50 Myrs. The long-standing Monterey Hypothesis uses this excursion to invoke massive marine organic carbon burial and draw-down of atmospheric CO2 as a cause for the subsequent Miocene Climate Transition and Antarctic glaciation. However, this hypothesis cannot explain the multi-Myr lag between the delta C-13 excursion and global cooling. We use planktic foraminiferal B/Ca, delta B-11, delta C-13, and Mg/Ca to reconstruct surface ocean carbonate chemistry and temperature. We propose that the MCO was associated with elevated oceanic dissolved inorganic carbon caused by volcanic degassing, global warming, and sea-level rise. A key negative feedback of this warm climate was the organic carbon burial on drowned continental shelves.</t>
  </si>
  <si>
    <t>[Sosdian, S. M.; Lear, C. H.] Cardiff Univ, Sch Earth &amp; Ocean Sci, Cardiff CF10 3AT, Wales; [Babila, T. L.; Foster, G. L.] Univ Southampton, Sch Ocean &amp; Earth Sci, Natl Oceanog Ctr Southampton, Waterfront Campus, Southampton SO14 3ZA, Hants, England; [Greenop, R.] Univ St Andrews, Sch Earth &amp; Environm Sci, St Andrews KY16 9AL, Fife, Scotland</t>
  </si>
  <si>
    <t>Cardiff University; NERC National Oceanography Centre; University of Southampton; University of St Andrews</t>
  </si>
  <si>
    <t>Sosdian, SM (corresponding author), Cardiff Univ, Sch Earth &amp; Ocean Sci, Cardiff CF10 3AT, Wales.</t>
  </si>
  <si>
    <t>SosdianS@cardiff.ac.uk</t>
  </si>
  <si>
    <t>Foster, Gavin/CAF-4654-2022; Foster, Gavin/W-5968-2019; Lear, Caroline H/D-2582-2009</t>
  </si>
  <si>
    <t>Foster, Gavin/0000-0003-3688-9668; sosdian, sindia/0000-0002-4599-5529; Babila, Tali/0000-0001-9948-9341</t>
  </si>
  <si>
    <t>NERC [NE/I006427/1]; Welsh Government; Higher Education Funding Council for Wales through the Ser Cymru National Research Network for Low Carbon, Energy, and Environment Returning Fellowship; NERC [NE/I006427/1, NE/H017356/1, NE/I006176/1] Funding Source: UKRI</t>
  </si>
  <si>
    <t>NERC(UK Research &amp; Innovation (UKRI)Natural Environment Research Council (NERC)); Welsh Government; Higher Education Funding Council for Wales through the Ser Cymru National Research Network for Low Carbon, Energy, and Environment Returning Fellowship; NERC(UK Research &amp; Innovation (UKRI)Natural Environment Research Council (NERC))</t>
  </si>
  <si>
    <t>This work was funded by NERC Grant NE/I006427/1 to C.H.L. and G.L.F. S.M.S. acknowledges the financial support provided by the Welsh Government and Higher Education Funding Council for Wales through the Ser Cymru National Research Network for Low Carbon, Energy, and Environment Returning Fellowship. We thank Anabel Morte-Rodenas for lab assistance and Paul Pearson for providing samples from ODP 872 and assistance with taxonomy.</t>
  </si>
  <si>
    <t>10.1038/s41467-019-13792-0</t>
  </si>
  <si>
    <t>KJ2OH</t>
  </si>
  <si>
    <t>WOS:000511896900004</t>
  </si>
  <si>
    <t>Fourquez, M; Bressac, M; Deppeler, SL; Ellwood, M; Obernosterer, I; Trull, TW; Boyd, PW</t>
  </si>
  <si>
    <t>Fourquez, Marion; Bressac, Matthieu; Deppeler, Stacy L.; Ellwood, Michael; Obernosterer, Ingrid; Trull, Thomas W.; Boyd, Philip W.</t>
  </si>
  <si>
    <t>Microbial Competition in the Subpolar Southern Ocean: An Fe-C Co-limitation Experiment</t>
  </si>
  <si>
    <t>iron; carbon; Southern Ocean; competition; heterotrophic bacteria; pico-nanoplankton; Fe uptake; bacterial production</t>
  </si>
  <si>
    <t>NATURAL IRON FERTILIZATION; DISSOLVED ORGANIC-MATTER; CLIMATE-CHANGE; HETEROTROPHIC BACTERIOPLANKTON; BACTERIAL-GROWTH; MARINE-BACTERIA; BINDING LIGANDS; PACIFIC-OCEAN; TRACE-METALS; CARBON</t>
  </si>
  <si>
    <t>Iron (Fe) is a paradox in the modern ocean - it is central to many life-critical enzymes but is scarce across most surface waters. The high cellular demand and low bioavailability of Fe likely puts selective pressure on marine microorganisms. Previous observations suggest that heterotrophic bacteria are outcompeted by small diatoms for Fe supply in the subantarctic zone of Southern Ocean, thereby challenging the idea of heterotrophic bacteria being more competitive than phytoplankton in the access to this trace metal. To test this hypothesis, incubation experiments were carried out at the Southern Ocean Time Series site (March-April 2016). We investigated (a) whether dissolved organic carbon (DOC), dissolved Fe, or both limit the growth of heterotrophic bacteria and, (b) if the presence of potential competitors has consequences on the bacterial Fe acquisition. We observed a pronounced increase in both bulk and cell-specific bacterial production in response to single (+C) and combined (+Fe+C) additions, but no changes in these rates when only Fe was added (+Fe). Moreover, we found that +Fe+C additions promoted increases in cell-specific bacterial Fe uptake rates, and these increases were particularly pronounced (by 13-fold) when phytoplankton were excluded from the incubations. These results suggest that auto- and heterotrophs could compete for Fe when DOC limitation of bacterial growth is alleviated. Such interactions between primary producers and nutrient-recyclers are unexpected drivers for the duration and magnitude of phytoplankton blooms in the Southern Ocean.</t>
  </si>
  <si>
    <t>[Fourquez, Marion; Deppeler, Stacy L.; Trull, Thomas W.; Boyd, Philip W.] Univ Tasmania, Antarctic Climate &amp; Ecosyst CRC, Hobart, Tas, Australia; [Fourquez, Marion; Bressac, Matthieu; Trull, Thomas W.; Boyd, Philip W.] Univ Tasmania, Inst Marine &amp; Antarctic Studies, Hobart, Tas, Australia; [Fourquez, Marion] Univ Geneva, Earth &amp; Environm Sci, Dept FA Forel Environm &amp; Aquat Sci, Geneva, Switzerland; [Bressac, Matthieu] Sorbonne Univ, CNRS, Lab Oceanog Villefranche, Villefranche Sur Mer, France; [Deppeler, Stacy L.] Natl Inst Water &amp; Atmospher Res, Wellington, New Zealand; [Ellwood, Michael] Australian Natl Univ, Res Sch Earth Sci, Canberra, ACT, Australia; [Obernosterer, Ingrid] Sorbonne Univ, Lab Oceanog Microbienne, CNRS, LOMIC, Banyuls Sur Mer, France; [Trull, Thomas W.] Commonwealth Sci &amp; Ind Res Org Hobart, Climate Sci Ctr Oceans &amp; Atmosphere, Hobart, Tas, Australia</t>
  </si>
  <si>
    <t>University of Tasmania; University of Tasmania; University of Geneva; Centre National de la Recherche Scientifique (CNRS); Sorbonne Universite; National Institute of Water &amp; Atmospheric Research (NIWA) - New Zealand; Australian National University; Sorbonne Universite; Centre National de la Recherche Scientifique (CNRS); Commonwealth Scientific &amp; Industrial Research Organisation (CSIRO)</t>
  </si>
  <si>
    <t>Fourquez, M (corresponding author), Univ Tasmania, Antarctic Climate &amp; Ecosyst CRC, Hobart, Tas, Australia.;Fourquez, M (corresponding author), Univ Tasmania, Inst Marine &amp; Antarctic Studies, Hobart, Tas, Australia.;Fourquez, M (corresponding author), Univ Geneva, Earth &amp; Environm Sci, Dept FA Forel Environm &amp; Aquat Sci, Geneva, Switzerland.</t>
  </si>
  <si>
    <t>marion.fourquez@gmail.com</t>
  </si>
  <si>
    <t>Ellwood, Michael J/G-7390-2011; Boyd, Philip W/J-7624-2014; Obernosterer, Ingrid/A-5434-2011; Deppeler, Stacy/I-1546-2014</t>
  </si>
  <si>
    <t>Obernosterer, Ingrid/0000-0002-2530-8111; Bressac, Matthieu/0000-0003-3075-3137; Fourquez, Marion/0000-0001-5395-4877; Deppeler, Stacy/0000-0003-2213-2656; Ellwood, Michael/0000-0003-4288-8530</t>
  </si>
  <si>
    <t>Australian Research Council [FL160100131, SR140300001]; European Union [PIOF-GA-2012-626734]</t>
  </si>
  <si>
    <t>Australian Research Council(Australian Research Council); European Union(European Union (EU))</t>
  </si>
  <si>
    <t>MF and PB were primarily supported by the Australian Research Council through a Laureate (FL160100131), and this research was also supported under the Australian Research Council's Special Research Initiative for Antarctic Gateway Partnership (Project ID SR140300001). MB was funded from the European Union Seventh Framework Program (FP7/20072013) under grant agreement no. PIOF-GA-2012-626734 (IRON-IC project).</t>
  </si>
  <si>
    <t>10.3389/fmars.2019.00776</t>
  </si>
  <si>
    <t>KB9WJ</t>
  </si>
  <si>
    <t>WOS:000506838000001</t>
  </si>
  <si>
    <t>Davis, SN; Torres, CR; Musser, GM; Proffitt, JV; Crouch, NMA; Lundelius, EL; Lamanna, MC; Clarke, JA</t>
  </si>
  <si>
    <t>Davis, Sarah N.; Torres, Christopher R.; Musser, Grace M.; Proffitt, James, V; Crouch, Nicholas M. A.; Lundelius, Ernest L.; Lamanna, Matthew C.; Clarke, Julia A.</t>
  </si>
  <si>
    <t>New mammalian and avian records from the late Eocene La Meseta and Submeseta formations of Seymour Island, Antarctica</t>
  </si>
  <si>
    <t>Xenarthra; Gruiformes; Sphenisciformes; Eocene; Seymour Island; Antarctica; La Meseta; Submeseta; Biogeography; Mammal; Bird</t>
  </si>
  <si>
    <t>WEST ANTARCTICA; FOSSIL RECORD; MIDDLE EOCENE; EARLY MIOCENE; BIRD REMAINS; XENARTHRA; PENGUINS; PALEOGENE; EVOLUTION; AMERICA</t>
  </si>
  <si>
    <t>The middle-late Eocene of Antarctica was characterized by dramatic change as the continent became isolated from the other southern landmasses and the Antarctic Circumpolar Current formed. These events were crucial to the formation of the permanent Antarctic ice cap, affecting both regional and global climate change. Our best insight into how life in the high latitudes responded to this climatic shift is provided by the fossil record from Seymour Island, near the eastern coast of the Antarctic Peninsula. While extensive collections have been made from the La Meseta and Submeseta formations of this island, few avian taxa other than penguins have been described and mammalian postcranial remains have been scarce. Here, we report new fossils from Seymour Island collected by the Antarctic Peninsula Paleontology Project. These include a mammalian metapodial referred to Xenarthra and avian material including a partial tarsometatarsus referred to Gruiformes (cranes, rails, and allies). Penguin fossils (Sphenisciformes) continue to be most abundant in new collections from these deposits. We report several penguin remains including a large spear-like mandible preserving the symphysis, a nearly complete tarsometatarsus with similarities to the large penguin Glade Palaeeudyptes but possibly representing a new species, and two small partial tarsometatarsi belonging to the genus Delphinornis. These findings expand our view of Eocene vertebrate faunas on Antarctica. Specifically, the new remains referred to Gruiformes and Xenarthra provide support for previously proposed, but contentious, earliest occurrence records of these clades on the continent.</t>
  </si>
  <si>
    <t>[Davis, Sarah N.; Musser, Grace M.; Crouch, Nicholas M. A.; Lundelius, Ernest L.; Clarke, Julia A.] Univ Texas Austin, Jackson Sch Geosci, Dept Geol Sci, Austin, TX 78712 USA; [Torres, Christopher R.] Univ Texas Austin, Dept Integrated Biol, Austin, TX 78712 USA; [Proffitt, James, V] Univ Missouri, Sch Med, Columbia, MO USA; [Lamanna, Matthew C.] Carnegie Museum Nat Hist, Sect Vertebrate Paleontol, Pittsburgh, PA USA</t>
  </si>
  <si>
    <t>University of Texas System; University of Texas Austin; University of Texas System; University of Texas Austin; University of Missouri System; University of Missouri Columbia</t>
  </si>
  <si>
    <t>Davis, SN (corresponding author), Univ Texas Austin, Jackson Sch Geosci, Dept Geol Sci, Austin, TX 78712 USA.</t>
  </si>
  <si>
    <t>sdavis6@utexas.edu</t>
  </si>
  <si>
    <t>Crouch, Nick/L-2012-2019</t>
  </si>
  <si>
    <t>Musser, Grace/0000-0001-9476-5757; Davis, Sarah/0000-0002-4434-3115</t>
  </si>
  <si>
    <t>National Science Foundation Office of Polar Programs [NSF OPP ANT-1141820, ANT-1142129, ANT-1142102, ANT-1142052]</t>
  </si>
  <si>
    <t>National Science Foundation Office of Polar Programs(National Science Foundation (NSF)NSF - Directorate for Geosciences (GEO))</t>
  </si>
  <si>
    <t>This project was supported by the National Science Foundation Office of Polar Programs grants to the AP3 team: NSF OPP ANT-1141820, ANT-1142129, ANT-1142102, and ANT-1142052. The funders had no role in study design, data collection and analysis, decision to publish, or preparation of the manuscript.</t>
  </si>
  <si>
    <t>e8268</t>
  </si>
  <si>
    <t>10.7717/peerj.8268</t>
  </si>
  <si>
    <t>KB6AS</t>
  </si>
  <si>
    <t>WOS:000506576300006</t>
  </si>
  <si>
    <t>Dietze, H; Löptien, U; Getzlaff, J</t>
  </si>
  <si>
    <t>Dietze, Heiner; Loeptien, Ulrike; Getzlaff, Julia</t>
  </si>
  <si>
    <t>MOMSO 1.0-an eddying Southern Ocean model configuration with fairly equilibrated natural carbon</t>
  </si>
  <si>
    <t>ANTARCTIC CIRCUMPOLAR CURRENT; SEA-ICE; MIXED-LAYER; HISTORICAL BIAS; ANNULAR MODE; TIME-SERIES; CLIMATE; CIRCULATION; TRANSPORT; EDDIES</t>
  </si>
  <si>
    <t>We present a new near-global coupled biogeochemical ocean-circulation model configuration. The configuration features a horizontal discretization with a grid spacing of less than 11 km in the Southern Ocean and gradually coarsens in meridional direction to more than 200 km at 64 degrees N, where the model is bounded by a solid wall. The underlying code framework is the Geophysical Fluid Dynamics Laboratory (GFDL)'s Modular Ocean Model coupled to the Biogeochemistry with Light, Iron, Nutrients and Gases (BLING) ecosystem model of Galbraith et al. (2010). The configuration is unique in that it features both a relatively equilibrated oceanic carbon inventory and an eddying ocean circulation based on a realistic model geometry/bathymetry - a combination that has been precluded by prohibitive computational cost in the past. Results from a simulation with climatological forcing and a sensitivity experiment with increasing winds suggest that the configuration is sufficiently equilibrated to explore Southern Ocean carbon uptake dynamics on decadal timescales. The configuration is dubbed MOMSO, a Modular Ocean Model Southern Ocean configuration.</t>
  </si>
  <si>
    <t>[Dietze, Heiner; Loeptien, Ulrike; Getzlaff, Julia] Helmholtz Ctr Ocean Res Kiel, GEOMAR, Dusternbrooker Weg 20, Kiel, Germany; [Dietze, Heiner; Loeptien, Ulrike] Univ Kiel, Inst Geosci, Kiel, Germany</t>
  </si>
  <si>
    <t>Helmholtz Association; GEOMAR Helmholtz Center for Ocean Research Kiel; University of Kiel</t>
  </si>
  <si>
    <t>Dietze, H (corresponding author), Helmholtz Ctr Ocean Res Kiel, GEOMAR, Dusternbrooker Weg 20, Kiel, Germany.;Dietze, H (corresponding author), Univ Kiel, Inst Geosci, Kiel, Germany.</t>
  </si>
  <si>
    <t>hdietze@geomar.de</t>
  </si>
  <si>
    <t>Loeptien, Ulrike/AAW-6325-2021; Dietze, Heiner/A-7466-2009</t>
  </si>
  <si>
    <t>Dietze, Heiner/0000-0002-0931-8707; Loeptien, Ulrike/0000-0002-8765-4183</t>
  </si>
  <si>
    <t>Helmholtz Gemeinschaft [ZT-I-0010]; Deutsche Forschungsgemeinschaft [SCHN 762/5-1]</t>
  </si>
  <si>
    <t>Helmholtz Gemeinschaft(Helmholtz Association); Deutsche Forschungsgemeinschaft(German Research Foundation (DFG))</t>
  </si>
  <si>
    <t>This research has been supported by the Helmholtz Gemeinschaft (grant no. ZT-I-0010) and the Deutsche Forschungsgemeinschaft (grant no. SCHN 762/5-1).</t>
  </si>
  <si>
    <t>10.5194/gmd-13-71-2020</t>
  </si>
  <si>
    <t>KB2NU</t>
  </si>
  <si>
    <t>WOS:000506337200001</t>
  </si>
  <si>
    <t>Brown, KE; Wasley, J; King, CK</t>
  </si>
  <si>
    <t>Brown, Kathryn E.; Wasley, Jane; King, Catherine K.</t>
  </si>
  <si>
    <t>Sensitivity to Copper and Development of Culturing and Toxicity Test Procedures for the Antarctic Terrestrial Nematode Plectus murrayi</t>
  </si>
  <si>
    <t>ENVIRONMENTAL TOXICOLOGY AND CHEMISTRY</t>
  </si>
  <si>
    <t>Terrestrial invertebrate toxicology; Copper; Soil contamination; Antarctic contaminants; Nematode test species; Nematode culture</t>
  </si>
  <si>
    <t>CAENORHABDITIS-ELEGANS; LIFE-CYCLE; SOIL; TEMPERATURE; TIME; SURVIVAL; SITE; BIOAVAILABILITY; ECOTOXICOLOGY; CONTAMINATION</t>
  </si>
  <si>
    <t>Environmental quality guideline values and remediation targets, specific to Antarctic ecosystems, are required for the risk assessment and remediation of contaminated sites in Antarctica. Ecotoxicological testing with Antarctic soil organisms is fundamental in determining reliable contaminant effect threshold concentrations. The present study describes the development of optimal culturing techniques and aqueous toxicity test procedures for an endemic Antarctic soil nematode, Plectus murrayi, which lives within interstitial waters between soil particles. Toxicity tests were of extended duration to account for the species' physiology and life-history characteristics. Plectus murrayi was sensitive to aqueous copper with a 50% effective concentration for egg-hatching success of 139 mu g/L. Hatched juveniles that were first exposed to copper as eggs appeared to be less sensitive than those first exposed at the hatched J2 stage, indicating a potential protective effect of the egg. Sensitivity of juveniles to copper increased with exposure duration, with 50% lethal concentrations of 478 and 117 mu g/L at 21 and 28 d, respectively. The present study describes new methods for the application of an environmentally relevant test species to the risk assessment of contaminants in Antarctic soil and provides the first estimates of sensitivity to a toxicant for an Antarctic terrestrial microinvertebrate. Environ Toxicol Chem 2020;00:1-10. (c) 2019 SETAC</t>
  </si>
  <si>
    <t>[Brown, Kathryn E.; Wasley, Jane; King, Catherine K.] Australian Antarctic Div, Kingston, Tas, Australia</t>
  </si>
  <si>
    <t>Brown, KE (corresponding author), Australian Antarctic Div, Kingston, Tas, Australia.</t>
  </si>
  <si>
    <t>Kathryn.Brown@aad.gov.au</t>
  </si>
  <si>
    <t>Brown, Kathryn/AAE-9933-2021; Wasley, Jane/KHX-4880-2024; King, Catherine/G-7059-2017</t>
  </si>
  <si>
    <t>King, Catherine/0000-0003-3356-0381; Wasley, Jane/0000-0001-9379-664X; Brown, Kathryn/0000-0002-9093-8742</t>
  </si>
  <si>
    <t>Australian Antarctic Science grant [AAS 4100]</t>
  </si>
  <si>
    <t>Australian Antarctic Science grant</t>
  </si>
  <si>
    <t>The present study was funded through an Australian Antarctic Science grant to C. King (AAS 4100). Nematodes were collected under permit ATEP 12-13-4100 issued by the Commonwealth of Australia, Antarctic Treaty (Environment Protection) Act 1980. We thank U. Nielsen and A. Nydahl for the original nematode collections and assistance in establishing cultures, A. Cooper for the preliminary experiments conducted as part of the study, and S. Stark for assistance with chemical analysis. We appreciate the comments of T. Raymond and the anonymous journal reviewers, which improved the final manuscript.</t>
  </si>
  <si>
    <t>0730-7268</t>
  </si>
  <si>
    <t>1552-8618</t>
  </si>
  <si>
    <t>ENVIRON TOXICOL CHEM</t>
  </si>
  <si>
    <t>Environ. Toxicol. Chem.</t>
  </si>
  <si>
    <t>10.1002/etc.4630</t>
  </si>
  <si>
    <t>Environmental Sciences; Toxicology</t>
  </si>
  <si>
    <t>Environmental Sciences &amp; Ecology; Toxicology</t>
  </si>
  <si>
    <t>KF5LC</t>
  </si>
  <si>
    <t>WOS:000506307400001</t>
  </si>
  <si>
    <t>Kocot, KM; Poustka, AJ; Stöger, I; Halanych, KM; Schrödl, M</t>
  </si>
  <si>
    <t>Kocot, Kevin M.; Poustka, Albert J.; Stoeger, Isabella; Halanych, Kenneth M.; Schroedl, Michael</t>
  </si>
  <si>
    <t>New data from Monoplacophora and a carefully-curated dataset resolve molluscan relationships</t>
  </si>
  <si>
    <t>PHYLOGENETIC RECONSTRUCTION; APLACOPHORAN MOLLUSKS; EVOLUTION; TREE; ORIGIN; KIMBERELLA; GENOME</t>
  </si>
  <si>
    <t>Relationships among the major lineages of Mollusca have long been debated. Morphological studies have considered the rarely collected Monoplacophora (Tryblidia) to have several plesiomorphic molluscan traits. The phylogenetic position of this group is contentious as morphologists have generally placed this clade as the sister taxon of the rest of Conchifera whereas earlier molecular studies supported a clade of Monoplacophora +Polyplacophora (Serialia) and phylogenomic studies have generally recovered a clade of Monoplacophora +Cephalopoda. Phylogenomic studies have also strongly supported a clade including Gastropoda, Bivalvia, and Scaphopoda, but relationships among these taxa have been inconsistent. In order to resolve conchiferan relationships and improve understanding of early molluscan evolution, we carefully curated a high-quality data matrix and conducted phylogenomic analyses with broad taxon sampling including newly sequenced genomic data from the monoplacophoran Laevipilina antarctica. Whereas a partitioned maximum likelihood (ML) analysis using site-homogeneous models recovered Monoplacophora sister to Cephalopoda with moderate support, both ML and Bayesian inference (BI) analyses using mixture models recovered Monoplacophora sister to all other conchiferans with strong support. A supertree approach also recovered Monoplacophora as the sister taxon of a clade composed of the rest of Conchifera. Gastropoda was recovered as the sister taxon of Scaphopoda in most analyses, which was strongly supported when mixture models were used. A molecular clock based on our BI topology dates diversification of Mollusca to similar to 546 MYA (+/- 6 MYA) and Conchifera to similar to 540 MYA (+/- 9 MYA), generally consistent with previous work employing nuclear housekeeping genes. These results provide important resolution of conchiferan mollusc phylogeny and offer new insights into ancestral character states of major mollusc clades.</t>
  </si>
  <si>
    <t>[Kocot, Kevin M.] Univ Alabama, Dept Biol Sci, Tuscaloosa, AL 35487 USA; [Kocot, Kevin M.] Univ Alabama, Alabama Museum Nat Hist, Tuscaloosa, AL 35487 USA; [Poustka, Albert J.] Max Planck Inst Mol Genet, Evolut &amp; Dev Grp, D-14195 Berlin, Germany; [Poustka, Albert J.] Dahlem Ctr Genome Res &amp; Med Syst Biol, Environm &amp; Phylogenom Grp, D-12489 Berlin, Germany; [Stoeger, Isabella; Schroedl, Michael] SNSB Bavarian State Collect Zool, D-81247 Munich, Germany; [Stoeger, Isabella; Schroedl, Michael] Ludwig Maximilians Univ Munchen, Dept Biol 2, D-82152 Planegg Martinsried, Germany; [Halanych, Kenneth M.] Auburn Univ, Dept Biol Sci, Auburn, AL 36849 USA; [Schroedl, Michael] LMU, GeoBio Ctr, D-80333 Munich, Germany</t>
  </si>
  <si>
    <t>University of Alabama System; University of Alabama Tuscaloosa; University of Alabama System; University of Alabama Tuscaloosa; Max Planck Society; University of Munich; Auburn University System; Auburn University; University of Munich</t>
  </si>
  <si>
    <t>Kocot, KM (corresponding author), Univ Alabama, Dept Biol Sci, Tuscaloosa, AL 35487 USA.;Kocot, KM (corresponding author), Univ Alabama, Alabama Museum Nat Hist, Tuscaloosa, AL 35487 USA.</t>
  </si>
  <si>
    <t>kmkocot@ua.edu</t>
  </si>
  <si>
    <t>Halanych, Kenneth/A-9480-2009; Kocot, Kevin/K-9087-2016</t>
  </si>
  <si>
    <t>Halanych, Kenneth/0000-0002-8658-9674; Kocot, Kevin/0000-0002-8673-2688</t>
  </si>
  <si>
    <t>German Research Foundation [DFG SCHR667/9-1, SCHR667/15-1]; LMU; NSF [DEB 1845174]; University of Alabama</t>
  </si>
  <si>
    <t>German Research Foundation(German Research Foundation (DFG)); LMU; NSF(National Science Foundation (NSF)); University of Alabama</t>
  </si>
  <si>
    <t>Laevipilina antarctica was collected during the ANDEEP-SYSTCO expedition on R/V Polarstern; thanks go to the AWI, the Captain and the Crew, to the cruise leader Prof. Angelika Brandt (Frankfurt), and to Enrico Schwabe (ZSM) for facilitating specimen collection. We thank Peter Kohnert and Katharina Jorger for providing photographs. We thank Rebecca Varney and Meghan Yap Chiongco for providing helpful feedback on an earlier version of this manuscript. This project was supported by the Deep Metazoan and the Antarctic Priority Programmes of the German Research Foundation (DFG SCHR667/9-1 and SCHR667/15-1), an LMU graduate stipend to I.S., and NSF DEB 1845174 and University of Alabama start-up funds to K.M.K. This is Auburn University Marine Biology Program contribution #194 and Molette Lab contribution #95.</t>
  </si>
  <si>
    <t>10.1038/s41598-019-56728-w</t>
  </si>
  <si>
    <t>KS0GI</t>
  </si>
  <si>
    <t>WOS:000517989900052</t>
  </si>
  <si>
    <t>Moseley, GE; Spötl, C; Brandstätter, S; Erhardt, T; Luetscher, M; Edwards, RL</t>
  </si>
  <si>
    <t>Moseley, Gina E.; Spoetl, Christoph; Brandstaetter, Susanne; Erhardt, Tobias; Luetscher, Marc; Edwards, R. Lawrence</t>
  </si>
  <si>
    <t>NALPS19: sub-orbital-scale climate variability recorded in northern Alpine speleothems during the last glacial period</t>
  </si>
  <si>
    <t>GREENLAND ICE-CORE; MILLENNIAL-SCALE; ISOTOPIC COMPOSITION; ASIAN MONSOON; PRECIPITATION; CHRONOLOGY; EVENTS; OXYGEN; DELTA-O-18(ATM); INSTABILITY</t>
  </si>
  <si>
    <t>Sub-orbital-scale climate variability of the last glacial period provides important insights into the rates at which the climate can change state, the mechanisms that drive such changes, and the leads, lags, and synchronicity occurring across different climate zones. Such short-term climate variability has previously been investigated using delta O-18 from speleothems (delta O-18(calc)) that grew along the northern rim of the Alps (NALPS), enabling direct chronological comparisons with delta O-18 records from Greenland ice cores (delta O-18(ice)). In this study, we present NALPS19, which includes a revision of the last glacial NALPS delta O-18(calc) chronology over the interval 118.3 to 63.7 ka using 11, newly available, clean, precisely dated stalagmites from five caves. Using only the most reliable and precisely dated records, this period is now 90% complete and is comprised of 16 stalagmites from seven caves. Where speleothems grew synchronously, the timing of major transitional events in delta O-18(calc) between stadials and interstadials (and vice versa) are all in agreement on multi-decadal timescales. Ramp-fitting analysis further reveals that, except for one abrupt change, the timing of delta O-18 transitions occurred synchronously within centennial-scale dating uncertainties between the NALPS19 delta O-18(calc) record and the Asian monsoon composite speleothem delta O-18(calc) record. Due to the millennial-scale uncertainties in the ice core chronologies, a comprehensive comparison with the NALPS19 chronology is difficult. Generally, however, we find that the absolute timing of transitions in the Greenland Ice Core Chronology (GICC) 05(modelext) and Antarctic Ice Core Chronology (AICC) 2012 are in agreement on centennial scales. The exception to this is during the interval of 100 to 115 ka, where transitions in the AICC2012 chronology occurred up to 3000 years later than in NALPS19. In such instances, the transitions in the revised AICC2012 chronology of Extier et al. (2018) are in agreement with NALPS19 on centennial scales, supporting the hypothesis that AICC2012 appears to be considerably too young between 100 and 115 ka. Using a ramp-fitting function to objectively identify the onset and the end of abrupt transitions, we show that delta O-18 shifts took place on multi-decadal to multi-centennial timescales in the North Atlantic-sourced regions (northern Alps and Greenland) as well as the Asian monsoon. Given the near-complete record of delta O-18(calc) variability during the last glacial period in the northern Alps, we also offer preliminary considerations regarding the controls on mean delta O-18(calc) for given stadials and interstadials. We find that, as expected, delta O-18(calc) values became increasingly lighter with distance from the oceanic source regions, and increasingly lighter with increasing altitude. Exceptions were found for some high-elevation sites that locally display delta O-18(calc) values that are heavier than expected in comparison to lower-elevation sites, possibly caused by a summer bias in the recorded signal of the high-elevation site, or a winter bias in the low-elevation site. Finally, we propose a new mechanism for the centennial-scale stadial-level depletions in delta O-18 such as the Greenland Stadial (GS)-16.2, GS-17.2, GS-21. 2, and GS-23.2 precursor events, as well as the within-interstadial GS-24.2 cooling event. Our new high-precision chronology shows that each of these delta O-18 depletions occurred in the decades and centuries following rapid rises in sea level associated with increased ice-rafted debris and southward shifts of the Intertropical Convergence Zone, suggesting that influxes of meltwater from moderately sized ice sheets may have been responsible for the cold reversals causing the Atlantic Meridional Overturning Circulation to slow down similar to the Preboreal Oscillation and Older Dryas deglacial events.</t>
  </si>
  <si>
    <t>[Moseley, Gina E.; Spoetl, Christoph; Brandstaetter, Susanne; Luetscher, Marc] Univ Innsbruck, Inst Geol, Innrain 52, A-6020 Innsbruck, Austria; [Erhardt, Tobias] Univ Bern, Climate &amp; Environm Phys, Sidlerstr 5, CH-3012 Bern, Switzerland; [Erhardt, Tobias] Univ Bern, Oeschger Ctr Climate Change Res, Sidlerstr 5, CH-3012 Bern, Switzerland; [Edwards, R. Lawrence] Univ Minnesota, Sch Earth Sci, John T Tate Hall,116 Church St SE, Minneapolis, MN 55455 USA; [Luetscher, Marc] SISKA, CH-2301 La Chaux De Fonds, Switzerland</t>
  </si>
  <si>
    <t>University of Innsbruck; University of Bern; University of Bern; University of Minnesota System; University of Minnesota Twin Cities</t>
  </si>
  <si>
    <t>Moseley, GE (corresponding author), Univ Innsbruck, Inst Geol, Innrain 52, A-6020 Innsbruck, Austria.</t>
  </si>
  <si>
    <t>gina.moseley@uibk.ac.at</t>
  </si>
  <si>
    <t>Erhardt, Tobias/C-4589-2019; Luetscher, Marc/G-6190-2018</t>
  </si>
  <si>
    <t>Erhardt, Tobias/0000-0002-6683-6746; Moseley, Gina/0000-0002-5618-5759; Spotl, Christoph/0000-0001-7167-4940; Luetscher, Marc/0000-0001-7121-8830</t>
  </si>
  <si>
    <t>Austrian Science Fund; Swiss National Science Foundation (SNSF); Oeschger Center for Climate Change Research</t>
  </si>
  <si>
    <t>Austrian Science Fund(Austrian Science Fund (FWF)); Swiss National Science Foundation (SNSF)(Swiss National Science Foundation (SNSF)); Oeschger Center for Climate Change Research</t>
  </si>
  <si>
    <t>This research has been supported by the Austrian Science Fund (grant no. P222780) to Christoph Spotl and the Austrian Science Fund (grant no. T710-NBL) to Gina E. Moseley. Tobias Erhardt acknowledges the long-term financial support of ice core research by the Swiss National Science Foundation (SNSF) and the Oeschger Center for Climate Change Research.</t>
  </si>
  <si>
    <t>JAN 8</t>
  </si>
  <si>
    <t>10.5194/cp-16-29-2020</t>
  </si>
  <si>
    <t>KB2MX</t>
  </si>
  <si>
    <t>WOS:000506334800001</t>
  </si>
  <si>
    <t>Koppel, DJ; King, CK; Brown, KE; Price, GAV; Adams, MS; Jolley, DF</t>
  </si>
  <si>
    <t>Koppel, Darren J.; King, Catherine K.; Brown, Kathryn E.; Price, Gwilym A. V.; Adams, Merrin S.; Jolley, Dianne F.</t>
  </si>
  <si>
    <t>Assessing the Risk of Metals and Their Mixtures in the Antarctic Nearshore Marine Environment with Diffusive Gradients in Thin-Films</t>
  </si>
  <si>
    <t>KING GEORGE ISLAND; ADMIRALTY BAY; FILDES PENINSULA; CHRONIC TOXICITY; MCMURDO-STATION; WILKES STATION; HEAVY-METALS; CONTAMINATION; CU; BIOACCUMULATION</t>
  </si>
  <si>
    <t>Robust environmental assessments and contaminant monitoring in Antarctic near-shore marine environments need new techniques to overcome challenges presented by a highly dynamic environment. This study outlines an approach for contaminant monitoring and risk assessment in Antarctic marine conditions using diffusive gradients in thin-films (DGT) coupled to regionally specific ecotoxicology data and environmental quality standards. This is demonstrated in a field study where DGT samplers were deployed in the near-shore marine environment of East Antarctica around the operational Casey station and the abandoned Wilkes station to measure the time-averaged biologically available fraction of metal contaminants. The incorporation of DGT-labile concentrations to reference toxicity mixture models for three Antarctic organisms predicted low toxic effects (&lt;5% effect to the growth or development of each organism). The comparison of metal concentrations to the Australian and New Zealand default water quality guideline values (WQGVs) showed no marine site exceeding the WQGVs for 95% species protection. However, all sites exceeded the 99% WQGVs due to copper concentrations that are likely of geogenic origin (i.e., not from anthropogenic sources). This study provides evidence supporting the use of the DGT technique to monitor contaminants and assess their environmental risk in the near-shore marine environment of Antarctica.</t>
  </si>
  <si>
    <t>[Koppel, Darren J.; Price, Gwilym A. V.; Jolley, Dianne F.] Univ Technol Sydney, Fac Sci, Ultimo, NSW 2007, Australia; [Koppel, Darren J.] Univ Wollongong, Sch Chem, Wollongong, NSW 2522, Australia; [Koppel, Darren J.; Price, Gwilym A. V.; Adams, Merrin S.] CSIRO Land &amp; Water, Lucas Heights, NSW 2234, Australia; [King, Catherine K.; Brown, Kathryn E.] Australian Antarctic Div, Kingston, Tas 7050, Australia</t>
  </si>
  <si>
    <t>University of Technology Sydney; University of Wollongong; Commonwealth Scientific &amp; Industrial Research Organisation (CSIRO); Australian Antarctic Division</t>
  </si>
  <si>
    <t>Koppel, DJ (corresponding author), Univ Technol Sydney, Fac Sci, Ultimo, NSW 2007, Australia.;Koppel, DJ (corresponding author), Univ Wollongong, Sch Chem, Wollongong, NSW 2522, Australia.;Koppel, DJ (corresponding author), CSIRO Land &amp; Water, Lucas Heights, NSW 2234, Australia.</t>
  </si>
  <si>
    <t>darren.koppel@uts.edu.au</t>
  </si>
  <si>
    <t>Koppel, Darren J/AAY-6884-2020; Brown, Kathryn/AAE-9933-2021; Adams, Merrin S/F-3513-2011; Jolley, Dianne/D-1597-2009; King, Catherine/G-7059-2017</t>
  </si>
  <si>
    <t>Koppel, Darren J/0000-0001-7534-237X; Brown, Kathryn/0000-0002-9093-8742; Jolley, Dianne/0000-0003-1028-1603; King, Catherine/0000-0003-3356-0381; Price, Gwilym/0000-0003-3261-1298</t>
  </si>
  <si>
    <t>Australian government through Australian Antarctic Science Grant [AAS 4326]; Australian Government Research Training Program Scholarship; CSIRO Land and Water</t>
  </si>
  <si>
    <t>Australian government through Australian Antarctic Science Grant; Australian Government Research Training Program Scholarship(Australian GovernmentDepartment of Industry, Innovation and Science); CSIRO Land and Water(Commonwealth Scientific &amp; Industrial Research Organisation (CSIRO))</t>
  </si>
  <si>
    <t>Funding and support for the present study was provided by the Australian government through Australian Antarctic Science Grant (AAS 4326), an Australian Government Research Training Program Scholarship for Dr. D. Koppel, and support from CSIRO Land and Water. The authors would like to thank Dr. W. Bennett (Griffith University) for assistance with the preparation of DGT samplers and Dr. H. Price (UTS) for assistance with metals analysis. The authors acknowledge the work of the 2017-2018 Casey Station and Kingston teams of the Australian Antarctic Station for logistics support of their fieldwork. We would like to thank Drs. G. Bately, S. Simpson, and M. Xie (CSIRO) and the anonymous journal reviewers for comments which improved the manuscript.</t>
  </si>
  <si>
    <t>JAN 7</t>
  </si>
  <si>
    <t>10.1021/acs.est.9b04497</t>
  </si>
  <si>
    <t>KB8EX</t>
  </si>
  <si>
    <t>WOS:000506723200033</t>
  </si>
  <si>
    <t>Webb, RW; Wigmore, O; Jennings, K; Fend, M; Molotch, NP</t>
  </si>
  <si>
    <t>Webb, Ryan W.; Wigmore, Oliver; Jennings, Keith; Fend, Mike; Molotch, Noah P.</t>
  </si>
  <si>
    <t>Hydrologic connectivity at the hillslope scale through intra-snowpack flow paths during snowmelt</t>
  </si>
  <si>
    <t>HYDROLOGICAL PROCESSES</t>
  </si>
  <si>
    <t>dye tracers; flow paths; ground penetrating radar; LiDAR; liquid water distribution; snow hydrology; snowmelt; snowpack</t>
  </si>
  <si>
    <t>HIGH-ALPINE CATCHMENTS; WATER TRANSPORT MODEL; COLORADO FRONT RANGE; MELTWATER FLOW; PREFERENTIAL FLOW; STREAMFLOW GENERATION; SEASONAL SNOWPACK; CLIMATE-CHANGE; UNITED-STATES; LATERAL FLOW</t>
  </si>
  <si>
    <t>The seasonal snowmelt period is a critical component of the hydrologic cycle for many mountainous areas. Changes in the timing and rate of snowmelt as a result of physical hydrologic flow paths, such as longitudinal intra-snowpack flow paths, can have strong implications on the partitioning of meltwater amongst streamflow, groundwater recharge, and soil moisture storage. However, intra-snowpack flow paths are highly spatially and temporally variable and thus difficult to observe. This study utilizes new methods to non-destructively observe spatio-temporal changes in the liquid water content of snow in combination with plot experiments to address the research question: What is the scale of influence that intra-snowpack flow paths have on the downslope movement of liquid water during snowmelt across an elevational gradient? This research took place in northern Colorado with study plots spanning from the rain-snow transition zone up to the high alpine. Results indicate an increasing scale of influence from intra-snowpack flow paths with elevation, showing higher hillslope connectivity producing larger intra-snowpack contributing areas for meltwater accumulation, quantified as the upslope contributing area required to produce observed changes in liquid water content from melt rate estimates. The total effective intra-snowpack contributing area of accumulating liquid water was found to be 17, 6, and 0 m(2) for the above tree line, near tree line, and below tree line plots, respectively. Dye tracer experiments show capillary and permeability barriers result in increased number and thickness of intra-snowpack flow paths at higher elevations. We additionally utilized aerial photogrammetry in combination with ground penetrating radar surveys to investigate the role of this hydrologic process at the small watershed scale. Results here indicate that intra-snowpack flow paths have influence beyond the plot scale, impacting the storage and transmission of liquid water within the snowpack at the small watershed scale.</t>
  </si>
  <si>
    <t>[Webb, Ryan W.] Univ New Mexico, Dept Civil Construct &amp; Environm Engn, Albuquerque, NM 87131 USA; [Webb, Ryan W.] Univ New Mexico, Ctr Water &amp; Environm, Albuquerque, NM 87131 USA; [Webb, Ryan W.; Wigmore, Oliver; Jennings, Keith; Molotch, Noah P.] Univ Colorado, Inst Arctic &amp; Alpine Res, Boulder, CO 80309 USA; [Wigmore, Oliver] Victoria Univ Wellington, Antarctic Res Ctr, Wellington, New Zealand; [Jennings, Keith] Univ Nevada, Dept Geog, Reno, NV 89557 USA; [Jennings, Keith] Desert Res Inst, Div Hydrol Sci, Reno, NV USA; [Molotch, Noah P.] Univ Colorado, Dept Geog, Boulder, CO 80309 USA; [Fend, Mike] UNAVCO, Boulder, CO USA</t>
  </si>
  <si>
    <t>University of New Mexico; University of New Mexico; University of Colorado System; University of Colorado Boulder; Victoria University Wellington; Nevada System of Higher Education (NSHE); University of Nevada Reno; Nevada System of Higher Education (NSHE); Desert Research Institute NSHE; University of Colorado System; University of Colorado Boulder</t>
  </si>
  <si>
    <t>Webb, RW (corresponding author), Univ New Mexico, Ctr Water &amp; Environm, Albuquerque, NM 87131 USA.</t>
  </si>
  <si>
    <t>rwebb@unm.edu</t>
  </si>
  <si>
    <t>Webb, Ryan/X-1122-2018; Molotch, Noah P/C-8576-2009; Wigmore, Oliver/ABA-6795-2020</t>
  </si>
  <si>
    <t>Webb, Ryan/0000-0002-1565-909X; Wigmore, Oliver/0000-0002-6813-3884</t>
  </si>
  <si>
    <t>Division of Earth Sciences [1331828, 1624853]; Division of Environmental Biology [1637686]; Boulder Creek CZO cooperative [EAR-1331828]; Niwot Ridge Niwot cooperative [DEB-1637686]; National Science Foundation [1624853]; Direct For Biological Sciences; Division Of Environmental Biology [1637686] Funding Source: National Science Foundation; Division Of Earth Sciences; Directorate For Geosciences [1624853, 1331828] Funding Source: National Science Foundation</t>
  </si>
  <si>
    <t>Division of Earth Sciences(National Science Foundation (NSF)NSF - Directorate for Geosciences (GEO)); Division of Environmental Biology(National Science Foundation (NSF)NSF - Directorate for Biological Sciences (BIO)); Boulder Creek CZO cooperative; Niwot Ridge Niwot cooperative; National Science Foundation(National Science Foundation (NSF)); Direct For Biological Sciences; Division Of Environmental Biology(National Science Foundation (NSF)NSF - Directorate for Biological Sciences (BIO)); Division Of Earth Sciences; Directorate For Geosciences(National Science Foundation (NSF)NSF - Directorate for Geosciences (GEO))</t>
  </si>
  <si>
    <t>Division of Earth Sciences, Grant/Award Numbers: 1331828, 1624853; Division of Environmental Biology, Grant/Award Number: 1637686; Boulder Creek CZO cooperative, Grant/Award Number: EAR-1331828; Niwot Ridge Niwot cooperative, Grant/Award Number: DEB-1637686; National Science Foundation, Grant/Award Number: 1624853</t>
  </si>
  <si>
    <t>0885-6087</t>
  </si>
  <si>
    <t>1099-1085</t>
  </si>
  <si>
    <t>HYDROL PROCESS</t>
  </si>
  <si>
    <t>Hydrol. Process.</t>
  </si>
  <si>
    <t>MAR 30</t>
  </si>
  <si>
    <t>10.1002/hyp.13686</t>
  </si>
  <si>
    <t>Water Resources</t>
  </si>
  <si>
    <t>KS8FE</t>
  </si>
  <si>
    <t>WOS:000505667600001</t>
  </si>
  <si>
    <t>Hill, SL; Hinke, J; Bertrand, S; Fritz, L; Furness, RW; Ianelli, JN; Murphy, M; Oliveros-Ramos, R; Pichegru, L; Sharp, R; Stillman, RA; Wright, PJ; Ratcliffe, N</t>
  </si>
  <si>
    <t>Hill, Simeon L.; Hinke, Jefferson; Bertrand, Sophie; Fritz, Lowell; Furness, Robert W.; Ianelli, James N.; Murphy, Matthew; Oliveros-Ramos, Ricardo; Pichegru, Lorien; Sharp, Rowland; Stillman, Richard A.; Wright, Peter J.; Ratcliffe, Norman</t>
  </si>
  <si>
    <t>Reference points for predators will progress ecosystem-based management of fisheries</t>
  </si>
  <si>
    <t>FISH AND FISHERIES</t>
  </si>
  <si>
    <t>adaptive management; Aichi Biodiversity Targets; ecosystem interactions; indirect impacts; management strategy; precautionary approach</t>
  </si>
  <si>
    <t>CONSERVATION; IMPLEMENTATION; OBJECTIVES; INDICATORS; SEABIRDS; MAMMALS; CLIMATE; CCAMLR; MODEL</t>
  </si>
  <si>
    <t>Ecosystem-based management of fisheries aims to allow sustainable use of fished stocks while keeping impacts upon ecosystems within safe ecological limits. Both the FAO Code of Conduct for Responsible Fisheries and the Aichi Biodiversity Targets promote these aims. We evaluate implementation of ecosystem-based management in six case-study fisheries in which potential indirect impacts upon bird or mammal predators of fished stocks are well publicized and well studied. In particular, we consider the components needed to enable management strategies to respond to information from predator monitoring. Although such information is available in all case-studies, only one has a reference point defining safe ecological limits for predators and none has a method to adjust fishing activities in response to estimates of the state of the predator population. Reference points for predators have been developed outside the fisheries management context, but adoption by fisheries managers is hindered a lack of clarity about management objectives and uncertainty about how fishing affects predator dynamics. This also hinders the development of adjustment methods because these generally require information on the state of ecosystem variables relative to reference points. Nonetheless, most of the case-studies include precautionary measures to limit impacts on predators. These measures are not used tactically and therefore risk excessive restrictions on sustainable use. Adoption of predator reference points to inform tactical adjustment of precautionary measures would be an appropriate next step towards ecosystem-based management.</t>
  </si>
  <si>
    <t>[Hill, Simeon L.; Ratcliffe, Norman] British Antarctic Survey, High Cross,Madingley Rd, Cambridge CB3 OET, England; [Hinke, Jefferson] Natl Ocean &amp; Atmospher Adm, Antarctic Ecosyst Res Div, Southwest Fisheries Sci Ctr, Natl Marine Fisheries Serv, La Jolla, CA USA; [Bertrand, Sophie] Univ Montpellier, CNRS, Ifremer, Inst Rech Dev,MARBEC,IRD, Sete, France; [Fritz, Lowell] Natl Ocean &amp; Atmospher Adm, Marine Mammal Lab Ret, Alaska Fisheries Sci Ctr, Natl Marine Fisheries Serv, Seattle, WA USA; [Furness, Robert W.] MacArthur Green, Glasgow, Lanark, Scotland; [Ianelli, James N.] Natl Ocean &amp; Atmospher Adm, Resource Ecol &amp; Fisheries Management Div, Alaska Fisheries Sci Ctr, Natl Marine Fisheries Serv, Seattle, WA USA; [Murphy, Matthew; Sharp, Rowland] Nat Resources Wales, Bangor, Gwynedd, Wales; [Oliveros-Ramos, Ricardo] Inst Mar Peru, Callao, Peru; [Pichegru, Lorien] Nelson Mandela Univ, DST NRF Ctr Excellence, Percy Fitzpatrick Inst African Ornithol, Port Elizabeth, South Africa; [Pichegru, Lorien] Nelson Mandela Univ, Coastal &amp; Marine Res Inst, Port Elizabeth, South Africa; [Stillman, Richard A.] Bournemouth Univ, Fac Sci &amp; Technol, Dept Life &amp; Environm Sci, Poole, Dorset, England; [Wright, Peter J.] Marine Scotland Sci, Aberdeen, Scotland</t>
  </si>
  <si>
    <t>UK Research &amp; Innovation (UKRI); Natural Environment Research Council (NERC); NERC British Antarctic Survey; National Oceanic Atmospheric Admin (NOAA) - USA; Institut de Recherche pour le Developpement (IRD); Ifremer; Universite de Montpellier; Centre National de la Recherche Scientifique (CNRS); National Oceanic Atmospheric Admin (NOAA) - USA; National Oceanic Atmospheric Admin (NOAA) - USA; Instituto del Mar del Peru; National Research Foundation - South Africa; Nelson Mandela University; Nelson Mandela University; Bournemouth University; Marine Scotland Science (MSS)</t>
  </si>
  <si>
    <t>Hill, SL (corresponding author), British Antarctic Survey, High Cross,Madingley Rd, Cambridge CB3 OET, England.</t>
  </si>
  <si>
    <t>sih@bas.ac.uk</t>
  </si>
  <si>
    <t>Stillman, Richard A/B-6018-2009; Oliveros-Ramos, Ricardo/G-4257-2011; , Jefferson/AAG-1702-2021; Simeon, Hill L/B-2307-2008; WRIGHT, PETER J/C-8536-2011; Lanco, Sophie/F-4161-2012</t>
  </si>
  <si>
    <t>, Jefferson/0000-0002-3600-1414; Pichegru, Lorien/0000-0003-3815-9845; Lanco, Sophie/0000-0003-1976-3799; Hill, Simeon/0000-0003-1441-8769; Oliveros-Ramos, Ricardo/0000-0002-8069-2101</t>
  </si>
  <si>
    <t>Natural Environment Research Council; British Antarctic Survey; NERC [bas0100035] Funding Source: UKRI</t>
  </si>
  <si>
    <t>Natural Environment Research Council(UK Research &amp; Innovation (UKRI)Natural Environment Research Council (NERC)); British Antarctic Survey; NERC(UK Research &amp; Innovation (UKRI)Natural Environment Research Council (NERC))</t>
  </si>
  <si>
    <t>Natural Environment Research Council; British Antarctic Survey, Grant/Award Number: Core Funding</t>
  </si>
  <si>
    <t>1467-2960</t>
  </si>
  <si>
    <t>1467-2979</t>
  </si>
  <si>
    <t>FISH FISH</t>
  </si>
  <si>
    <t>Fish. Fish.</t>
  </si>
  <si>
    <t>10.1111/faf.12434</t>
  </si>
  <si>
    <t>KT7WQ</t>
  </si>
  <si>
    <t>Green Published, hybrid, Green Submitted, Green Accepted</t>
  </si>
  <si>
    <t>WOS:000505754400001</t>
  </si>
  <si>
    <t>Nyerges, A; Kocsis, AT; Pálfy, J</t>
  </si>
  <si>
    <t>Nyerges, Anita; Kocsis, Adam T.; Palfy, Jozsef</t>
  </si>
  <si>
    <t>Changes in calcareous nannoplankton assemblages around the Eocene-Oligocene climate transition in the Hungarian Palaeogene Basin (Central Paratethys)</t>
  </si>
  <si>
    <t>Eocene-Oligocene climate transition; Central Paratethys; calcareous nannoplankton assemblages; multivariate analysis; palaeoenvironmental reconstruction</t>
  </si>
  <si>
    <t>PALEOENVIRONMENTAL CHANGES; ANTARCTIC GLACIATION; BOUNDARY; SEA</t>
  </si>
  <si>
    <t>The Eocene-Oligocene climate transition (EOT) is the last major greenhouse-icehouse climate state shift in Earth history, ending the warm, ice-free early Palaeogene world and ushering in the Antarctic glaciation. This study is focused on the Hungarian Palaeogene Basin within the Central Paratethys, aiming to characterise the effect of the global cooling event in the calcareous nannoplankton assemblages and to reconstruct the palaeoenvironmental evolution of the region. Calcareous nannoplankton biostratigraphy is focused on documenting the NP21 Zone. Hierarchical cluster analysis allowed us to distinguish five successive assemblages. Thereby defined phases are compared with recently published trends in delta O-18 values and foraminiferal changes. Taxa with a preference for oligotrophic and warm surface waters dominate the lowest assemblage. The next assemblage contains taxa that indicate oligotrophic conditions but temperate surface water at the onset of the EOT. Nannoplankton abundance drops to a minimum in the third phase, when taxa adapted to cool surface waters gradually became dominant. A gradual rebound of nannoplankton abundance is observed in the fourth phase, possibly reflecting regional climate change related to the uplifting Alpine chain. After the end of the EOT, the youngest assemblage includes mostly eurytopic taxa which could tolerate an increased rate of freshwater and terrestrial influx.</t>
  </si>
  <si>
    <t>[Nyerges, Anita; Palfy, Jozsef] Eotvos Lorand Univ, Dept Geol, Budapest, Hungary; [Nyerges, Anita; Kocsis, Adam T.; Palfy, Jozsef] MTA MTM ELTE Res Grp Paleontol, Budapest, Hungary; [Kocsis, Adam T.] Univ Erlangen Nurnberg, Dept Geog &amp; Geosci, GeoZentrum Nordbayern, Erlangen, Germany</t>
  </si>
  <si>
    <t>Eotvos Lorand University; Hungarian Research Network; Office for Supported Research Groups (ELKH); University of Erlangen Nuremberg</t>
  </si>
  <si>
    <t>Nyerges, A (corresponding author), Eotvos Lorand Univ, Dept Geol, Budapest, Hungary.;Nyerges, A (corresponding author), MTA MTM ELTE Res Grp Paleontol, Budapest, Hungary.</t>
  </si>
  <si>
    <t>anyerges@caesar.elte.hu</t>
  </si>
  <si>
    <t>Palfy, Jozsef/A-3908-2009</t>
  </si>
  <si>
    <t>Palfy, Jozsef/0000-0001-9686-1849; Nyerges, Anita/0000-0001-5449-7786</t>
  </si>
  <si>
    <t>Deutsche Forschungsgemeinschaft [KO 5382/1-1, KO 5382/1-2]</t>
  </si>
  <si>
    <t>We dedicate this paper to the memory of Andras Nagymarosy, passed away in 2016, whose contributions to Palaeogene research in Hungary inspired this work and who introduced the first author to nannoplankton studies and helped her in many ways. The first author is also grateful to Paul R. Bown and Szabolcs Leel-Ossy for their help at the beginning of this micropalaeontological research. Special thanks are to Peter Ozsvart and Gabor Botfalvai for their constant help and encouragement during this research project. Constructive comments by two anonymous reviewers significantly improved the manuscript. A.T. Kocsis was funded by the Deutsche Forschungsgemeinschaft (KO 5382/1-1 and KO 5382/1-2). This is MTA-MTM-ELTE Paleo contribution no. 298.</t>
  </si>
  <si>
    <t>SEP 2</t>
  </si>
  <si>
    <t>10.1080/08912963.2019.1705295</t>
  </si>
  <si>
    <t>UQ5BM</t>
  </si>
  <si>
    <t>WOS:000506339600001</t>
  </si>
  <si>
    <t>Mayk, D; Fietzke, J; Anagnostou, E; Paytan, A</t>
  </si>
  <si>
    <t>Mayk, Dennis; Fietzke, Jan; Anagnostou, Eleni; Paytan, Adina</t>
  </si>
  <si>
    <t>LA-MC-ICP-MS study of boron isotopes in individual planktonic foraminifera: A novel approach to obtain seasonal variability patterns</t>
  </si>
  <si>
    <t>Boron isotope; Orbulina universa; LA-MC-ICP-MS; Seasonal variability; foraminifera; Paleo-reconstruction; pH; Geochemistry</t>
  </si>
  <si>
    <t>PALEO-PH RECONSTRUCTION; SYMBIONT PHOTOSYNTHESIS; ORBULINA-UNIVERSA; TIME-SERIES; BORIC-ACID; OCEAN PH; SEAWATER; MG/CA; FRACTIONATION; CALIBRATION</t>
  </si>
  <si>
    <t>Boron isotope (delta B-11) analysis using bulk foraminifera samples is a widely used method to reconstruct paleo sea water pH conditions. Although, these analyses exhibit high analytical precision, short term information is lost due to the pooling of tests with distinct and diverse boron isotope signatures resulting in average values for the time interval encompassed in the sample. Here we present and assess the analysis of delta B-11 of individual foraminifera by means of Laser Ablation Multi-Collector Inductively Coupled Plasma Mass Spectrometry (LA-MC-ICP-MS) to obtain seasonal variability patterns and to test the limits of precision of LA-MC-ICP-MS on the planktonic foraminifera Orbulina universa. The results show that relative seasonal differences (of similar to 11%0) can be captured from either uncleaned or cleaned individual O. universa tests with an average precision of +/- 2.9 parts per thousand (2 SE). The delta B-11 variability among foraminifera representing the same season is on average 7.4%o (2 SD) irrespective of cleaning state. With our approach, analyses on oxidatively cleaned o. universa do not require the use of a matrix matched standard to obtain B isotope values in the range of those expected for solution multispecimen analyses. Our results are useful for considering the potential spread caused by foraminifera vital effects and for obtaining information of seasonal ranges of pH and possible bias related to seasonally hidden within conventional solution based delta B-11 analyses.</t>
  </si>
  <si>
    <t>[Mayk, Dennis] Univ Cambridge, Dept Earth Sci, Downing St, Cambridge CB2 3EQ, Cambs, England; [Mayk, Dennis] British Antarctic Survey, Cambridge, Cambs, England; [Mayk, Dennis; Fietzke, Jan; Anagnostou, Eleni] GEOMAR Helmholtz Ctr Ocean Res Kiel, Kiel, Schleswig Holst, Germany; [Paytan, Adina] Univ Calif Santa Cruz, Santa Cruz, CA 95064 USA</t>
  </si>
  <si>
    <t>University of Cambridge; UK Research &amp; Innovation (UKRI); Natural Environment Research Council (NERC); NERC British Antarctic Survey; Helmholtz Association; GEOMAR Helmholtz Center for Ocean Research Kiel; University of California System; University of California Santa Cruz</t>
  </si>
  <si>
    <t>Mayk, D (corresponding author), Univ Cambridge, Dept Earth Sci, Downing St, Cambridge CB2 3EQ, Cambs, England.</t>
  </si>
  <si>
    <t>dm807@cam.ac.uk</t>
  </si>
  <si>
    <t>anagnostou, eleni/AAH-2618-2021</t>
  </si>
  <si>
    <t>anagnostou, eleni/0000-0002-7200-4794; Mayk, Dennis/0000-0002-5017-1495; Paytan, Adina/0000-0001-8360-4712; Fietzke, Jan/0000-0002-5530-7208</t>
  </si>
  <si>
    <t>JAN 5</t>
  </si>
  <si>
    <t>10.1016/j.chemgeo.2019.119351</t>
  </si>
  <si>
    <t>JQ7AE</t>
  </si>
  <si>
    <t>WOS:000499092800009</t>
  </si>
  <si>
    <t>La Mesa, M; Calì, F; Riginella, E; Mazzoldi, C; Jones, CD</t>
  </si>
  <si>
    <t>La Mesa, Mario; Cali, Federico; Riginella, Emilio; Mazzoldi, Carlotta; Jones, Christopher D.</t>
  </si>
  <si>
    <t>Biological parameters of the High-Antarctic icefish, Cryodraco antarcticus (Channichthyidae) from the South Shetland Islands</t>
  </si>
  <si>
    <t>Channichthyid; Population structure; Age; Reproduction</t>
  </si>
  <si>
    <t>LENGTH-WEIGHT RELATIONSHIPS; FISH; AGE; GROWTH; REPRODUCTION; SEA; PISCES; DOLLO; SIZE</t>
  </si>
  <si>
    <t>Despite their wide distribution around the Antarctic continent, the life strategies of the long-fingered icefish Cryodraco antarcticus have been rarely investigated and are not well understood. The aim of this paper was to provide more insights on the demographic characteristics of the population living off the South Shetland Islands, focusing attention on key biological traits such as age and growth and the reproductive cycle. Individual age and reproductive status were assessed through the microstructural analyses of sagittal otoliths and histological analysis of gonads, respectively. The sex-balanced sampled population consisted of juvenile and adult fishes covering a wide size range. Both sexes had positive allometric growth, although males exhibited smaller maximum size and lower body condition than females. Fish longevity was comparable between sexes, being 16 and 18 years in males and females, respectively. Applying the von Bertalanffy growth model to length-at-age estimates, males consistently reached lower maximum asymptotic size at a faster rate than females. Based on the gametogenic process, the spawning period was inferred to occur from late summer to early autumn. As commonly found in icefishes, females devoted a great investment to reproduction as gonadosomatic index, egg size, and fecundity. A single female (62 cm TL) spawned about 7730 eggs as large as 3-4 mm. Considering also the results of previous studies conducted in other areas, this species is characterized by a long-lasting pelagic juvenile phase and adults share similar life strategies across the range of their spatial distribution, suggesting the possibility of a single panmictic circum-Antarctic population.</t>
  </si>
  <si>
    <t>[La Mesa, Mario] CNR, ISP, Area Ric Bologna, Via P Gobetti 101, I-40129 Bologna, Italy; [Cali, Federico] CNR, Ist Risorse Biol &amp; Biotecnol Marine IRBIM, Sede Ancona, I-60125 Ancona, Italy; [Riginella, Emilio] Staz Zool Anton Dohrn, Dipartimento Ecol Marina Integrata, I-80121 Naples, Italy; [Mazzoldi, Carlotta] Univ Padua, Dipartimento Biol, Via U Bassi 58-B, I-35131 Padua, Italy; [Jones, Christopher D.] NOAA, Southwest Fisheries Sci Ctr, Natl Marine Fisheries Serv, 8901 La Jolla Shores Dr, La Jolla, CA 92037 USA</t>
  </si>
  <si>
    <t>Consiglio Nazionale delle Ricerche (CNR); Istituto di Scienze Polari (ISP-CNR); Consiglio Nazionale delle Ricerche (CNR); Istituto per le Risorse Biologiche Biotecnologie Marine (IRBIM-CNR); Stazione Zoologica Anton Dohrn di Napoli; University of Padua; National Oceanic Atmospheric Admin (NOAA) - USA</t>
  </si>
  <si>
    <t>La Mesa, M (corresponding author), CNR, ISP, Area Ric Bologna, Via P Gobetti 101, I-40129 Bologna, Italy.</t>
  </si>
  <si>
    <t>mario.lamesa@cnr.it</t>
  </si>
  <si>
    <t>Mazzoldi, Carlotta/AAU-8628-2020; Riginella, Emilio/Q-2987-2019</t>
  </si>
  <si>
    <t>Riginella, Emilio/0000-0002-1442-8310; MAZZOLDI, CARLOTTA/0000-0002-2798-3030; CALI', FEDERICO/0000-0001-6970-2607</t>
  </si>
  <si>
    <t>Italian National Antarctic Research Program (PNRA) [2013/C1.07]</t>
  </si>
  <si>
    <t>Italian National Antarctic Research Program (PNRA)(Ministry of Education, Universities and Research (MIUR))</t>
  </si>
  <si>
    <t>We would like to thank all of the crew members and personnel aboard RV Polarstern and the RV Yuzhmorgeologiya during the relevant cruises, for their valuable support during field sampling activities. We are much indebted to Richard L. O'Driscoll and an anonymous reviewer, whose comments greatly improved the early draft of the manuscript. This study was financially supported by the Italian National Antarctic Research Program (PNRA) within the Project 2013/C1.07.</t>
  </si>
  <si>
    <t>10.1007/s00300-019-02617-x</t>
  </si>
  <si>
    <t>WOS:000505428000001</t>
  </si>
  <si>
    <t>Mohammadrezaei, M; Soltani, S; Modarres, R</t>
  </si>
  <si>
    <t>Mohammadrezaei, Maryam; Soltani, Saeed; Modarres, Reza</t>
  </si>
  <si>
    <t>Evaluating the effect of ocean-atmospheric indices on drought in Iran</t>
  </si>
  <si>
    <t>SPI; Ocean-atmospheric indices; Simultaneous and asynchronous relationship; Iran</t>
  </si>
  <si>
    <t>METEOROLOGICAL DROUGHT; PRECIPITATION; TEMPERATURE; ENSO; NAO</t>
  </si>
  <si>
    <t>This study investigated the relationship between ocean-atmospheric indices and drought in Iran. Using &gt; 30-year precipitation data from 37 synoptic stations (ending 2015), standard precipitation index (SPI) was calculated for periods of 1-, 3-, 6-, 9-, 12-, 15-, 18-, 24-, and 48-month time scales. A set of monthly ocean-atmospheric oscillations (OA) indices including Antarctic Oscillation (AAO), Arctic Oscillation (AO), Atlantic Multi-Decadal Oscillation (AMO), North Atlantic Oscillation (NAO), El Nino Southern Oscillation (ENSO): (NINO 1.2, NINO 3, NINO 3.4, NINO 4, SOI), and Western Mediterranean Oscillation (WeMo) were also included in our analysis. The simultaneous relationship between SPI and ocean-atmospheric oscillations was investigated using Spearman's correlation test. The cross correlation function (CCF) coefficient was also utilized to investigate their asynchronous relationships at 1-, 3-, 6-, 9-, 12-, 15-, 18-, 24-, 48-month lag time. Finally, the multivariate linear regression was used to model the end relationships among SPI time-scales and OA indices. AMO and NINO 4 had the most significant and most frequent relationship with SPI in the western and northern parts of Iran. Except for southeastern parts, AMO, NINO 3.4, and NINO 4 had the most significant and most frequent relationship with SPI. Moreover, results showed that asynchronous relationships outperformed simultaneous ones. AMO was recognized as the most important index in modeling the relationship between drought and OA indices across all stations with high potentials to be used for predicting climatic conditions and drought management in Iran.</t>
  </si>
  <si>
    <t>[Mohammadrezaei, Maryam; Soltani, Saeed; Modarres, Reza] Isfahan Univ Technol, Dept Nat Resources, Esfahan 8415683111, Iran; [Soltani, Saeed; Modarres, Reza] Isfahan Univ Technol, Ctr Excellence Risk Management &amp; Nat Hazards, Esfahan 8415683111, Iran</t>
  </si>
  <si>
    <t>Isfahan University of Technology; Isfahan University of Technology</t>
  </si>
  <si>
    <t>Soltani, S (corresponding author), Isfahan Univ Technol, Dept Nat Resources, Esfahan 8415683111, Iran.;Soltani, S (corresponding author), Isfahan Univ Technol, Ctr Excellence Risk Management &amp; Nat Hazards, Esfahan 8415683111, Iran.</t>
  </si>
  <si>
    <t>ssoltani@cc.iut.ac.ir</t>
  </si>
  <si>
    <t>Modarres, Reza/A-4352-2009</t>
  </si>
  <si>
    <t>Soltani, Saeid/0000-0002-9326-0770</t>
  </si>
  <si>
    <t>10.1007/s00704-019-03058-6</t>
  </si>
  <si>
    <t>KW9LW</t>
  </si>
  <si>
    <t>WOS:000505413200002</t>
  </si>
  <si>
    <t>Mann, ME; Steinman, BA; Miller, SK</t>
  </si>
  <si>
    <t>Mann, Michael E.; Steinman, Byron A.; Miller, Sonya K.</t>
  </si>
  <si>
    <t>Absence of internal multidecadal and interdecadal oscillations in climate model simulations</t>
  </si>
  <si>
    <t>SEA-SURFACE TEMPERATURE; ANTARCTIC CIRCUMPOLAR WAVE; SOUTHERN-HEMISPHERE; NORTHERN-HEMISPHERE; ATLANTIC-OCEAN; CMIP5 MODELS; VARIABILITY; PACIFIC; ATMOSPHERE; ENSO</t>
  </si>
  <si>
    <t>For several decades the existence of interdecadal and multidecadal internal climate oscillations has been asserted by numerous studies based on analyses of historical observations, paleoclimatic data and climate model simulations. Here we use a combination of observational data and state-of-the-art forced and control climate model simulations to demonstrate the absence of consistent evidence for decadal or longer-term internal oscillatory signals that are distinguishable from climatic noise. Only variability in the interannual range associated with the El Nino/Southern Oscillation is found to be distinguishable from the noise background. A distinct (40-50 year timescale) spectral peak that appears in global surface temperature observations appears to reflect the response of the climate system to both anthropogenic and natural forcing rather than any intrinsic internal oscillation. These findings have implications both for the validity of previous studies attributing certain long-term climate trends to internal low-frequency climate cycles and for the prospect of decadal climate predictability.</t>
  </si>
  <si>
    <t>[Mann, Michael E.; Miller, Sonya K.] Penn State Univ, Dept Meteorol &amp; Atmospher Sci, 514 Walker Bldg, University Pk, PA 16802 USA; [Steinman, Byron A.] Univ Minnesota Duluth, Dept Earth &amp; Environm Sci, 2205 E 5th St, Duluth, MN 55812 USA; [Steinman, Byron A.] Univ Minnesota Duluth, Large Lakes Observ, 2205 E 5th St, Duluth, MN 55812 USA</t>
  </si>
  <si>
    <t>Pennsylvania Commonwealth System of Higher Education (PCSHE); Pennsylvania State University; Pennsylvania State University - University Park; University of Minnesota System; University of Minnesota Duluth; University of Minnesota Twin Cities; University of Minnesota Hospital; University of Minnesota System; University of Minnesota Duluth; University of Minnesota Twin Cities; University of Minnesota Hospital</t>
  </si>
  <si>
    <t>Mann, ME (corresponding author), Penn State Univ, Dept Meteorol &amp; Atmospher Sci, 514 Walker Bldg, University Pk, PA 16802 USA.</t>
  </si>
  <si>
    <t>mann@psu.edu</t>
  </si>
  <si>
    <t>Mann, Michael E/B-8472-2017</t>
  </si>
  <si>
    <t>Mann, Michael E/0000-0003-3067-296X</t>
  </si>
  <si>
    <t>NSF Paleoclimate Program [1748097]; Div Atmospheric &amp; Geospace Sciences; Directorate For Geosciences [1748097] Funding Source: National Science Foundation</t>
  </si>
  <si>
    <t>NSF Paleoclimate Program(National Science Foundation (NSF)NSF - Directorate for Geosciences (GEO)); Div Atmospheric &amp; Geospace Sciences; Directorate For Geosciences(National Science Foundation (NSF)NSF - Directorate for Geosciences (GEO))</t>
  </si>
  <si>
    <t>We acknowledge the World Climate Research Programme's Working Group on Coupled Modelling, which is responsible for CMIP, and we thank the climate modelling groups for producing and making available their model output. M.M., B.S. and S.M. were all supported by a grant from the NSF Paleoclimate Program #1748097.</t>
  </si>
  <si>
    <t>JAN 3</t>
  </si>
  <si>
    <t>10.1038/s41467-019-13823-w</t>
  </si>
  <si>
    <t>MO3BJ</t>
  </si>
  <si>
    <t>WOS:000551405500001</t>
  </si>
  <si>
    <t>Li, YZ; Talalay, PG; Sysoev, MA; Zagorodnov, VS; Li, X; Fan, XP</t>
  </si>
  <si>
    <t>Li, Yazhou; Talalay, Pavel G.; Sysoev, Mikhail A.; Zagorodnov, Victor S.; Li, Xiao; Fan, Xiaopeng</t>
  </si>
  <si>
    <t>Thermal Heads for Melt Drilling to Subglacial Lakes: Design and Testing</t>
  </si>
  <si>
    <t>ASTROBIOLOGY</t>
  </si>
  <si>
    <t>Icy satellites; Subglacial lakes; Thermal head; Rate of penetration; Design and testing</t>
  </si>
  <si>
    <t>PLANETARY ICES; TEPHRA LAYERS; PROBE; EXPLORATION; RECONSTRUCTION; SYSTEM; CORE; MARS</t>
  </si>
  <si>
    <t>Antarctic subglacial lakes are often considered suitable analogues to extraterrestrial subglacial aqueous environments. Recently, an environmentally friendly RECoverable Autonomous Sonde (RECAS) was designed at the Polar Research Center of Jilin University (JLU) to sample the water of subglacial lakes without contamination. In this regard, the development of a fast-penetration thermal head is the key issue for RECAS. Two different prototypes were designed and tested at the JLU ice-well to determine the optimal design and operation parameters of the thermal heads. Practical top and bottom thermal heads were then designed based on one of the prototypes, which can penetrate ice at an average rate of 1.88 m/h. The test results for the RECAS thermal heads show that the rate of penetration (ROP) can be 1.80-1.95 m/h in -10 degrees C ice, and the axial load on the thermal head only affects the ROP when it is lower than a specified threshold. The decrease of the ice temperature from -10 degrees C to -30 degrees C leads to a decrease of 17% in the ROP. The bottom thermal head can drill into dirty ice, and a simple collector positioned above the head can collect solid particles suspended in the melted ice. The top thermal head exhibited a long lifetime and stable heating performance after being powered in water for 2 weeks. In addition, the ice temperature near the borehole was monitored to evaluate the range of heat disturbance caused by the thermal head.</t>
  </si>
  <si>
    <t>[Li, Yazhou; Talalay, Pavel G.; Sysoev, Mikhail A.; Zagorodnov, Victor S.; Li, Xiao; Fan, Xiaopeng] Jilin Univ, Polar Res Ctr, 938 Ximinzhu St, Changchun 130026, Jilin, Peoples R China; [Zagorodnov, Victor S.] Cryosphere Res Solut LLC, Columbus, OH USA</t>
  </si>
  <si>
    <t>Jilin University</t>
  </si>
  <si>
    <t>Fan, XP (corresponding author), Jilin Univ, Polar Res Ctr, 938 Ximinzhu St, Changchun 130026, Jilin, Peoples R China.</t>
  </si>
  <si>
    <t>heaxe@163.com</t>
  </si>
  <si>
    <t>Li, Xiao/AFK-8820-2022</t>
  </si>
  <si>
    <t>Talalay, Pavel/0000-0002-8230-4600</t>
  </si>
  <si>
    <t>Ministry of Science and Technology of the People's Republic of China [2016YFC1400300]; National Nature Science Foundation of China [41706214]; Program for Jilin University Science and Technology Innovative Research Team [2017TD-24]</t>
  </si>
  <si>
    <t>Ministry of Science and Technology of the People's Republic of China(Ministry of Science and Technology, China); National Nature Science Foundation of China(National Natural Science Foundation of China (NSFC)); Program for Jilin University Science and Technology Innovative Research Team</t>
  </si>
  <si>
    <t>This research is supported by the Ministry of Science and Technology of the People's Republic of China (Project No. 2016YFC1400300), the National Nature Science Foundation of China (Project No. 41706214), and the Program for Jilin University Science and Technology Innovative Research Team (Project No. 2017TD-24).</t>
  </si>
  <si>
    <t>MARY ANN LIEBERT, INC</t>
  </si>
  <si>
    <t>NEW ROCHELLE</t>
  </si>
  <si>
    <t>140 HUGUENOT STREET, 3RD FL, NEW ROCHELLE, NY 10801 USA</t>
  </si>
  <si>
    <t>1531-1074</t>
  </si>
  <si>
    <t>1557-8070</t>
  </si>
  <si>
    <t>Astrobiology</t>
  </si>
  <si>
    <t>JAN 1</t>
  </si>
  <si>
    <t>10.1089/ast.2019.2103</t>
  </si>
  <si>
    <t>Astronomy &amp; Astrophysics; Biology; Geosciences, Multidisciplinary</t>
  </si>
  <si>
    <t>Astronomy &amp; Astrophysics; Life Sciences &amp; Biomedicine - Other Topics; Geology</t>
  </si>
  <si>
    <t>KF2KN</t>
  </si>
  <si>
    <t>WOS:000505706500001</t>
  </si>
  <si>
    <t>Pope, JO; Bracegirdle, TJ; Renfrew, IA; Elvidge, AD</t>
  </si>
  <si>
    <t>Pope, James O.; Bracegirdle, Thomas J.; Renfrew, Ian A.; Elvidge, Andrew D.</t>
  </si>
  <si>
    <t>The impact of wintertime sea-ice anomalies on high surface heat flux events in the Iceland and Greenland Seas</t>
  </si>
  <si>
    <t>Surface heat flux; Sea ice; Iceland Sea; Greenland Sea; MetUM; Climate modelling</t>
  </si>
  <si>
    <t>OPEN-OCEAN CONVECTION; COLD-AIR OUTBREAKS; DENMARK STRAIT; ZONE; CLIMATOLOGY; REANALYSIS; NORTH</t>
  </si>
  <si>
    <t>The gyres of the Iceland and Greenland Seas are regions of deep-water formation, driven by large ocean-to-atmosphere heat fluxes that have local maxima adjacent to the sea-ice edge. Recently these regions have experienced a dramatic loss of sea ice, including in winter, which begs the question have surface heat fluxes in the adjacent ocean gyres been affected? To address this a set of regional atmospheric climate model simulations has been run with prescribed sea ice and sea surface temperature fields. Three 20-year model experiments have been examined: Ice(max), Ice(med) and Ice(min), where the surface fields are set as the year with maximum, median and minimum sea-ice extents respectively. Under conditions of reduced sea-ice extent there is a 15% (19 W m(-2)) decrease in total wintertime heat fluxes in the Iceland Sea. In contrast, there is an 8% (9 W m(-2)) increase in heat fluxes in the Greenland Sea primarily due to higher local SSTs. These differences are manifest as changes in the magnitude of high heat flux events (such as cold air outbreaks). In the Iceland Sea, 76% of these events are lower in magnitude during reduced sea-ice conditions. In the Greenland Sea, 93% of these events are higher in magnitude during reduced sea-ice conditions as a result of higher SSTs coincident with retreating sea ice. So, in these experiments, the reduced wintertime sea-ice conditions force a different response in the two seas. In both gyres, large-scale atmospheric circulation patterns are key drivers of high heat flux events.</t>
  </si>
  <si>
    <t>[Pope, James O.; Bracegirdle, Thomas J.] British Antarctic Survey, Cambridge, England; [Pope, James O.] Hadley Ctr, Met Off, FitzRoy Rd, Exeter, Devon, England; [Renfrew, Ian A.; Elvidge, Andrew D.] Univ East Anglia, Sch Environm Sci, Norwich, Norfolk, England</t>
  </si>
  <si>
    <t>UK Research &amp; Innovation (UKRI); Natural Environment Research Council (NERC); NERC British Antarctic Survey; Met Office - UK; Hadley Centre; University of East Anglia</t>
  </si>
  <si>
    <t>Pope, JO (corresponding author), British Antarctic Survey, Cambridge, England.;Pope, JO (corresponding author), Hadley Ctr, Met Off, FitzRoy Rd, Exeter, Devon, England.</t>
  </si>
  <si>
    <t>james.pope@metoffice.gov.uk</t>
  </si>
  <si>
    <t>Bracegirdle, Tom/AAD-6060-2020; Renfrew, Ian A/E-4057-2010; Pope, James/E-9473-2017</t>
  </si>
  <si>
    <t>Pope, James/0000-0001-8945-4209; Elvidge, Andrew/0000-0002-7099-902X</t>
  </si>
  <si>
    <t>Natural Environment Research Council (NERC) [NE/N009924/1, NE/N009754/1]; NERC [NE/N009754/1, bas0100032, NE/N009924/1] Funding Source: UKRI</t>
  </si>
  <si>
    <t>Natural Environment Research Council (NERC)(UK Research &amp; Innovation (UKRI)Natural Environment Research Council (NERC)); NERC(UK Research &amp; Innovation (UKRI)Natural Environment Research Council (NERC))</t>
  </si>
  <si>
    <t>JOP, TJB, IAR and ADE acknowledge the support of the Natural Environment Research Council (NERC) grant: NE/N009924/1 and NE/N009754/1 (Atmospheric Forcing of the Iceland Sea-the UK's contribution to the Iceland Greenland Seas Project). We are grateful to the ECMWF for the provision of the ERA-Interim meteorological fields (available here: http://apps.ecmwf.int/datasets/data/interim-mdfa/).The OSTIA data was downloaded from the Copernicus Marine Environment Monitoring Service. It is identified in their system as: SST_GLO_SST_L4_REP_OBSERVATIONS_010_011 and access to the data can be found here: http://marin e.copernicus.eu/services-portfolio/access-to-products/?option = com_ csw&amp;view = details&amp;product_id = SST_GLO_SST_L4_REP_OBSER VATIONS_010_011. Model data fields used in this study will be available from the IGP Project archive at the Centre for Environmental Data Analysis, which can be found here: https://catalogue.ceda.ac.uk/uuid/2780d047461c42f0a12534ccf42f487a.The code for the heat flux event algorithm can be accessed via the IGP GitHub repository here: https://github.com/IGPResearch/bas.The authors would like to thank Dr Stuart Webster (UK Met Office) for his assistance in setting up and using the MetUM Nested Suite and Willie McGinty (National Centre for Atmospheric Science) for assistance in producing model GRIB files from the ERA-Interim reanalysis. Simulations were run on the UK Met Office HPC facility MONSooN from February 2018 to September 2018. We would like to thank the two anonymous reviewers for their comments which improved the final manuscript and the accessibility of the figures.</t>
  </si>
  <si>
    <t>10.1007/s00382-019-05095-3</t>
  </si>
  <si>
    <t>WOS:000505516100003</t>
  </si>
  <si>
    <t>Mota, MAD; Harrington, G; Jones, TD</t>
  </si>
  <si>
    <t>Mota, Marcelo Augusto De Lira; Harrington, Guy; Jones, Tom Dunkley</t>
  </si>
  <si>
    <t>Organic-walled dinoflagellate cyst biostratigraphy of the upper Eocene to lower Oligocene Yazoo Formation, US Gulf Coast</t>
  </si>
  <si>
    <t>JOURNAL OF MICROPALAEONTOLOGY</t>
  </si>
  <si>
    <t>MIDDLE EOCENE; CALCAREOUS NANNOFOSSILS; ANTARCTIC GLACIATION; CENOZOIC GLACIATION; KERGUELEN PLATEAU; VICKSBURG GROUPS; TRANSITION; STRATIGRAPHY; BOUNDARY; ALABAMA</t>
  </si>
  <si>
    <t>New data from a continuously cored succession, the Mossy Grove core, near Jackson, central Mississippi, recovered similar to 137 m of marine clays (Yazoo Formation), spanning similar to 5 Ma and including the critical Eocene-Oligocene transition (EOT) event. These clay-rich sediments yield well-preserved calcareous microfossil and palynomorph assemblages. Here, we present a new organic-walled dinoflagellate cyst (dinocyst) biostratigraphic framework, including the recognition of 23 dinocyst bioevents. These are integrated with new age constraints based on calcareous nannofossil biostratigraphy and a reassessment of the existing radiometric dates and planktonic foraminiferal biostratigraphy, permitting the establishment of a robust and significantly refined age model for the core. According to this new age model, a major increase in sedimentation rate - from similar to 2.1 to similar to 4.7 cm kyr(-1) - is observed at a core depth of similar to 89.1 m (similar to 34.4 Ma). In the new age model the section is significantly older than previously thought, by up to 1 Ma, with the Eocene-Oligocene boundary (similar to 33.89 Ma) placed similar to 34 m below the level previously identified. With these more accurate age estimates, future isotopic and palaeoecological work on this core can be more precisely integrated with other, globally distributed records of the EOT.</t>
  </si>
  <si>
    <t>[Mota, Marcelo Augusto De Lira; Jones, Tom Dunkley] Univ Birmingham, Sch Geog Earth &amp; Environm Sci, Birmingham B15 2TT, W Midlands, England; [Harrington, Guy] Conwy Off, PetroStrat, Parc Caer Seion, Conwy LL32 8FA, Wales</t>
  </si>
  <si>
    <t>University of Birmingham</t>
  </si>
  <si>
    <t>Mota, MAD (corresponding author), Univ Birmingham, Sch Geog Earth &amp; Environm Sci, Birmingham B15 2TT, W Midlands, England.</t>
  </si>
  <si>
    <t>mal546@bham.ac.uk</t>
  </si>
  <si>
    <t>De Lira Mota, Marcelo/AAX-1671-2021; Dunkley Jones, Tom/A-8441-2008</t>
  </si>
  <si>
    <t>De Lira Mota, Marcelo/0000-0001-6436-0951; Dunkley Jones, Tom/0000-0002-9518-8143</t>
  </si>
  <si>
    <t>National Council for Scientific and Technological Development (CNPq, Brazil) [206218/2014-1]; Natural Environment Research Council (NERC, UK) [NE/P013112/1]; NERC [NE/P013112/1] Funding Source: UKRI</t>
  </si>
  <si>
    <t>National Council for Scientific and Technological Development (CNPq, Brazil)(Conselho Nacional de Desenvolvimento Cientifico e Tecnologico (CNPQ)); Natural Environment Research Council (NERC, UK)(UK Research &amp; Innovation (UKRI)Natural Environment Research Council (NERC)); NERC(UK Research &amp; Innovation (UKRI)Natural Environment Research Council (NERC))</t>
  </si>
  <si>
    <t>This research has been supported by the National Council for Scientific and Technological Development (CNPq, Brazil) (grant no. 206218/2014-1) and the Natural Environment Research Council (NERC, UK) (standard grant NE/P013112/1).</t>
  </si>
  <si>
    <t>0262-821X</t>
  </si>
  <si>
    <t>2041-4978</t>
  </si>
  <si>
    <t>J MICROPALAEONTOL</t>
  </si>
  <si>
    <t>J. Micropalaentol.</t>
  </si>
  <si>
    <t>10.5194/jm-39-1-2020</t>
  </si>
  <si>
    <t>KA3DB</t>
  </si>
  <si>
    <t>WOS:000505677100001</t>
  </si>
  <si>
    <t>Tabassum, N; Alam, MJ; Kim, JH; Lee, SR; Lee, JH; Park, H; Kim, HW</t>
  </si>
  <si>
    <t>Tabassum, Nazia; Alam, Md. Jobaidul; Kim, Jeong-Hoon; Lee, Soo Rin; Lee, Ji-Hyun; Park, Hyun; Kim, Hyun-Woo</t>
  </si>
  <si>
    <t>Characterization of complete mitochondrial genome of Pogonophryne albipinna (Perciformes: Artedidraconidae)</t>
  </si>
  <si>
    <t>MITOCHONDRIAL DNA PART B-RESOURCES</t>
  </si>
  <si>
    <t>Artedidraconidae; mitogenome; MiSeq; Pogonophryne albipinna</t>
  </si>
  <si>
    <t>The complete mitochondrial genome of Pogonophryne albipinna was determined by the MiSeq platform, which was the first report in the family Artedidraconidae. The circular form of its mitochondrial genome was 17,086bp, which contained the canonical eukaryotic 37 genes. The gene orders of P. albipinna was identical to the other icefish species, in which there was additional non-coding region and translocation of ND6 gene. Except for ATP6 gene and COI (GTG), 11 genes begin with the typical start codon, while incomplete stop codons (T--) were identified in COII, ND4, and CytB. Phylogenetic tree with the currently known mitogenomes in suborder Notothenioidei showed that P. albipinna was located distinctly from those in Bathydraconidae and Nototheniidae forming a unique cluster as Artedidraconidae. The first complete mitochondrial genome of P. albipinna would be the fundamental data to understand the evolutional relationship of icefish species in the Antarctic Oceans.</t>
  </si>
  <si>
    <t>[Tabassum, Nazia; Alam, Md. Jobaidul; Lee, Soo Rin; Kim, Hyun-Woo] Pukyong Natl Univ, Interdisciplinary Program Biomed Mech &amp; Elect En, Busan, South Korea; [Kim, Jeong-Hoon] Korea Polar Res Inst, Korea Ocean Res &amp; Dev Inst, Incheon, South Korea; [Lee, Ji-Hyun; Kim, Hyun-Woo] Pukyong Natl Univ, Dept Marine Biol, Busan 48513, South Korea; [Park, Hyun] Korea Univ, Div Biotechnol, Coll Life Sci &amp; Biotechnol, Seoul, South Korea</t>
  </si>
  <si>
    <t>Pukyong National University; Korea Polar Research Institute (KOPRI); Korea Institute of Ocean Science &amp; Technology (KIOST); Pukyong National University; Korea University</t>
  </si>
  <si>
    <t>Kim, HW (corresponding author), Pukyong Natl Univ, Dept Marine Biol, Busan 48513, South Korea.</t>
  </si>
  <si>
    <t>kimhw@pknu.ac.kr</t>
  </si>
  <si>
    <t>Kim, Hyun-Woo/AFN-9184-2022</t>
  </si>
  <si>
    <t>Kim, Hyun-Woo/0000-0003-1357-5893; Tabassum, Nazia/0000-0002-9314-9124; Park, Hyun/0000-0002-8055-2010; Alam, Md. Jobaidul/0000-0002-3594-8147</t>
  </si>
  <si>
    <t>Ecosystem Structure and Function of Marine Protected Area (MPA) in Antarctica project - Ministry of Oceans and Fisheries, Korea [PM19060, 20170336]</t>
  </si>
  <si>
    <t>Ecosystem Structure and Function of Marine Protected Area (MPA) in Antarctica project - Ministry of Oceans and Fisheries, Korea</t>
  </si>
  <si>
    <t>This research was supported by the Ecosystem Structure and Function of Marine Protected Area (MPA) in Antarctica project (PM19060), funded by the Ministry of Oceans and Fisheries [20170336], Korea.</t>
  </si>
  <si>
    <t>2380-2359</t>
  </si>
  <si>
    <t>MITOCHONDRIAL DNA B</t>
  </si>
  <si>
    <t>Mitochondrial DNA Part B-Resour.</t>
  </si>
  <si>
    <t>10.1080/23802359.2019.1698361</t>
  </si>
  <si>
    <t>OS0DA</t>
  </si>
  <si>
    <t>WOS:000589833400002</t>
  </si>
  <si>
    <t>Ghosn, R</t>
  </si>
  <si>
    <t>Ghosn, Rania</t>
  </si>
  <si>
    <t>A Flooded Thirsty World</t>
  </si>
  <si>
    <t>JOURNAL OF ARCHITECTURAL EDUCATION</t>
  </si>
  <si>
    <t>unbuilt; landscape; society; politics; polemics and argument</t>
  </si>
  <si>
    <t>New stories and images are necessary to bolster an ethical inquiry of climate change and mobilize climate action. But what form should such stories take? In this essay, I argue that speculative fiction can make public the climate crisis, not only as a calamity of the physical environment but also as a predicament of the cultural environment-of the systems of representation through which society has related to complex environmental issues among their various actors and in the vast scales of time and space. The essay amplifies the environmental uncanny to produce a speculative fiction that grapples with something as indescribable as climate change. In conclusion, Of Oil and Ice, a geostory, casts an iceberg as a planetary protagonist and relates its trajectory as it migrates from the Antarctic ice shelf to a glass of water in the Persian Gulf.</t>
  </si>
  <si>
    <t>[Ghosn, Rania] MIT, Architecture &amp; Urbanism, Cambridge, MA 02139 USA</t>
  </si>
  <si>
    <t>Massachusetts Institute of Technology (MIT)</t>
  </si>
  <si>
    <t>Ghosn, R (corresponding author), MIT, Architecture &amp; Urbanism, Cambridge, MA 02139 USA.</t>
  </si>
  <si>
    <t>1046-4883</t>
  </si>
  <si>
    <t>1531-314X</t>
  </si>
  <si>
    <t>J ARCHIT EDUC</t>
  </si>
  <si>
    <t>J. Archit. Educ.</t>
  </si>
  <si>
    <t>10.1080/10464883.2020.1693828</t>
  </si>
  <si>
    <t>Architecture</t>
  </si>
  <si>
    <t>KT6XO</t>
  </si>
  <si>
    <t>WOS:000519158600010</t>
  </si>
  <si>
    <t>Crête, G; Herrmann, TM; Fortin, C; Schüttler, E</t>
  </si>
  <si>
    <t>Crete, Gaelle; Herrmann, Thora Martina; Fortin, Cloe; Schuttler, Elke</t>
  </si>
  <si>
    <t>Public perceptions of non-native plant species on a Chilean sub-Antarctic island</t>
  </si>
  <si>
    <t>POLAR GEOGRAPHY</t>
  </si>
  <si>
    <t>Biological invasions; co-management; community; protected areas; subpolar regions; values</t>
  </si>
  <si>
    <t>POSITIVE INTERACTIONS; BIOLOGICAL INVASIONS; ALIEN; MANAGEMENT; IMPACTS; COMMUNITIES; DISPERSAL; ATTITUDES; SOUTH; STAKEHOLDERS</t>
  </si>
  <si>
    <t>Humans are the main drivers of the introduction, establishment and spread of non-native species worldwide but they have traditionally been excluded from management. Nowadays, the social component of non-native species is increasingly considered. In this paper, we investigated understanding, perceptions and attitudes towards management of non-native herbaceous plant species on Navarino, a remote Chilean sub-Antarctic island. Overall, our study showed a general understanding of the non-native species concept among the interviewees but revealed a lack of consciousness regarding non-native plants species in the local context. Interestingly, our study also revealed many positive values associated with non-native plants species on Navarino, particularly the esthetic value. Whilst some non-native plants were strictly associated with positive values, such as common daisy (Bellis perennis) and white clover (Trifolium repens), most species were associated with conflicting values. As a key result, our study lastly showed that most interviewees were indifferent about the management of the non-native herbaceous plant species. We, therefore, suggest (i) increasing the awareness of stakeholders with respect to non-native plants, (ii) incorporating stakeholder's values into future management decisions and (iii) considering the strategic location of Navarino Island as a potential stepping stone for the dispersion of non-native plants species towards the Antarctic.</t>
  </si>
  <si>
    <t>[Crete, Gaelle; Herrmann, Thora Martina; Fortin, Cloe] Univ Montreal, Dept Geog, Montreal, PQ, Canada; [Schuttler, Elke] Univ Magallanes, Subantarctic Biocultural Conservat Program, Puerto Williams, Chile</t>
  </si>
  <si>
    <t>Universite de Montreal; Universidad de Magallanes</t>
  </si>
  <si>
    <t>Crête, G (corresponding author), Univ Montreal, Dept Geog, Montreal, PQ, Canada.</t>
  </si>
  <si>
    <t>gaelle.crete@umontreal.ca</t>
  </si>
  <si>
    <t>Schuttler, Elke/0000-0001-9143-6237; Crete, Gaelle/0000-0001-7681-7250; Fortin, Cloe/0000-0001-6240-7971</t>
  </si>
  <si>
    <t>Chilean National Commission for Scientific and Technological Research (PAI-CONICYT) [79140024]; ministere de l'Education et de l'Enseignement superieur (MEES) under the scholarship 'Programme de bourses pour de courts sejours d'etudes universitaires a l'exterieur du Quebec' (PBCSE); Faculty of Graduate and Postdoctoral Studies of the Universite de Montreal (FESP)</t>
  </si>
  <si>
    <t>Chilean National Commission for Scientific and Technological Research (PAI-CONICYT); ministere de l'Education et de l'Enseignement superieur (MEES) under the scholarship 'Programme de bourses pour de courts sejours d'etudes universitaires a l'exterieur du Quebec' (PBCSE); Faculty of Graduate and Postdoctoral Studies of the Universite de Montreal (FESP)</t>
  </si>
  <si>
    <t>This study was supported by the Chilean National Commission for Scientific and Technological Research (PAI-CONICYT), call 2014 [grant number 79140024]; The ministere de l'Education et de l'Enseignement superieur (MEES) under the scholarship 'Programme de bourses pour de courts sejours d'etudes universitaires a l'exterieur du Quebec' (PBCSE); and the Faculty of Graduate and Postdoctoral Studies of the Universite de Montreal (FESP).</t>
  </si>
  <si>
    <t>1088-937X</t>
  </si>
  <si>
    <t>1939-0513</t>
  </si>
  <si>
    <t>POLAR GEOGR</t>
  </si>
  <si>
    <t>Polar Geogr.</t>
  </si>
  <si>
    <t>10.1080/1088937X.2019.1707321</t>
  </si>
  <si>
    <t>Geography, Physical</t>
  </si>
  <si>
    <t>Physical Geography</t>
  </si>
  <si>
    <t>KU2NB</t>
  </si>
  <si>
    <t>WOS:000519544100003</t>
  </si>
  <si>
    <t>Wang, YT; Wang, QF; Hou, YH</t>
  </si>
  <si>
    <t>Wang, Yatong; Wang, Quanfu; Hou, Yanhua</t>
  </si>
  <si>
    <t>A New Cold-Adapted and Salt-Tolerant Glutathione Reductase from Antarctic Psychrophilic Bacterium Psychrobacter sp. and Its Resistance to Oxidation</t>
  </si>
  <si>
    <t>glutathione reductase; cold-adapted; Antarctic; antioxidant defense; homology modeling</t>
  </si>
  <si>
    <t>ESCHERICHIA-COLI; GENE-EXPRESSION; PURIFICATION; ENZYME; ADAPTATION; STRESS; OPTIMIZATION; PARAMETERS; CAMPESTRIS; CLONING</t>
  </si>
  <si>
    <t>A new glutathione reductase gene (psgr) coding for glutathione reductase (GR) from an Antarctic bacterium was cloned and overexpressed into Escherichia coli (E. coli). A sequence analysis revealed that PsGR is a protein consisting of 451 amino acids, and homology modeling demonstrated that PsGR has fewer hydrogen bonds and salt bridges, which might lead to improved conformational flexibility at low temperatures. PsGR possesses the flavin adenine dinucleotide (FAD) and nicotinamide adenine dinucleotide phosphate (NADPH) binding motifs. Recombinant PsGR (rPsGR) was purified using Ni-NTA affinity chromatography and was found to have a molecular mass of approximately 53.5 kDa. rPsGR was found to be optimally active at 25 degrees C and a pH of 7.5. It was found to be a cold-adapted enzyme, with approximately 42% of its optimal activity remaining at 0 degrees C. Moreover, rPsGR was most active in 1.0 M NaCl and 62.5% of its full activity remained in 3.0 M NaCl, demonstrating its high salt tolerance. Furthermore, rPsGR was found to have a higher substrate affinity for NADPH than for GSSG (oxidized glutathione). rPsGR provided protection against peroxide (H2O2)-induced oxidative stress in recombinant cells, and displayed potential application as an antioxidant protein. The results of the present study provide a sound basis for the study of the structural characteristics and catalytic characterization of cold-adapted GR.</t>
  </si>
  <si>
    <t>[Wang, Yatong; Wang, Quanfu] Harbin Inst Technol, Sch Environm, Harbin 150090, Peoples R China; [Wang, Quanfu; Hou, Yanhua] Harbin Inst Technol, Sch Marine Sci &amp; Technol, Weihai 264209, Peoples R China</t>
  </si>
  <si>
    <t>Harbin Institute of Technology; Harbin Institute of Technology</t>
  </si>
  <si>
    <t>Wang, QF (corresponding author), Harbin Inst Technol, Sch Environm, Harbin 150090, Peoples R China.;Wang, QF (corresponding author), Harbin Inst Technol, Sch Marine Sci &amp; Technol, Weihai 264209, Peoples R China.</t>
  </si>
  <si>
    <t>wangyatong199311@163.com; wangquanfuhit@hit.edu.cn; marry7718@163.com</t>
  </si>
  <si>
    <t>wang, yatong/KDN-3824-2024</t>
  </si>
  <si>
    <t>National Natural Science Foundation of China, China [41876149]; Key Research and Development Plan of Shandong Province, China [2018GHY11502, 2019GHY112031]; Natural Science Foundation of Shandong Province, China [ZR2017MC046, ZR2019MD018]</t>
  </si>
  <si>
    <t>National Natural Science Foundation of China, China(National Natural Science Foundation of China (NSFC)); Key Research and Development Plan of Shandong Province, China; Natural Science Foundation of Shandong Province, China(Natural Science Foundation of Shandong Province)</t>
  </si>
  <si>
    <t>This work was supported by the National Natural Science Foundation of China, China (grant No. 41876149); the Key Research and Development Plan of Shandong Province, China (grant No. 2018GHY11502 and 2019GHY112031); and the Natural Science Foundation of Shandong Province, China (grant No. ZR2017MC046 and ZR2019MD018).</t>
  </si>
  <si>
    <t>10.3390/ijms21020420</t>
  </si>
  <si>
    <t>KO2KZ</t>
  </si>
  <si>
    <t>WOS:000515380000050</t>
  </si>
  <si>
    <t>Jin, Q; Zhang, LP; Li, D; He, YY; Qu, CF; Miao, JL</t>
  </si>
  <si>
    <t>Jin, Qing; Zhang, Liping; Li, Dan; He, Yingying; Qu, Changfeng; Miao, Jinlai</t>
  </si>
  <si>
    <t>Characterization of the complete chloroplast genome of the Pohlia nutans M211 from Antarctica</t>
  </si>
  <si>
    <t>Pohlia nutans M211; chloroplast genome; phylogenetic tree</t>
  </si>
  <si>
    <t>The Antarctic Pohlia nutans M211 complete chloroplast (cp) genome, sequenced using Illumina NovaSeq PE150, was 125,199 bp in length. It contained 19,836 bp of inverted repeat (IR) regions that separated a large single-copy region (LSC) of 86,738 bp and a small single-copy region (SSC) of 18,580 bp. The whole-genome encodes 132 genes (80 protein-coding genes, 36 tRNA genes, and 8 rRNA genes) and had 29.5% GC content. The M211 was congruent with Sanionia uncinata (KM111545.1) according to the Phylogenetic tree analyses.</t>
  </si>
  <si>
    <t>[Jin, Qing; Zhang, Liping; Li, Dan; Miao, Jinlai] Qingdao Univ Sci &amp; Technol, Coll Chem &amp; Mol Engn, Qingdao, Shandong, Peoples R China; [Jin, Qing; He, Yingying; Qu, Changfeng; Miao, Jinlai] Minist Nat Resource, Inst Oceanog 1, Key Lab Marine Bioact Subst, Qingdao 266061, Shandong, Peoples R China; [Qu, Changfeng; Miao, Jinlai] Qingdao Natl Lab Marine Sci &amp; Technol, Lab Marine Drugs &amp; Bioprod, Qingdao, Shandong, Peoples R China</t>
  </si>
  <si>
    <t>Qingdao University of Science &amp; Technology; Laoshan Laboratory</t>
  </si>
  <si>
    <t>Qu, CF; Miao, JL (corresponding author), Minist Nat Resource, Inst Oceanog 1, Key Lab Marine Bioact Subst, Qingdao 266061, Shandong, Peoples R China.</t>
  </si>
  <si>
    <t>cfqu@fio.org.cn; miaojinlai@fio.org.cn</t>
  </si>
  <si>
    <t>He, Ying Ying/HZL-0137-2023</t>
  </si>
  <si>
    <t>He, Ying Ying/0000-0002-8759-3157</t>
  </si>
  <si>
    <t>National Key Research and Development Program of China [2018YFD0900705]; China Ocean Mineral Resources Research and Development Association [DY135-B2-14]; Natural Science Foundation of Shandong Province [ZR2019BD023]</t>
  </si>
  <si>
    <t>National Key Research and Development Program of China; China Ocean Mineral Resources Research and Development Association; Natural Science Foundation of Shandong Province(Natural Science Foundation of Shandong Province)</t>
  </si>
  <si>
    <t>This work was supported by National Key Research and Development Program of China [2018YFD0900705], the China Ocean Mineral Resources Research and Development Association [DY135-B2-14], and Natural Science Foundation of Shandong Province [ZR2019BD023].</t>
  </si>
  <si>
    <t>10.1080/23802359.2020.1721368</t>
  </si>
  <si>
    <t>KM8BM</t>
  </si>
  <si>
    <t>WOS:000514364300001</t>
  </si>
  <si>
    <t>Cao, P; Song, W; Huang, HL; Li, LZ; Jiang, KJ; Chen, XH</t>
  </si>
  <si>
    <t>Cao, Ping; Song, Wei; Huang, Hongliang; Li, Lingzhi; Jiang, Keji; Chen, Xuezhong</t>
  </si>
  <si>
    <t>The complete mitochondrial genome sequence and gene organization of Cryodraco antarcticus (Perciformes, Channichthyidae) with phylogenetic consideration</t>
  </si>
  <si>
    <t>Cryodraco antarcticus; mitochondrial genome; gene structure; phylogenetic tree</t>
  </si>
  <si>
    <t>The complete mitochondrial genome DNA sequence of Cryodraco antarcticus was 17,857 bp in size. It consists of 13 protein-coding genes, 2 ribosomal RNAs, 22 transfer RNAs, and one control region. Among 22 tRNA genes, 8 tRNAs were encoded on the L-strand. The overall base composition of the genome is 26.45% for A, 25.96% for T, 29.78% for C, and 17.81% for G. The phylogenetic tree suggested C. antarcticus was genetically closest to some species in family Channichthyidae. This study could provide valuable information for further studies on population structure, conservation genetics and molecular evolution of C. antarcticus.</t>
  </si>
  <si>
    <t>[Cao, Ping; Song, Wei; Huang, Hongliang; Li, Lingzhi; Jiang, Keji; Chen, Xuezhong] Chinese Acad Fishery Sci, Key Lab Ocean &amp; Polar Fisheries, Minist Agr, East China Sea Fisheries Res, 300 Jungong Rd, Shanghai 200090, Peoples R China; [Cao, Ping; Song, Wei] Shanghai Ocean Univ, Coll Fisheries &amp; Life Sci, Shanghai, Peoples R China</t>
  </si>
  <si>
    <t>Ministry of Agriculture &amp; Rural Affairs; Chinese Academy of Fishery Sciences; East China Sea Fisheries Research Institute, CAFS; Shanghai Ocean University</t>
  </si>
  <si>
    <t>Song, W (corresponding author), Chinese Acad Fishery Sci, Key Lab Ocean &amp; Polar Fisheries, Minist Agr, East China Sea Fisheries Res, 300 Jungong Rd, Shanghai 200090, Peoples R China.</t>
  </si>
  <si>
    <t>songw@ecsf.ac.cn</t>
  </si>
  <si>
    <t>Li, Lingzhi/K-9055-2016; Jiang, keji/F-1519-2010</t>
  </si>
  <si>
    <t>National Key R&amp;D Program of China [2018YFC1406803]; Chinese National Antarctic Research Expedition [CHINARE2014-01-06]</t>
  </si>
  <si>
    <t>National Key R&amp;D Program of China; Chinese National Antarctic Research Expedition</t>
  </si>
  <si>
    <t>This work was supported by the National Key R&amp;D Program of China [No. 2018YFC1406803] and Chinese National Antarctic Research Expedition [No. CHINARE2014-01-06].</t>
  </si>
  <si>
    <t>10.1080/23802359.2020.1718023</t>
  </si>
  <si>
    <t>KI6IN</t>
  </si>
  <si>
    <t>WOS:000511453300001</t>
  </si>
  <si>
    <t>Scott, F</t>
  </si>
  <si>
    <t>Scott, Frank</t>
  </si>
  <si>
    <t>The Man Who Discovered Antarctica: Edward Bransfield explained, the first man to find and chart the Antarctic mainland</t>
  </si>
  <si>
    <t>MARINERS MIRROR</t>
  </si>
  <si>
    <t>Book Review</t>
  </si>
  <si>
    <t>ROUTLEDGE JOURNALS, TAYLOR &amp; FRANCIS LTD</t>
  </si>
  <si>
    <t>2-4 PARK SQUARE, MILTON PARK, ABINGDON OX14 4RN, OXON, ENGLAND</t>
  </si>
  <si>
    <t>0025-3359</t>
  </si>
  <si>
    <t>2049-680X</t>
  </si>
  <si>
    <t>Mar. Mirror</t>
  </si>
  <si>
    <t>10.1080/00253359.2020.1703405</t>
  </si>
  <si>
    <t>History</t>
  </si>
  <si>
    <t>KG1BH</t>
  </si>
  <si>
    <t>WOS:000509675700020</t>
  </si>
  <si>
    <t>Woulds, C; Bell, JB; Glover, AG; Bouillon, S; Brown, LS</t>
  </si>
  <si>
    <t>Woulds, Clare; Bell, James B.; Glover, Adrian G.; Bouillon, Steven; Brown, Louise S.</t>
  </si>
  <si>
    <t>Benthic carbon fixation and cycling in diffuse hydrothermal and background sediments in the Bransfield Strait, Antarctica</t>
  </si>
  <si>
    <t>RAPID RESPONSE; SEA-FLOOR; FOOD-WEB; VENT; FORAMINIFERA; COMMUNITIES; OXYGEN; FLOWS; RIDGE</t>
  </si>
  <si>
    <t>Sedimented hydrothermal vents are likely to be widespread compared to hard substrate hot vents. They host chemosynthetic microbial communities which fix inorganic carbon (C) at the seafloor, as well as a wide range of macroinfauna, including vent-obligate and background nonvent taxa. There are no previous direct observations of carbon cycling at a sedimented hydrothermal vent. We conducted C-13 isotope tracing experiments at three sedimented sites in the Bransfield Strait, Antarctica, which showed different degrees of hydrothermalism. Two experimental treatments were applied, with C-13 added as either algal detritus (photosynthetic C), or as bicarbonate (substrate for benthic C fixation). Algal C-13 was taken up by both bacteria and metazoan macrofaunal, but its dominant fate was respiration, as observed at deeper and more food-limited sites elsewhere. Rates of C-13 uptake and respiration suggested that the diffuse hydrothermal site was not the hot spot of benthic C cycling that we hypothesised it would be. Fixation of inorganic C into bacterial biomass was observed at all sites, and was measurable at two out of three sites. At all sites, newly fixed C was transferred to metazoan macrofauna. Fixation rates were relatively low compared with similar experiments elsewhere; thus, C fixed at the seafloor was a minor C source for the benthic ecosystem. However, as the greatest amount of benthic C fixation occurred at the Off Vent (non-hydrothermal) site (0.077 +/- 0.034 mg Cm-2 fixed during 60 h), we suggest that benthic fixation of inorganic C is more widespread than previously thought, and warrants further study.</t>
  </si>
  <si>
    <t>[Woulds, Clare; Bell, James B.; Brown, Louise S.] Univ Leeds, Sch Geog, Leeds LS2 9JT, W Yorkshire, England; [Bell, James B.; Brown, Louise S.] Cefas, Pakefield Rd, Lowestoft NR33 0HT, Suffolk, England; [Glover, Adrian G.] Nat Hist Museum, Life Sci Dept, Cromwell Rd, London SW7 5BD, England; [Bouillon, Steven] Katholieke Univ Leuven, Dept Earth &amp; Environm Sci, Leuven, Belgium</t>
  </si>
  <si>
    <t>University of Leeds; Centre for Environment Fisheries &amp; Aquaculture Science; Natural History Museum London; KU Leuven</t>
  </si>
  <si>
    <t>Woulds, C (corresponding author), Univ Leeds, Sch Geog, Leeds LS2 9JT, W Yorkshire, England.</t>
  </si>
  <si>
    <t>c.woulds@leeds.ac.uk</t>
  </si>
  <si>
    <t>Bouillon, Steven/C-5177-2011</t>
  </si>
  <si>
    <t>Bouillon, Steven/0000-0001-7669-2929</t>
  </si>
  <si>
    <t>Antarctic Science Ltd.; Natural Environment Research Council [NE/J013307/1]; NERC [NE/J013307/1] Funding Source: UKRI</t>
  </si>
  <si>
    <t>Antarctic Science Ltd.; Natural Environment Research Council(UK Research &amp; Innovation (UKRI)Natural Environment Research Council (NERC)); NERC(UK Research &amp; Innovation (UKRI)Natural Environment Research Council (NERC))</t>
  </si>
  <si>
    <t>This research has been supported by Antarctic Science Ltd. and the Natural Environment Research Council (grant no. NE/J013307/1).</t>
  </si>
  <si>
    <t>10.5194/bg-17-1-2020</t>
  </si>
  <si>
    <t>KA3AO</t>
  </si>
  <si>
    <t>Green Submitted, Green Accepted, gold, Green Published</t>
  </si>
  <si>
    <t>WOS:000505669100001</t>
  </si>
  <si>
    <t>Wedderburn, SD; Whiterod, NS; Barnes, TC; Shiel, RJ</t>
  </si>
  <si>
    <t>Wedderburn, Scotte D.; Whiterod, Nick S.; Barnes, Thomas C.; Shiel, Russell J.</t>
  </si>
  <si>
    <t>Ecological aspects related to reintroductions to avert the extirpation of a freshwater fish from a large floodplain river</t>
  </si>
  <si>
    <t>AQUATIC ECOLOGY</t>
  </si>
  <si>
    <t>Extinction; Recovery; Diet; Microcrustaceans; Percichthyidae; Gambusia holbrooki</t>
  </si>
  <si>
    <t>GAMBUSIA-HOLBROOKI; PYGMY PERCH; ZOOPLANKTON; MURRAY; ASSEMBLAGE; IMPACTS; GROWTH; COMMUNITIES; RECRUITMENT; PREDATION</t>
  </si>
  <si>
    <t>The factors leading to reintroduction success are rarely determined in species translocation programmes attempting to prevent extirpations. Examining interactions between translocated fish and ecological aspects will provide information to increase success of future reintroduction efforts. The zooplankton are a key food source for small-bodied fishes; therefore, the examination of prey availability may contribute useful insight. Fish that are ecological specialists may have preference for invertebrates associated with specific habitat conditions. Food availability for ecological specialists also may be influenced by the presence of alien fishes, through competition for prey and habitat exclusion, including invasive Eastern Gambusia (Gambusia holbrooki) which is linked to the decline of numerous small-bodied fishes. The Murray-Darling Basin in south-eastern Australia is a highly regulated floodplain system where native fishes have declined over recent decades, especially ecological specialists adapted to ephemeral wetlands with natural flow regimes. Yarra Pygmy Perch (Nannoperca obscura) is an ecological specialist that was extirpated in 2008 during a prolonged drought. The objective of this study is to examine dietary aspects of reintroduced Yarra Pygmy Perch as related to zooplankton prey availability and the potential for competition with Eastern Gambusia. The study demonstrated that prey was being consumed by Yarra Pygmy Perch within 24 h of release and provides evidence of overlap in diet with cohabiting Eastern Gambusia. The findings provide direction for further study and a new understanding regarding reintroduction ecology of threatened small-bodied wetland fishes to aid species recovery and persistence.</t>
  </si>
  <si>
    <t>[Wedderburn, Scotte D.; Shiel, Russell J.] Univ Adelaide, Sch Biol Sci, Adelaide, SA 5005, Australia; [Whiterod, Nick S.] Aquasave Nat Glenelg Trust, Hindmarsh Valley, SA 5211, Australia; [Barnes, Thomas C.] Port Stephens Fisheries Inst, New South Wales Dept Primary Ind, Nelson Bay, NSW 2315, Australia; [Barnes, Thomas C.] Univ Tasmania, Inst Marine &amp; Antarctic Studies, Hobart, Tas 7005, Australia</t>
  </si>
  <si>
    <t>University of Adelaide; NSW Department of Primary Industries; University of Tasmania</t>
  </si>
  <si>
    <t>Wedderburn, SD (corresponding author), Univ Adelaide, Sch Biol Sci, Adelaide, SA 5005, Australia.</t>
  </si>
  <si>
    <t>scotte.wedderburn@adelaide.edu.au; nick.whiterod@aquasave.com.au; thomas.barnes@utas.edu.au</t>
  </si>
  <si>
    <t>Wedderburn, Scotte/0000-0003-3645-6336</t>
  </si>
  <si>
    <t>Living Murray initiative of the Murray-Darling Basin Authority, Australia</t>
  </si>
  <si>
    <t>This project was funded by the Living Murray initiative of the Murray-Darling Basin Authority, Australia. The project was managed by the South Australian Department of Environment, Water and Natural Resources (now Department for Environment and Water, DEW), through the Lower Lakes, Coorong and Murray Mouth icon site staff, Adrienne Rumbelow, Kirsty Wedge and Rebecca Turner. We thank Kevin Wells for his welcomed access to Shadows Lagoon and Stuart Hicks (DEW) for additional site access, Dr Sylvia Zukowski (Aquasave-NGT) for the management of captive Yarra Pygmy Perch and timing reintroductions to suit the study design, Joan Powling for confirming identification of Tiny Duckweed, Professor Luciano Beheregaray and Dr Chris Brauer (Flinders University) for supplying Yarra Pygmy Perch, and the reviewers for their helpful comments and advice. Sampling was conducted in accordance with the University of Adelaide's animal ethics policy (approval number S-2015-160) and the Fisheries Management Act 2007 (Exemption number ME9902752).</t>
  </si>
  <si>
    <t>1386-2588</t>
  </si>
  <si>
    <t>1573-5125</t>
  </si>
  <si>
    <t>AQUAT ECOL</t>
  </si>
  <si>
    <t>Aquat. Ecol.</t>
  </si>
  <si>
    <t>10.1007/s10452-019-09742-z</t>
  </si>
  <si>
    <t>Ecology; Limnology; Marine &amp; Freshwater Biology</t>
  </si>
  <si>
    <t>KI8RM</t>
  </si>
  <si>
    <t>WOS:000505365700001</t>
  </si>
  <si>
    <t>Yuan, ZX; Qin, J; Li, SL; Huang, SJ; Mbululo, Y</t>
  </si>
  <si>
    <t>Yuan, Zhengxuan; Qin, Jun; Li, Shuanglin; Huang, Sijing; Mbululo, Yassin</t>
  </si>
  <si>
    <t>Impact of Spring AAO on Summertime Precipitation in the North China Part: Observational Analysis</t>
  </si>
  <si>
    <t>ASIA-PACIFIC JOURNAL OF ATMOSPHERIC SCIENCES</t>
  </si>
  <si>
    <t>AAO; Sea ice; Stratosphere; Precipitation</t>
  </si>
  <si>
    <t>SOUTHERN ANNULAR MODE; ANTARCTIC OSCILLATION; SEA-ICE; INTERANNUAL VARIABILITY; WESTERN PACIFIC; CIRCULATION; RAINFALL; MONSOON; WINTER</t>
  </si>
  <si>
    <t>By using the 160 stations monthly precipitation data and NOAA-ESRL reanalysis data, the effect of spring Antarctic Oscillation (AAO) on Summer Precipitation in North China (SPNC) is studied. The analysis results show that the positive phase of March AAO leads the easterly-southerly and ascend anomalies in the southern part of North China by affecting zonal wind, and meridional circulation in the Northern Hemisphere (NH) late summer, results in more SPNC. Key regions of Antarctic sea-ice may store preceding March AAO signal which is cross-seasonal sustained by the heat exchanging with underlying surface, and the Summer Antarctic Sea-ice Index (SSI) is defined. The upward and poleward propagations of the planetary wave are enhanced in the Southern Hemisphere (SH) high latitude, and there are significant anomalous variabilities of PSI over SH low latitude, high latitude and polar regions in the high SSI years and vice versa. The wave-current interaction weakens the descending motion over the Antarctic, strengthens the circumpolar westerlies and deepens the SH polar vortex (AAO positive phase) in the high SSI years and vice versa. The results of observation and CAM5 show that SSI is positively correlated with indices of Quasi-Biennial Oscillation (QBOI). In QBO westerly phase, the SPNC anomaly in the high SSI years shows out of phase with that in the low SSI years. In the low SSI years, Rossby wave has the characteristics of anomalous southward propagation which corresponds to the abnormal weakening of ascend motion (the decrease of precipitation) over North China. Accompanied with a significant PSI anomaly, there exists a region of weak to strong wave energy over North China which is regarded as the source region of wave energy in both high and low SSI years of QBO westerly phase. But in QBO easterly phase, SPNC anomaly is not significant. QBO may be a bridge that connecting the signals of zonal wind anomalies in the stratosphere of the SH and the NH.</t>
  </si>
  <si>
    <t>[Yuan, Zhengxuan; Qin, Jun; Li, Shuanglin; Huang, Sijing; Mbululo, Yassin] China Univ Geosci, Sch Environm Studies, Wuhan 430074, Hubei, Peoples R China; [Mbululo, Yassin] Sokoine Univ Agr, Dept Geog &amp; Environm Studies, Morogoro, Tanzania</t>
  </si>
  <si>
    <t>China University of Geosciences; Sokoine University of Agriculture</t>
  </si>
  <si>
    <t>Qin, J (corresponding author), China Univ Geosci, Sch Environm Studies, Wuhan 430074, Hubei, Peoples R China.</t>
  </si>
  <si>
    <t>qinjun@cug.edu.cn</t>
  </si>
  <si>
    <t>Li, Shuanglin/D-5695-2013; huang, sijing/IYS-1040-2023</t>
  </si>
  <si>
    <t>Strategic Priority Research Program of the Chinese Academy of Sciences [XDA19070402]</t>
  </si>
  <si>
    <t>Strategic Priority Research Program of the Chinese Academy of Sciences(Chinese Academy of Sciences)</t>
  </si>
  <si>
    <t>This study is supported by the Strategic Priority Research Program of the Chinese Academy of Sciences (Grant NO. XDA19070402).</t>
  </si>
  <si>
    <t>KOREAN METEOROLOGICAL SOC</t>
  </si>
  <si>
    <t>1510 RENAISSANCE TOWER BLDG, 14, MALLIJAE-RO, MAPO-GU, SEOUL, SEOUL, SOUTH KOREA</t>
  </si>
  <si>
    <t>1976-7633</t>
  </si>
  <si>
    <t>1976-7951</t>
  </si>
  <si>
    <t>ASIA-PAC J ATMOS SCI</t>
  </si>
  <si>
    <t>Asia-Pac. J. Atmos. Sci.</t>
  </si>
  <si>
    <t>10.1007/s13143-019-00157-2</t>
  </si>
  <si>
    <t>PR9ZH</t>
  </si>
  <si>
    <t>WOS:000505487600001</t>
  </si>
  <si>
    <t>Benn, DI; Sugden, DE</t>
  </si>
  <si>
    <t>Benn, Douglas I.; Sugden, David E.</t>
  </si>
  <si>
    <t>West Antarctic ice sheet and CO2 greenhouse effect: a threat of disaster</t>
  </si>
  <si>
    <t>SCOTTISH GEOGRAPHICAL JOURNAL</t>
  </si>
  <si>
    <t>Ice sheet instability; Antarctica; climate change</t>
  </si>
  <si>
    <t>Over 40 years ago, the glaciologist John Mercer warned that parts of the West Antarctic Ice Sheet were at risk of collapse due to the CO2 greenhouse effect. Mercer recognised the unique vulnerability of ice sheets resting on beds far below sea level (marine-based ice sheets), where an initial warming signal can initiate irreversible retreat. In this paper, we review recent work on evidence for ice sheet collapse in warmer periods of the recent geological past, the current behaviour of the ice sheet, and computer models used to predict future ice-sheet response to global warming. Much of this work points in the same direction: warming climates can indeed trigger collapse of marine-based portions of the West Antarctic Ice Sheet, and retreat in response to recent warming has brought parts of the ice sheet to the threshold of instability. Further retreat appears to be inevitable, but the rate of collapse depends critically on future emissions.</t>
  </si>
  <si>
    <t>[Benn, Douglas I.] Univ St Andrews, Sch Geog &amp; Sustainable Dev, St Andrews KY16 9AL, Fife, Scotland; [Sugden, David E.] Univ Edinburgh, Sch Geo Sci, Edinburgh, Midlothian, Scotland</t>
  </si>
  <si>
    <t>University of St Andrews; University of Edinburgh</t>
  </si>
  <si>
    <t>Benn, DI (corresponding author), Univ St Andrews, Sch Geog &amp; Sustainable Dev, St Andrews KY16 9AL, Fife, Scotland.</t>
  </si>
  <si>
    <t>dib2@st-andrews.ac.uk</t>
  </si>
  <si>
    <t>Benn, Douglas/0000-0002-3604-0886</t>
  </si>
  <si>
    <t>NERC [NE/S006605/1] Funding Source: UKRI</t>
  </si>
  <si>
    <t>1470-2541</t>
  </si>
  <si>
    <t>1751-665X</t>
  </si>
  <si>
    <t>SCOT GEOGR J</t>
  </si>
  <si>
    <t>Scott. Geogr. J.</t>
  </si>
  <si>
    <t>1-4</t>
  </si>
  <si>
    <t>10.1080/14702541.2020.1853870</t>
  </si>
  <si>
    <t>QH0PQ</t>
  </si>
  <si>
    <t>WOS:000617980600003</t>
  </si>
  <si>
    <t>B</t>
  </si>
  <si>
    <t>Hauck, M; Leuschner, C; Homeier, J</t>
  </si>
  <si>
    <t>Hauck, Markus; Leuschner, Christoph; Homeier, Jurgen</t>
  </si>
  <si>
    <t>Tundras and polar Deserts</t>
  </si>
  <si>
    <t>KLIMAWANDEL UND VEGETATION-EINE GLOBALE UBERSICHT</t>
  </si>
  <si>
    <t>German</t>
  </si>
  <si>
    <t>Article; Book Chapter</t>
  </si>
  <si>
    <t>GREENLAND ICE-SHEET; MCMURDO DRY VALLEYS; SOIL ORGANIC-MATTER; PLANT COMMUNITY RESPONSES; SOUTHERN VICTORIA LAND; ARCTIC SEA-ICE; ANTARCTIC VASCULAR PLANTS; RECENT TEMPERATURE TRENDS; COUPLED CLIMATE MODEL; WINTER WARMING EVENTS</t>
  </si>
  <si>
    <t>[Hauck, Markus] Albert Ludwigs Univ Freiburg, Angew Vegetat Sokol Fak Umwelt &amp; Nat Ressourcen, Freiburg, Germany; [Leuschner, Christoph; Homeier, Jurgen] Georg August Univ Gottingen, Okol &amp; Okosystemforsch, Albrecht von Haller Inst Pflanzenwissensch, Gottingen, Germany</t>
  </si>
  <si>
    <t>University of Freiburg; University of Gottingen</t>
  </si>
  <si>
    <t>Hauck, M (corresponding author), Albert Ludwigs Univ Freiburg, Angew Vegetat Sokol Fak Umwelt &amp; Nat Ressourcen, Freiburg, Germany.</t>
  </si>
  <si>
    <t>Homeier, Jürgen/G-1662-2011</t>
  </si>
  <si>
    <t>Homeier, Jürgen/0000-0001-5676-3267</t>
  </si>
  <si>
    <t>SPRINGER SPEKTRUM/SPRINGER FACHMEDIEN</t>
  </si>
  <si>
    <t>WIESBADEN</t>
  </si>
  <si>
    <t>ABRAHAM-LINCOLN-STRASSE 46, WIESBADEN, 65189, GERMANY</t>
  </si>
  <si>
    <t>978-3-662-59791-0; 978-3-662-59790-3</t>
  </si>
  <si>
    <t>10.1007/978-3-662-59791-0_3</t>
  </si>
  <si>
    <t>10.1007/978-3-662-59791-0</t>
  </si>
  <si>
    <t>Plant Sciences; Ecology; Environmental Sciences</t>
  </si>
  <si>
    <t>Book Citation Index – Science (BKCI-S)</t>
  </si>
  <si>
    <t>Plant Sciences; Environmental Sciences &amp; Ecology</t>
  </si>
  <si>
    <t>BS4CC</t>
  </si>
  <si>
    <t>WOS:000717158700004</t>
  </si>
  <si>
    <t>C</t>
  </si>
  <si>
    <t>Dichek, DJ; Lawrence, JD; Meister, MR; Spears, AM; Hurwitz, BC; Bryson, F; Washam, PM; Quartini, ES; Kassabian, L; Schmidt, BE</t>
  </si>
  <si>
    <t>IEEE</t>
  </si>
  <si>
    <t>Dichek, D. J.; Lawrence, J. D.; Meister, M. R.; Spears, A. M.; Hurwitz, B. C.; Bryson, F.; Washam, P. M.; Quartini, E. S.; Kassabian, L.; Schmidt, B. E.</t>
  </si>
  <si>
    <t>Empirical Energetic Costs of Under-Ice Surveys to Guide Vehicle and Mission Design</t>
  </si>
  <si>
    <t>GLOBAL OCEANS 2020: SINGAPORE - U.S. GULF COAST</t>
  </si>
  <si>
    <t>OCEANS-IEEE</t>
  </si>
  <si>
    <t>Proceedings Paper</t>
  </si>
  <si>
    <t>Global OCEANS Singapore - U.S. Gulf Coast Conference</t>
  </si>
  <si>
    <t>OCT 05-30, 2020</t>
  </si>
  <si>
    <t>ELECTR NETWORK</t>
  </si>
  <si>
    <t>We present estimates of common actions associated with under-ice surveys and their energetic costs by examining data collected by two versions of the tethered, battery-operated unmanned underwater vehicle Icefin during 175 hours of operations under sea ice, glaciers and ice shelves. Our method and analysis yield design guidance for battery-operated unmanned underwater vehicles (UUVs) based on empirical evidence of the energy used to conduct a variety of oceanographic surveys under ice. Operator decisions are shown to significantly change the variance of a common action, allowing for energy reduction by modifying operator behavior, preventing a costly design change. The total energy released while performing common underice survey actions are shown to illustrate the most significant opportunities for improved efficiency in future vehicle designs.</t>
  </si>
  <si>
    <t>[Dichek, D. J.; Lawrence, J. D.; Meister, M. R.; Spears, A. M.; Hurwitz, B. C.; Bryson, F.; Washam, P. M.; Quartini, E. S.; Kassabian, L.; Schmidt, B. E.] Georgia Inst Technol, Dept Earth &amp; Atmospher Sci, Atlanta, GA 30332 USA</t>
  </si>
  <si>
    <t>University System of Georgia; Georgia Institute of Technology</t>
  </si>
  <si>
    <t>Dichek, DJ (corresponding author), Georgia Inst Technol, Dept Earth &amp; Atmospher Sci, Atlanta, GA 30332 USA.</t>
  </si>
  <si>
    <t>Schmidt, Britney Elyce/0000-0001-7376-8510; Lawrence, Justin/0000-0001-7520-5914</t>
  </si>
  <si>
    <t>RISEUP project, NASA PSTAR grant [NNX16AL07G]; NSF [1739003]; British Antarctic Survey; ITGC MELT project; Office of Polar Programs (OPP); Directorate For Geosciences [1739003] Funding Source: National Science Foundation</t>
  </si>
  <si>
    <t>RISEUP project, NASA PSTAR grant; NSF(National Science Foundation (NSF)); British Antarctic Survey; ITGC MELT project; Office of Polar Programs (OPP); Directorate For Geosciences(National Science Foundation (NSF)NSF - Directorate for Geosciences (GEO))</t>
  </si>
  <si>
    <t>The Icefin vehicle design and equipment along with field deployments from 2017-2019 was funded under the RISEUP project, NASA PSTAR grant NNX16AL07G, principal investigator B.E. Schmidt. The 2019 commissioning of the Icefin V3 vehicle and use at the Thwaites Glacier was supported by the ITGC MELT project, NSF 1739003, with principal investigators Keith Nicholls, David Holland, and Co-PI Schmidt. During the 2019 field season Icefin 2 deployed under the National Science Foundation (NSF) and the United States Antarctic Program (USAP) Event B-041M. Icefin 3 deployed under NSF C-444M (MELT) with additional support from the British Antarctic Survey. Logistical support for the Ross Ice Shelf Field work (PIs Hulbe &amp; Horgan) was provided by Aotearoa Antarctica New Zealand.</t>
  </si>
  <si>
    <t>345 E 47TH ST, NEW YORK, NY 10017 USA</t>
  </si>
  <si>
    <t>0197-7385</t>
  </si>
  <si>
    <t>978-1-7281-5446-6</t>
  </si>
  <si>
    <t>10.1109/IEEECONF38699.2020.9389420</t>
  </si>
  <si>
    <t>Engineering, Marine; Oceanography</t>
  </si>
  <si>
    <t>Conference Proceedings Citation Index - Science (CPCI-S)</t>
  </si>
  <si>
    <t>BR7SW</t>
  </si>
  <si>
    <t>WOS:000669813302120</t>
  </si>
  <si>
    <t>Dowden, B; De Silva, O; Huang, WM</t>
  </si>
  <si>
    <t>Dowden, Benjamin; De Silva, Oscar; Huang, Weimin</t>
  </si>
  <si>
    <t>Sea Ice Image Semantic Segmentation Using Deep Neural Networks</t>
  </si>
  <si>
    <t>Semantic segmentation; neural network; intelligent systems; machine learning</t>
  </si>
  <si>
    <t>Semantic segmentation is the process of classifying pixels in an image into different classes. This method is quite established in autonomous vehicles, biomedical image processing, and remote sensing applications. In this paper, we evaluate the applicability of semantic segmentation for sea ice classification using image feeds from on-board an icebreaker. For this purpose, we evaluate SegNet and PSPNet101 neural network architectures to segment images into four classes: ice, ocean, vessel, and sky. The Nathaniel B. Palmer dataset, which captures 2-month footage of the icebreaker completing an Antarctic expedition was used. A subset of the dataset was labeled to generate a 240-image dataset achieving an accuracy of 97.8% classification for the 26 image test dataset. These results validate the applicability of deep learning methods for sea ice detection using images, which can be further improved by classifying the ice type to support marine navigation and mapping applications.</t>
  </si>
  <si>
    <t>[Dowden, Benjamin; De Silva, Oscar; Huang, Weimin] Mem Univ Newfoundland, Fac Engn &amp; Appl Sci, St John, NF A1B 3X5, Canada</t>
  </si>
  <si>
    <t>Memorial University Newfoundland</t>
  </si>
  <si>
    <t>Dowden, B (corresponding author), Mem Univ Newfoundland, Fac Engn &amp; Appl Sci, St John, NF A1B 3X5, Canada.</t>
  </si>
  <si>
    <t>Huang, Weimin/AAU-1568-2020</t>
  </si>
  <si>
    <t>Huang, Weimin/0000-0001-9622-5041</t>
  </si>
  <si>
    <t>Memorial University of Newfoundland [212754]; Canadian Space Agency CubeSat [17CCPNFL11]</t>
  </si>
  <si>
    <t>Memorial University of Newfoundland; Canadian Space Agency CubeSat(Canadian Space Agency)</t>
  </si>
  <si>
    <t>The authors would like to thank Cassandra Brooks for providing access to the images used to create the dataset. This work was supported by the Memorial University of Newfoundland seed fund 212754 and the Canadian Space Agency CubeSat Grant 17CCPNFL11.</t>
  </si>
  <si>
    <t>10.1109/IEEECONF38699.2020.9389229</t>
  </si>
  <si>
    <t>WOS:000669813301092</t>
  </si>
  <si>
    <t>Meister, M; Dichek, D; Spears, A; Hurwitz, B; Bryson, F; Mullen, A; Lawrence, J; Washam, P; Quartini, E; Lopez, S; Kassabian, L; Anker, P; Mandeno, D; Schmidt, B</t>
  </si>
  <si>
    <t>Meister, Matthew; Dichek, Daniel; Spears, Anthony; Hurwitz, Ben; Bryson, Frances; Mullen, Andrew; Lawrence, Justin; Washam, Peter; Quartini, Enrica; Lopez, Sebastian; Kassabian, Lara; Anker, Paul; Mandeno, Darcy; Schmidt, Britney</t>
  </si>
  <si>
    <t>Antarctic Deep Field Deployments and Design of the Icefin ROV</t>
  </si>
  <si>
    <t>under-ice; unmanned; autonomous; underwater; ROV; AUV; UUV; Antarctica</t>
  </si>
  <si>
    <t>Icefin is a custom designed remotely or autonomously operated vehicle (ROV/AUV) for sub-ice deployments in polar environments with a primary focus on modularity for deploying multiple payloads throughout a season to characterize the under-ice environment. Over the past six years the vehicle has undergone numerous design improvements to become a stable and robust platform. The current primary vehicle design was proven during the 2018 field campaign. With the success of that season, a second vehicle was built to accommodate two field campaigns in austral summer 2019-2020, wherein the vehicle dual Icefin vehicles were deployed through -600m hot water drilled boreholes to investigate the grounding zones of Thwaites Glacier and the Ross Ice Shelf. Presented here is an overview of the engineering design updates that were incorporated from the 2017 season. Also presented are results and lessons learned from the 2019 deployments.</t>
  </si>
  <si>
    <t>[Meister, Matthew; Dichek, Daniel; Spears, Anthony; Hurwitz, Ben; Bryson, Frances; Mullen, Andrew; Lawrence, Justin; Washam, Peter; Quartini, Enrica; Lopez, Sebastian; Kassabian, Lara; Schmidt, Britney] Georgia Inst Technol, Dept Earth &amp; Atmospher Sci, Atlanta, GA 30332 USA; [Anker, Paul] British Antarctic Survey, Polar Oceans Grp, Cambridge, England; [Mandeno, Darcy] Victoria Univ Wellington, Antarctic Res Ctr, Wellington, New Zealand</t>
  </si>
  <si>
    <t>University System of Georgia; Georgia Institute of Technology; UK Research &amp; Innovation (UKRI); Natural Environment Research Council (NERC); NERC British Antarctic Survey; Victoria University Wellington</t>
  </si>
  <si>
    <t>Meister, M (corresponding author), Georgia Inst Technol, Dept Earth &amp; Atmospher Sci, Atlanta, GA 30332 USA.</t>
  </si>
  <si>
    <t>Lopez, Sebastian/HSH-0742-2023</t>
  </si>
  <si>
    <t>Hurwitz, Benjamin C./0000-0003-2670-6514; Schmidt, Britney Elyce/0000-0001-7376-8510; Mullen, Andrew/0000-0002-2819-4797; Lawrence, Justin/0000-0001-7520-5914</t>
  </si>
  <si>
    <t>Georgia Tech; College of Science; School of Earth &amp; Atmospheric Sciences; RISEUP project, NASA PSTAR grant [NNX16AL07G]; ITGC MELT project, NSF [1739003]; British Antarctic Survey; NERC [bas0100033] Funding Source: UKRI</t>
  </si>
  <si>
    <t>Georgia Tech; College of Science; School of Earth &amp; Atmospheric Sciences; RISEUP project, NASA PSTAR grant; ITGC MELT project, NSF; British Antarctic Survey; NERC(UK Research &amp; Innovation (UKRI)Natural Environment Research Council (NERC))</t>
  </si>
  <si>
    <t>Institutional funding to PI Schmidt from Georgia Tech, the College of Science and the School of Earth &amp; Atmospheric Sciences funded the development of the 2014 prototype and recent instrumentation updates. Most vehicle design &amp; components, the 2017-2018 deployments and 2019 Ross Ice Shelf activities were funded under the RISEUP project, NASA PSTAR grant NNX16AL07G, principal investigator B.E. Schmidt. In 2019, commissioning of the Icefin V3 vehicle and deployment was supported by the ITGC MELT project, NSF 1739003, with principal investigators Keith Nicholls and David Holland, Co-PI Schmidt. RISEUP deployed under the National Science Foundation (NSF) and the United States Antarctic Program (USAP) Event B-041M and MELT deployed under NSF C-444M, with additional support from the British Antarctic Survey. Logistical support for the Ross Ice Shelf Field work (PIs Hulbe &amp; Horgan) was provided by Aotearoa Antarctica New Zealand.</t>
  </si>
  <si>
    <t>10.1109/IEEECONF38699.2020.9389361</t>
  </si>
  <si>
    <t>WOS:000669813302061</t>
  </si>
  <si>
    <t>Mullen, AD; Dichek, DJG; Lawrence, JD; Meister, MR; Bryson, FE; Hurwitz, BC; Spears, AM; Washam, PM; Quartini, E; Schmidt, BE</t>
  </si>
  <si>
    <t>Mullen, Andrew D.; Dichek, Daniel J. G.; Lawrence, Justin D.; Meister, Matthew R.; Bryson, Frances E.; Hurwitz, Benjamin C.; Spears, Anthony M.; Washam, Peter M.; Quartini, Enrica; Schmidt, Britney E.</t>
  </si>
  <si>
    <t>A Robust Compact Water Sampler For Underwater Robotic Vehicles</t>
  </si>
  <si>
    <t>water sampling; solenoid pump; 3D printing; pressure compensated; submersible; compact; robotic platform</t>
  </si>
  <si>
    <t>SITU; ANALYZER</t>
  </si>
  <si>
    <t>Here we present the design of a custom water sampling system for use on the underwater robot Icefin. The goals of this instrument are to collect discrete water samples in a compact form factor, operate in extreme underwater environments including high pressure and low temperature settings, and maintain a simple low-cost design. To achieve these objectives the system integrates a fluidic manifold, several compact solenoid pumps and valves, electronic controls, and an oil filled housing. A first-generation version of the water sampler was successfully tested on the underwater robot Icefin during ocean deployments in McMurdo Sound, Antarctica. A second-generation version of the system with a 3D printed manifold and improved capabilities has since been developed and undergone preliminary lab tests.</t>
  </si>
  <si>
    <t>[Mullen, Andrew D.; Dichek, Daniel J. G.; Lawrence, Justin D.; Meister, Matthew R.; Bryson, Frances E.; Hurwitz, Benjamin C.; Spears, Anthony M.; Washam, Peter M.; Quartini, Enrica; Schmidt, Britney E.] Georgia Inst Technol, Sch Earth &amp; Atmospher Sci, Atlanta, GA 30332 USA</t>
  </si>
  <si>
    <t>Mullen, AD (corresponding author), Georgia Inst Technol, Sch Earth &amp; Atmospher Sci, Atlanta, GA 30332 USA.</t>
  </si>
  <si>
    <t>Schmidt, Britney Elyce/0000-0001-7376-8510; Lawrence, Justin/0000-0001-7520-5914; Mullen, Andrew/0000-0002-2819-4797</t>
  </si>
  <si>
    <t>NASA Postdoctoral Program (NPP); RISEUP project, NASA PSTAR grant [NNX16AL07G]; United States Antarctic Program (USAP) [B-041M]</t>
  </si>
  <si>
    <t>NASA Postdoctoral Program (NPP)(National Aeronautics &amp; Space Administration (NASA)); RISEUP project, NASA PSTAR grant; United States Antarctic Program (USAP)</t>
  </si>
  <si>
    <t>The authors would like to thank the NASA Postdoctoral Program (NPP) for providing Dr. Andrew Mullen funding to work this project. Instrument development and testing on Icefin was funded under the RISEUP project, NASA PSTAR grant NNX16AL07G, principal investigator Dr. Britney E. Schmidt. RISEUP deployed to Antarctica under the National Science Foundation (NSF) and the United States Antarctic Program (USAP) Event B-041M. We would also like to thank the entire Icefin team for supporting the deployment of the vehicle for instrument testing performed here. We would also like to thank Dr. Phil Bresnahan for his helpful advice regarding solenoid pumps and oil filled housings.</t>
  </si>
  <si>
    <t>10.1109/IEEECONF38699.2020.9389327</t>
  </si>
  <si>
    <t>WOS:000669813302027</t>
  </si>
  <si>
    <t>Piao, S; Iqbal, K; Zhang, MH; Yahui, L</t>
  </si>
  <si>
    <t>Piao, Shengchun; Iqbal, Kashif; Zhang, Minghui; Yahui, Lei</t>
  </si>
  <si>
    <t>In-situ CTD Data Acquired by Seals along with Data of Argo Floats &amp; Gridded Argo Rallying Observation of Marginalized Polar Regions</t>
  </si>
  <si>
    <t>Argo; CTD Data; CTD-SRDLs equipped animals; Gridded Argo Dataset</t>
  </si>
  <si>
    <t>OCEAN</t>
  </si>
  <si>
    <t>There is a constant increase of temperature on global scale from north to south. An increase of 0.9 degrees Celsius is monitored since 1906 onward. In addition, this increase of temperature is even more at some particular polar areas both in north of 60 degrees N and south of 60 degrees S. Both Arctic and Antarctic regions require oceanographic observations more than ever now. It is pertinent to mention here that during the past decade, though the temperatures in Antarctic have remained consistent but the Arctic has experienced an increase of 0.75 degrees C which appears to be much higher than even the global average. Similarly, the Arctic is going through vanishing ice sheets, a gradual rise of traffic in this particular part of the ocean, and, last but not least, a drastic increase in exploration of natural resources. Furthermore, the ice covering protection of Antarctic requires continuous monitoring &amp; persistent measurement. In this regard, polar Argo buoys have initiated collecting data at poles due to technological improvements in buoys. These improvements include the both way communication with the aid of Iridium satellite network, upgraded software to store winter profiles and algorithm development for avoidance of ice. It is recommended to increase Argo standard sampling (3 degrees x 3 degrees) towards poles by enhancing 285 buoys in the sea of Arctic and 360 in the proximity of Antarctic. It is pertinent to mention here that despite the aforementioned improvements, the Argo buoys still experience varying damages caused to their expensive gear on multiple occasions thus limiting their frequent employments. In addition to that, the survivability of Argo floats is compromised in polar regions as compared to the open global oceans. The accumulative effects of such causes make the cost of even a single Conductivity-Temperature-Depth (from now on CTD) profile to be much costly with regard to the profile obtained from open oceans. Similarly, in order to develop gridded fields of salinity &amp; temperature which optimally preserve the temporal and spatial capacities of the profiling buoys for the Argo array, the In-Situ Analysis System (ISAS) was evolved. In 2009, re-analysis on global scale was conducted for the first time. Since then, this particular system has been upgraded to include all kinds of time series along with the profiles of vertical. These gridded spheres of ISAS are utterly comprising in-situ outcomes. This near real-time temperature-salinity gridded data on the global scale is acquired for the upper 2000 meters. An optimum interpolation is the basis of these gridded Argo data sets. These data sets are considered as a source of observation in the bipolar regions of the globe. Finally, animals are equipped with Autonomous CTD-Satellite Relay Data Loggers (from now on CTD-SRDLs) which are mounted on such animals on land. Then, the data is acquired &amp; stored in the form of hydrographic profiles during their foraging travels. The moment these seals return to surface, the data is transmitted by satellite ARGOS. The ARGOS satellites are responsible to ascertain the position of the seals by employing triangulation. On the Southern fronts of the ocean, data is processed and saved by the Sea Mammal Research Unit (SMRU). This data is then received by the Global Telecommunication System (GTS) in real-time. This particular CTD data undergoes a post-processing proceeding which involve editing, rectification, &amp; subsequent endorsement of hydrographic measurements. These records are then made public via varying portals. In general, such CTD-borne animals are relentlessly recording and offering vertical temperature-salinity profiles up to the depth of 2000 meters. This particular study is aimed at analyzing multifarious ways to obtain better estimation of both thermal &amp; salinity measurements in and around the surroundings of polar regions. To accomplish this, the study discusses viable data in the proximity of bipolar regions from Argo, gridded Argo data sets, and CTD-borne animals in order to highlight the prospect of covering polar oceans. Consequently, the data from the 03 sources is presented both on individual and comparative charts at 02 core locations in the proximity of the polar regions.</t>
  </si>
  <si>
    <t>[Piao, Shengchun; Iqbal, Kashif; Zhang, Minghui; Yahui, Lei] Harbin Engn Univ, Acoust Sci &amp; Technol Lab, Harbin 150001, Peoples R China; [Piao, Shengchun; Iqbal, Kashif; Zhang, Minghui; Yahui, Lei] Harbin Engn Univ, Coll Underwater Acoust Engn, Harbin, Peoples R China</t>
  </si>
  <si>
    <t>Harbin Engineering University; Harbin Engineering University</t>
  </si>
  <si>
    <t>Piao, S (corresponding author), Harbin Engn Univ, Acoust Sci &amp; Technol Lab, Harbin 150001, Peoples R China.;Piao, S (corresponding author), Harbin Engn Univ, Coll Underwater Acoust Engn, Harbin, Peoples R China.</t>
  </si>
  <si>
    <t>piaoshengchun@hrbeu.edu.cn; kashitjamshed607@hotmail.com; zhangminghui@hrbeu.edu.cn; heuhege@hrbeu.edu.cn</t>
  </si>
  <si>
    <t>10.1109/IEEECONF38699.2020.9388976</t>
  </si>
  <si>
    <t>WOS:000669813300008</t>
  </si>
  <si>
    <t>Spears, A; Meister, M; Ramey, C; Lawrence, J; Dichek, D; Washam, P; Schmidt, BE</t>
  </si>
  <si>
    <t>Spears, Anthony; Meister, Matthew; Ramey, Charles; Lawrence, Justin; Dichek, Daniel; Washam, Peter; Schmidt, Britney E.</t>
  </si>
  <si>
    <t>Ice Topography Reconstruction and Panoramic Stitching using Forward Looking Sonar Images</t>
  </si>
  <si>
    <t>sonar; mosaic; stitching; topography; under-ice; underwater; AUV; Antarctica</t>
  </si>
  <si>
    <t>SEQUENCES; TRACKING</t>
  </si>
  <si>
    <t>Forward-looking sonar is one of the most common and powerful instruments available for use in imaging underwater environments. Here, we explore the utility of these sonar sensors for mosaicking, mapping and topography reconstruction of areas of interest in our target under-ice and underwater environments. This is a difficult problem due to the noise in the sonar images as well as the changing appearance of objects when views from different points. Here we address the problem of sonar image alignment through sensor fusion with navigation instruments to provide an initial relative placement between sonar frames. We also discuss the use of such forward looking sonar sensors to build 3D point clouds of the ice topography.</t>
  </si>
  <si>
    <t>[Spears, Anthony; Meister, Matthew; Ramey, Charles; Lawrence, Justin; Dichek, Daniel; Washam, Peter; Schmidt, Britney E.] Georgia Inst Technol, Earth &amp; Atmospher Sci Dept, Atlanta, GA 30332 USA</t>
  </si>
  <si>
    <t>Spears, A (corresponding author), Georgia Inst Technol, Earth &amp; Atmospher Sci Dept, Atlanta, GA 30332 USA.</t>
  </si>
  <si>
    <t>Lawrence, Justin/0000-0001-7520-5914; Schmidt, Britney Elyce/0000-0001-7376-8510</t>
  </si>
  <si>
    <t>NASA PSTAR [NNX16AL07G]; ITGC MELT project; NSF [1739003]; British Antarctic Survey; Aotearoa Antarctica New Zealand; Directorate For Geosciences; Office of Polar Programs (OPP) [1739003] Funding Source: National Science Foundation</t>
  </si>
  <si>
    <t>NASA PSTAR; ITGC MELT project; NSF(National Science Foundation (NSF)); British Antarctic Survey; Aotearoa Antarctica New Zealand; Directorate For Geosciences; Office of Polar Programs (OPP)(National Science Foundation (NSF)NSF - Directorate for Geosciences (GEO))</t>
  </si>
  <si>
    <t>The authors would like to thank the entire Icefin team for supporting the deployment of the vehicle for collection of the data used here. Institutional funding to PI Schmidt from Georgia Tech, the College of Science and the School of Earth &amp; Atmospheric Sciences funded the development of the 2014 prototype and recent instrumentation updates. Most vehicle design &amp; components, the 2017-2018 deployments and 2019 Ross Ice Shelf activities were funded under the RISEUP project, NASA PSTAR grant NNX16AL07G, principal investigator B.E. Schmidt. In 2019, commissioning of the Icefin V3 vehicle and deployment was supported by the ITGC MELT project, NSF 1739003, with principal investigators Keith Nicholls and David Holland, Co-PI Schmidt. RISEUP deployed under the National Science Foundation (NSF) and the United States Antarctic Program (USAP) Event B-041M and MELT deployed under NSF C-444M, with additional support from the British Antarctic Survey. Logistical support for the Ross Ice Shelf Field work (PIs Hulbe &amp; Horgan) was provided by Aotearoa Antarctica New Zealand.</t>
  </si>
  <si>
    <t>10.1109/IEEECONF38699.2020.9389296</t>
  </si>
  <si>
    <t>WOS:000669813301159</t>
  </si>
  <si>
    <t>Palmer, A</t>
  </si>
  <si>
    <t>McCutcheon, J; McGaughey, F</t>
  </si>
  <si>
    <t>Palmer, Alice</t>
  </si>
  <si>
    <t>Image and art in the Whaling in the Antarctic case</t>
  </si>
  <si>
    <t>RESEARCH HANDBOOK ON ART AND LAW</t>
  </si>
  <si>
    <t>LIFE</t>
  </si>
  <si>
    <t>[Palmer, Alice] Melbourne Law Sch, Melbourne, Vic, Australia; [Palmer, Alice] Fdn Int Environm Law &amp; Dev, Melbourne, Vic, Australia</t>
  </si>
  <si>
    <t>University of Melbourne; Melbourne Genomics Health Alliance</t>
  </si>
  <si>
    <t>Palmer, A (corresponding author), Melbourne Law Sch, Melbourne, Vic, Australia.</t>
  </si>
  <si>
    <t>EDWARD ELGAR PUBLISHING LTD</t>
  </si>
  <si>
    <t>CHELTENHAM</t>
  </si>
  <si>
    <t>THE LYPIATTS, 15 LANSDOWN RD, CHELTENHAM GL50 2JA, GLOS, ENGLAND</t>
  </si>
  <si>
    <t>978-1-78897-147-8; 978-1-78897-146-1</t>
  </si>
  <si>
    <t>10.4337/9781788971478</t>
  </si>
  <si>
    <t>Art; Law</t>
  </si>
  <si>
    <t>Book Citation Index – Social Sciences &amp; Humanities (BKCI-SSH)</t>
  </si>
  <si>
    <t>Art; Government &amp; Law</t>
  </si>
  <si>
    <t>BR1IJ</t>
  </si>
  <si>
    <t>WOS:000632574900027</t>
  </si>
  <si>
    <t>S</t>
  </si>
  <si>
    <t>Cairo, F; Colavitto, T</t>
  </si>
  <si>
    <t>Kokhanovsky, A; Tomasi, C</t>
  </si>
  <si>
    <t>Cairo, Francesco; Colavitto, Tiziana</t>
  </si>
  <si>
    <t>Polar Stratospheric Clouds in the Arctic</t>
  </si>
  <si>
    <t>PHYSICS AND CHEMISTRY OF THE ARCTIC ATMOSPHERE</t>
  </si>
  <si>
    <t>Springer Polar Sciences</t>
  </si>
  <si>
    <t>Polar Stratospheric Clouds; ClO dimer; Lidar; Balloon campaigns; Aircraft campaigns; Microphysics; Ozone; Nitric acid; Stratospheric aerosol; Polar vortex; Sulphuric acid; CFCs; Nitric acid Trihydrate; Type Ia; Type Ib; Type II; Sulphuric acid Tetrahydrate; Supercooled ternary solution; Stratospheric sulphate aerosol; Chlorine; Bromine</t>
  </si>
  <si>
    <t>NITRIC-ACID TRIHYDRATE; LARGE HNO3-CONTAINING PARTICLES; AIRBORNE LIDAR OBSERVATIONS; TOTAL REACTIVE NITROGEN; GRAVITY-WAVE ACTIVITY; ANTARCTIC OZONE HOLE; IN-SITU MEASUREMENTS; MIDDLE ATMOSPHERE; VOLCANIC AEROSOL; SOLID PARTICLES</t>
  </si>
  <si>
    <t>Polar ozone depletion is a major environmental issue, for the alterations induced on the chemical-physical equilibrium of the stratosphere and their impact on planetary climate and ecosystem. Early studies recognized that Polar Stratospheric Clouds (PSCs) play a crucial role in this process, for being the primary surfaces where heterogeneous chemical reactions promote the formation of species responsible for ozone removal. In addition, PSC particle formation scavenges nitric acid and water vapor from the gas phase, causing denitrification and dehydration. As denitrification enhances chlorine radical lifetime, PSCs become a significant element for the chemical balance of the polar stratosphere. A brief survey of the chemistry of the stratospheric ozone and of stratospheric particles is here given, together with an outline of the dynamic of the stratosphere with emphasis on the polar regions. It is then presented the effect of the CFCs in the perturbation of the ozone chemistry in the winter polar stratosphere, and the twofold role of Polar Stratospheric Clouds, promoting the release of active chlorine from its reservoir species and denitrifying the stratosphere upon condensation of nitric acid and further removal by particle gravitational settling, is discussed. A survey of the main scientific activities carried out in the arctic to study the processes in which PSC are involved is then provided. An illustration on PSC formation microphysics theories, and related open issues, ends the chapter.</t>
  </si>
  <si>
    <t>[Cairo, Francesco] Natl Res Council Italy, Inst Atmospher Sci &amp; Climate, Rome, Italy; [Colavitto, Tiziana] State Sci High Sch Giuseppe Peano, Rome, Italy</t>
  </si>
  <si>
    <t>Consiglio Nazionale delle Ricerche (CNR); Istituto di Scienze dell'Atmosfera e del Clima (ISAC-CNR)</t>
  </si>
  <si>
    <t>Cairo, F (corresponding author), Natl Res Council Italy, Inst Atmospher Sci &amp; Climate, Rome, Italy.</t>
  </si>
  <si>
    <t>F.cairo@isac.cnr.it; t.colavitto@libero.it</t>
  </si>
  <si>
    <t>SPRINGER INTERNATIONAL PUBLISHING AG</t>
  </si>
  <si>
    <t>CHAM</t>
  </si>
  <si>
    <t>GEWERBESTRASSE 11, CHAM, CH-6330, SWITZERLAND</t>
  </si>
  <si>
    <t>2510-0475</t>
  </si>
  <si>
    <t>2510-0483</t>
  </si>
  <si>
    <t>978-3-030-33566-3; 978-3-030-33565-6</t>
  </si>
  <si>
    <t>SPR POLAR SCI</t>
  </si>
  <si>
    <t>10.1007/978-3-030-33566-3_7</t>
  </si>
  <si>
    <t>10.1007/978-3-030-33566-3</t>
  </si>
  <si>
    <t>BR9TN</t>
  </si>
  <si>
    <t>WOS:000679977700008</t>
  </si>
  <si>
    <t>Shibuya, R</t>
  </si>
  <si>
    <t>Dynamical Characteristics of Inertia-Gravity Waves in the Antarctic Mesosphere: Analyses Combining High-Resolution Observations and Modeling</t>
  </si>
  <si>
    <t>DYNAMICAL CHARACTERISTICS OF INERTIA-GRAVITY WAVES IN THE ANTARCTIC MESOSPHERE: ANALYSES COMBINING HIGH-RESOLUTION OBSERVATIONS AND MODELING</t>
  </si>
  <si>
    <t>Springer Theses-Recognizing Outstanding PhD Research</t>
  </si>
  <si>
    <t>Book</t>
  </si>
  <si>
    <t>SPRINGER-VERLAG SINGAPORE PTE LTD</t>
  </si>
  <si>
    <t>SINGAPORE</t>
  </si>
  <si>
    <t>152 BEACH ROAD, #21-01/04 GATEWAY EAST, SINGAPORE, 189721, SINGAPORE</t>
  </si>
  <si>
    <t>2190-5053</t>
  </si>
  <si>
    <t>2190-5061</t>
  </si>
  <si>
    <t>978-981-13-9085-2; 978-981-13-9084-5</t>
  </si>
  <si>
    <t>SPRINGER THESES-RECO</t>
  </si>
  <si>
    <t>10.1007/978-981-13-9085-2</t>
  </si>
  <si>
    <t>BR8FM</t>
  </si>
  <si>
    <t>WOS:000671810200006</t>
  </si>
  <si>
    <t>Shibuya, Ryosuke</t>
  </si>
  <si>
    <t>Dynamical Characteristics of Inertia-Gravity Waves in the Antarctic Mesosphere Analyses Combining High-Resolution Observations and Modeling Introduction</t>
  </si>
  <si>
    <t>Editorial Material; Book Chapter</t>
  </si>
  <si>
    <t>Gravity wave; Observation; Numerical model</t>
  </si>
  <si>
    <t>EXTRATROPICAL TROPOPAUSE REGION; GENERAL-CIRCULATION; MIDDLE-ATMOSPHERE; MOMENTUM FLUX; LOWER STRATOSPHERE; SATELLITE-OBSERVATIONS; DRAG PARAMETERIZATION; SEASONAL-VARIATION; RADAR OBSERVATIONS; LIMS TEMPERATURES</t>
  </si>
  <si>
    <t>This chapter describes a general introduction about previous studies of atmospheric gravity waves. Atmospheric gravity waves have been examined using many types of observational instruments and numerical models. Based on these findings, it has been widely recognized that further constraints for dynamical properties of gravity waves in the Southern Hemisphere middle atmosphere are inevitably required by using both a new observational instrument with fine vertical resolution and a numerical model with high resolution which explicitly resolve fine-scale gravity waves. This study aims to elucidate the dynamical characteristics of gravity waves in the Antarctic mesosphere such as wave parameters, propagation and generation mechanisms, by utilizing two novel methods; a first MesosphereStratosphere-Troposphere/Incoherent Scattering (MST/IS) radar in theAntarctic and a first high-top non-hydrostatic global atmospheric model.</t>
  </si>
  <si>
    <t>[Shibuya, Ryosuke] Univ Tokyo, Atmosphere &amp; Ocean Res Inst, Kashiwa, Chiba, Japan</t>
  </si>
  <si>
    <t>University of Tokyo</t>
  </si>
  <si>
    <t>Shibuya, R (corresponding author), Univ Tokyo, Atmosphere &amp; Ocean Res Inst, Kashiwa, Chiba, Japan.</t>
  </si>
  <si>
    <t>10.1007/978-981-13-9085-2_1</t>
  </si>
  <si>
    <t>WOS:000671810200002</t>
  </si>
  <si>
    <t>Sharma, P; Patel, LK; Singh, AT; Meloth, T; Ravindra, R</t>
  </si>
  <si>
    <t>Goel, PS; Ravindra, R; Chattopadhyay, S</t>
  </si>
  <si>
    <t>Sharma, Parmanand; Patel, Lavkush Kumar; Singh, Ajit T.; Meloth, Thamban; Ravindra, Rasik</t>
  </si>
  <si>
    <t>Glacier Response to Climate in Arctic and Himalaya During Last Seventeen Years: A Case Study of Svalbard, Arctic and Chandra Basin, Himalaya</t>
  </si>
  <si>
    <t>CLIMATE CHANGE AND THE WHITE WORLD</t>
  </si>
  <si>
    <t>Glaciers; Ice caps; Mass balance; Himalaya; Arctic</t>
  </si>
  <si>
    <t>CHHOTA SHIGRI GLACIER; MASS-BALANCE; WESTERN HIMALAYA; HIMACHAL-PRADESH; ICE CAPS; 20-1ST CENTURY; DEBRIS COVER; VARIABILITY; MONSOON; RUNOFF</t>
  </si>
  <si>
    <t>Glaciers are widely known as one of the best indicators of climate change impacting the Earth over past few centuries. The glaciers are melting world over and those in Arctic and Himalaya are no exception. Both of these regions are second only to Antarctic and Greenland, in terms of vast coverage of snow and ice. The Svalbard glaciers and ice caps cover an area of 34,600 km(2) with a total ice volume of roughly 7000 km(3) while Himalaya occupy nearly 38,000 Km(2) area. Himalaya, which is considered water tower for Asia because of presence of thousands of glaciers, has shown enhanced melting of its glaciers during past one and a half decade. Since more than 1.3 billion people living in the major river basins downstream, depend upon the water for their survival, the management of water resources is a key responsibility of resources managers. The Arctic area demonstrates high latitude -low altitude glaciated area, the Himalayan glaciers on the other hand represent a terrain of high altitude but low latitudes. In spite of having these contrasting geographical attributes, the glaciers in both the regions show a general increased melting during the present decades. The climate response of large fraction of glaciers of Arctic and Himalaya is significantly linked with atmospheric changes and ocean circulation. Atmospheric changes are one of the main influencing factors for Himalayan glaciers whereas for Arctic region, atmospheric changes and ocean circulations together influence the glaciers. Snow and glaciers melt in Arctic enhanced significantly due to large temperature changes, changes in sea ice cover, atmospheric flow patterns and precipitation. Ocean circulation close to fjord modulates melt rates of marine-terminating glaciers all over the Arctic. The mass balance data from both the region has been used to address the questions of how rapidly these glaciers are adjusting to climate. The mean annual mass balance of Chandra basin and Svalbard Arctic area, during last one and a half decade, is -0.67 +/- 0.14 m w.e. and -0.36 +/- 0.02 m w.e., -respectively. There has been a gradual warming with an apparent stronger trend observed in both the regions during the last one and half decade.</t>
  </si>
  <si>
    <t>[Sharma, Parmanand; Patel, Lavkush Kumar; Singh, Ajit T.; Meloth, Thamban; Ravindra, Rasik] Natl Ctr Polar &amp; Ocean Res, Vasco Da Gama, Goa, India</t>
  </si>
  <si>
    <t>Sharma, P (corresponding author), Natl Ctr Polar &amp; Ocean Res, Vasco Da Gama, Goa, India.</t>
  </si>
  <si>
    <t>pnsharma@ncaor.gov.in</t>
  </si>
  <si>
    <t>Patel, Lavkush/AGQ-2159-2022</t>
  </si>
  <si>
    <t>978-3-030-21679-5; 978-3-030-21678-8</t>
  </si>
  <si>
    <t>10.1007/978-3-030-21679-5_10</t>
  </si>
  <si>
    <t>10.1007/978-3-030-21679-5</t>
  </si>
  <si>
    <t>BR8IE</t>
  </si>
  <si>
    <t>WOS:000672411400012</t>
  </si>
  <si>
    <t>Quasi-12 h Inertia-GravityWaves in the Lower Mesosphere Observed by the PANSY Radar at Syowa Station (39.6 °E, 69.0 °S)</t>
  </si>
  <si>
    <t>Gravity wave; Mesosphere; Dynamics</t>
  </si>
  <si>
    <t>SOUTH-POLE; PART I; SPONTANEOUS RADIATION; 12-HOUR OSCILLATION; MIDDLE-ATMOSPHERE; MESOPAUSE REGION; WINTER ECHOES; METEOR RADAR; MF RADAR; WAVES</t>
  </si>
  <si>
    <t>In this chapter, data from the first observation by a complete system of the PANSY radar in March 16-24, 2015 are examined. During this observation period, strong wave-like wind disturbances propagating phases downward are observed in the mesosphere. The zonal wind amplitude is about 30 m s(-1). Observed vertical wavelengths and wave periods are 13 km and about 12 h, respectively. To explore dynamics of the wave disturbances, a model simulation is performed using a hightop NICAM employing the newly-developed stretched grid system by Shibuya et al. [59]. Strong wind disturbances with wave periods of 10-13 h in the mesosphere similar to the PANSY radar observations are successfully simulated. Based on the analysis using time and special filters, it is inferred that the wind disturbances in the mesosphere are not due to semi-diurnal tides, but due to inertia-gravity waves with horizontal wavelengths longer than 1000 km. Furthermore, the propagation and generation mechanisms of the inertia-gravity waves are discussed. Note that the results in this chapter have already been published as a paper in Atmospheric Chemistry and Physics [60].</t>
  </si>
  <si>
    <t>10.1007/978-981-13-9085-2_2</t>
  </si>
  <si>
    <t>WOS:000671810200003</t>
  </si>
  <si>
    <t>Gravity Wave Characteristics in the Winter Antarctic Mesosphere by a Long-Term Numerical Simulation Using a Non-hydrostatic General Circulation Model</t>
  </si>
  <si>
    <t>PERIOD PLANETARY-WAVES; SYOWA STATION; MOMENTUM FLUX; PANSY RADAR; RESOLUTION; MIDDLE; ATMOSPHERE; LIDAR</t>
  </si>
  <si>
    <t>In this chapter, a long-term simulation using the high-top non-hydrostatic general circulation model is carried out to examine mesospheric gravity waves observed by the PANSY radar in five months from April to August 2016. Successive runs lasting 7 days are made from the MERRA reanalysis data with an overlap of two days between each run. The data for analyses are prepared by extracting the last five days of each simulation. The simulated wind fields are closely compared to the PANSY radar observations and the MERRA reanalysis data. Moreover, statistical characteristics of the mesospheric disturbances simulated by NICAM such as. spectra of each variable, kinetic and potential energies, momentum and energy fluxes of gravity waves are examined.</t>
  </si>
  <si>
    <t>10.1007/978-981-13-9085-2_3</t>
  </si>
  <si>
    <t>WOS:000671810200004</t>
  </si>
  <si>
    <t>Summary and Concluding Remarks</t>
  </si>
  <si>
    <t>Gravity wave; Numerical simulation; High resolution observation; Dynamics</t>
  </si>
  <si>
    <t>In this chapter, the main results revealed by the combination of the PANSY radar observation and a long-term simulation using the high-top non-hydrostatic general circulation model, which are closely described in Sections 2 and 3 are summarized. In Section 2, it was shown that, during the first observations made by a complete PANSY radar system (Program of the Antarctic Syowa MST/IS radar) installed at Syowa Station from 16 to 24March 2015, quasi-12 h period disturbances in the mesosphere at heights of 70 to 80 km were observed. Combining the observational data and numerical simulation outputs, we found that quasi-12 h disturbances are due to large-scale inertia-gravity waves, not to semi-diurnal migrating tides. In Section 3, the first long-term simulation using the high-top non-hydrostatic general circulation model (NICAM) was executed to analyze mesospheric gravity waves. A new finding in Section 3 is that the spectrum of the vertical fluxes of the zonal momentum has an isolated peak at frequencies slightly lower than f at latitudes from 30 to 75 degrees S at a height of 70 km. Section 3 also discusses the physical mechanism for an explanation of the existence of the isolated spectrum peak in the mesosphere. Last, a possible future study is shortly mentioned.</t>
  </si>
  <si>
    <t>10.1007/978-981-13-9085-2_4</t>
  </si>
  <si>
    <t>WOS:000671810200005</t>
  </si>
  <si>
    <t>Sato, K</t>
  </si>
  <si>
    <t>Sato, Kaoru</t>
  </si>
  <si>
    <t>Dynamical Characteristics of Inertia-Gravity Waves in the Antarctic Mesosphere Analyses Combining High-Resolution Observations and Modeling Supervisor's Foreword</t>
  </si>
  <si>
    <t>[Sato, Kaoru] Univ Tokyo, Grad Sch Sci, Dept Earth &amp; Planetary Sci, Tokyo, Japan</t>
  </si>
  <si>
    <t>Sato, K (corresponding author), Univ Tokyo, Grad Sch Sci, Dept Earth &amp; Planetary Sci, Tokyo, Japan.</t>
  </si>
  <si>
    <t>VII</t>
  </si>
  <si>
    <t>X</t>
  </si>
  <si>
    <t>WOS:000671810200001</t>
  </si>
  <si>
    <t>Bruinsma, WP; Perim, E; Tebbutt, W; Hosking, JS; Solin, A; Turner, RE</t>
  </si>
  <si>
    <t>Daume, H; Singh, A</t>
  </si>
  <si>
    <t>Bruinsma, Wessel P.; Perim, Eric; Tebbutt, Will; Hosking, J. Scott; Solin, Arno; Turner, Richard E.</t>
  </si>
  <si>
    <t>Scalable Exact Inference in Multi-Output Gaussian Processes</t>
  </si>
  <si>
    <t>INTERNATIONAL CONFERENCE ON MACHINE LEARNING, VOL 119</t>
  </si>
  <si>
    <t>Proceedings of Machine Learning Research</t>
  </si>
  <si>
    <t>International Conference on Machine Learning (ICML)</t>
  </si>
  <si>
    <t>JUL 13-18, 2020</t>
  </si>
  <si>
    <t>CLIMATE</t>
  </si>
  <si>
    <t>Multi-output Gaussian processes (MOGPs) leverage the flexibility and interpretability of GPs while capturing structure across outputs, which is desirable, for example, in spatio-temporal modelling. The key problem with MOGPs is their computational scaling O(n(3)p(3)), which is cubic in the number of both inputs n (e.g., time points or locations) and outputs p. For this reason, a popular class of MOGPs assumes that the data live around a low-dimensional linear subspace, reducing the complexity to O (n(3)m(3)). However, this cost is still cubic in the dimensionality of the subspace m, which is still prohibitively expensive for many applications. We propose the use of a sufficient statistic of the data to accelerate inference and learning in MOGPs with orthogonal bases. The method achieves linear scaling in m in practice, allowing these models to scale to large m without sacrificing significant expressivity or requiring approximation. This advance opens up a wide range of real-world tasks and can be combined with existing GP approximations in a plug-and-play way. We demonstrate the efficacy of the method on various synthetic and real-world data sets.</t>
  </si>
  <si>
    <t>[Bruinsma, Wessel P.; Tebbutt, Will; Turner, Richard E.] Univ Cambridge, Cambridge, England; [Bruinsma, Wessel P.; Perim, Eric] Invenia Labs, Cambridge, England; [Hosking, J. Scott] British Antarctic Survey, Cambridge, England; [Hosking, J. Scott] Alan Turing Inst, London, England; [Solin, Arno] Aalto Univ, Espoo, Finland; [Turner, Richard E.] Microsoft Res, Redmond, WA USA</t>
  </si>
  <si>
    <t>University of Cambridge; UK Research &amp; Innovation (UKRI); Natural Environment Research Council (NERC); NERC British Antarctic Survey; Aalto University; Microsoft</t>
  </si>
  <si>
    <t>Bruinsma, WP (corresponding author), Univ Cambridge, Cambridge, England.;Bruinsma, WP (corresponding author), Invenia Labs, Cambridge, England.</t>
  </si>
  <si>
    <t>wpb23@cam.ac.uk</t>
  </si>
  <si>
    <t>Solin, Arno/G-6859-2012</t>
  </si>
  <si>
    <t>Solin, Arno/0000-0002-0958-7886</t>
  </si>
  <si>
    <t>DeepMind; EPSRC [EP/T001569/1, EP/M0269571, EP/L000776/1]; NERC [NE/N018028/1]; Academy of Finland [308640, 324345]; Google; Amazon; ARM; Improbable</t>
  </si>
  <si>
    <t>DeepMind; EPSRC(UK Research &amp; Innovation (UKRI)Engineering &amp; Physical Sciences Research Council (EPSRC)); NERC(UK Research &amp; Innovation (UKRI)Natural Environment Research Council (NERC)); Academy of Finland(Research Council of Finland); Google(Google Incorporated); Amazon; ARM; Improbable</t>
  </si>
  <si>
    <t>WT acknowledges funding from DeepMind. JSH is supported by EPSRC grant EP/T001569/1, and NERC grant NE/N018028/1. AS acknowledges funding from the Academy of Finland (grant numbers 308640 and 324345). RET is supported by Google, Amazon, ARM, Improbable and EPSRC grants EP/M0269571 and EP/L000776/1.</t>
  </si>
  <si>
    <t>JMLR-JOURNAL MACHINE LEARNING RESEARCH</t>
  </si>
  <si>
    <t>1269 LAW ST, SAN DIEGO, CA, UNITED STATES</t>
  </si>
  <si>
    <t>2640-3498</t>
  </si>
  <si>
    <t>PR MACH LEARN RES</t>
  </si>
  <si>
    <t>Computer Science, Artificial Intelligence</t>
  </si>
  <si>
    <t>Computer Science</t>
  </si>
  <si>
    <t>BS0LL</t>
  </si>
  <si>
    <t>WOS:000683178501027</t>
  </si>
  <si>
    <t>Bienert, NL; Schroeder, DM; Peters, ST; Siegfried, MR</t>
  </si>
  <si>
    <t>Bienert, Nicole L.; Schroeder, Dustin M.; Peters, Sean T.; Siegfried, Matthew R.</t>
  </si>
  <si>
    <t>PROCESSING-BASED SYNCHRONIZATION APPROACH FOR BISTATIC RADAR GLACIAL TOMOGRAPHY</t>
  </si>
  <si>
    <t>IGARSS 2020 - 2020 IEEE INTERNATIONAL GEOSCIENCE AND REMOTE SENSING SYMPOSIUM</t>
  </si>
  <si>
    <t>IEEE International Symposium on Geoscience and Remote Sensing IGARSS</t>
  </si>
  <si>
    <t>IEEE International Geoscience and Remote Sensing Symposium (IGARSS)</t>
  </si>
  <si>
    <t>SEP 26-OCT 02, 2020</t>
  </si>
  <si>
    <t>bistatic radar; synchronization; phase alignment; radio echo sounder; glaciology</t>
  </si>
  <si>
    <t>We develop and test a bistatic radar system and processing chain that recovers weak echoes at large antenna separations, which is a necessary step towards high precision temperature inversions. Traditional ice penetrating radars have limited capacity to infer temperature distributions because monostatic measurements do not provide sufficient information to resolve the depth-dependent ice temperature profile. Bistatic radar introduces quasi-independent measurements that can address this challenge, but existing systems are unable to attain the large antenna separations necessary to resolve the small temperature gradients important to glaciological processes. Existing bistatic systems are either limited in antenna separation by losses in synchronization cables or by poor signal-to-noise-ratio (SNR) for unsynchronized systems. We address this challenge through coherent summation of phase re-aligned signals to recover the basal and internal layer reflections at large antenna separations without requiring hardware synchronization. The system consists of an Autonomous Phase-sensitive Radio Echo Sounder (ApRES) as the transmitter and a Software Defined Radio (SDR) as the receiver. We assess the system's capacity to achieve high SNRs and large offsets at Whillans Ice Stream, West Antarctica, with up to a 1.3 km antenna separation. This experiment charts a course for even larger antenna separations to resolve small temperature signals with high fidelity.</t>
  </si>
  <si>
    <t>[Bienert, Nicole L.; Schroeder, Dustin M.; Peters, Sean T.] Stanford Univ, Dept Elect Engn, Stanford, CA 94305 USA; [Schroeder, Dustin M.] Stanford Univ, Dept Geophys, Stanford, CA 94305 USA; [Siegfried, Matthew R.] Colorado Sch Mines, Dept Geophys, Golden, CO USA</t>
  </si>
  <si>
    <t>Stanford University; Stanford University; Colorado School of Mines</t>
  </si>
  <si>
    <t>Bienert, NL (corresponding author), Stanford Univ, Dept Elect Engn, Stanford, CA 94305 USA.</t>
  </si>
  <si>
    <t>Peters, Sean/AAG-6372-2021</t>
  </si>
  <si>
    <t>Peters, Sean/0000-0003-2527-8271; Bienert, Nicole/0000-0002-9428-327X; Schroeder, Dustin/0000-0003-1916-3929</t>
  </si>
  <si>
    <t>NSF [1543441, DGE-1656518]; NASA Cryospheric Sciences program; Antarctic Support Contract; Office of Polar Programs (OPP); Directorate For Geosciences [1543441] Funding Source: National Science Foundation</t>
  </si>
  <si>
    <t>NSF(National Science Foundation (NSF)); NASA Cryospheric Sciences program(National Aeronautics &amp; Space Administration (NASA)); Antarctic Support Contract; Office of Polar Programs (OPP); Directorate For Geosciences(National Science Foundation (NSF)NSF - Directorate for Geosciences (GEO))</t>
  </si>
  <si>
    <t>We thank Chloe Gustafson for fieldwork assistance, Ben Galton-Fenzi and Sue Cook from the Australian Antarctic Division for loaning field equipment, and Antarctic Support Contract, the New York Air National Guard, and UNAVCO for Antarctic logistical support. Fieldwork and N. Bienert were supported by NSF grants 1543441 and DGE-1656518 respectively. Both N.B. and D.S. were partially supported by a grant from the NASA Cryospheric Sciences program.</t>
  </si>
  <si>
    <t>2153-6996</t>
  </si>
  <si>
    <t>978-1-7281-6374-1</t>
  </si>
  <si>
    <t>INT GEOSCI REMOTE SE</t>
  </si>
  <si>
    <t>10.1109/IGARSS39084.2020.9323969</t>
  </si>
  <si>
    <t>Computer Science, Artificial Intelligence; Environmental Sciences; Geosciences, Multidisciplinary; Remote Sensing; Optics</t>
  </si>
  <si>
    <t>Computer Science; Environmental Sciences &amp; Ecology; Geology; Remote Sensing; Optics</t>
  </si>
  <si>
    <t>BR6WH</t>
  </si>
  <si>
    <t>WOS:000664335301123</t>
  </si>
  <si>
    <t>Liang, S; Zeng, JY; Li, Z; Chen, KS; Zhang, P</t>
  </si>
  <si>
    <t>Liang, Shuang; Zeng, Jiangyuan; Li, Zhen; Chen, Kun-Shan; Zhang, Ping</t>
  </si>
  <si>
    <t>ASSESSMENT OF FOUR PASSIVE MICROWAVE SEA ICE CONCENTRATIONS BY USING AUTOMATIC MODIS SEA ICE CLASSIFICATION</t>
  </si>
  <si>
    <t>sea ice concentration; passive microwave; MODIS; assessment; Otsu algorithm</t>
  </si>
  <si>
    <t>This paper assessed the accuracy of four passive microwave (PM) sea ice concentration (SIC) products in polar regions by using twelve scenes MODIS images under clear-sky conditions. The SIC products include the DMSP SSMIS with Arctic Radiation and Turbulence Interaction Study Sea Ice (ASI) algorithm (SSMIS/ASI), the GCOM-W AMSR2 with NASA Bootstrap (BT) algorithm (AMSR2/BT), the Chinese Feng Yun-3B with enhanced NASA Team (NT2) algorithm (FY3B/NT2), and the Chinese Feng Yun-3C with NT2 (FY3C/NT2). An adapted optimal threshold method (i.e., the Otsu algorithm) was adopted to automatically classify the MODIS images into sea ice and water which were then aggregated to compare with the PM SIC. The results show that the averaged bias of PM SIC (PM SIC minus MODIS) is less than 6% in Arctic and ranges from -8% to 1% in Antarctic, and the averaged root mean square error (RMSE) is less than 16% in the whole polar regions. Overall, the SSMIS/ASI product has better performance in Arctic, while the FY3/NT2 has lower bias and RMSE in Antarctic. Meanwhile, it is observed that the error metrics of PM SIC vary noticeably when compared to different MODIS images which may be caused by the diverse surface characteristics of different sea ice types.</t>
  </si>
  <si>
    <t>[Liang, Shuang; Zeng, Jiangyuan; Li, Zhen; Chen, Kun-Shan; Zhang, Ping] Chinese Acad Sci, Aerosp Informat Res Inst, Beijing, Peoples R China; [Liang, Shuang] Univ Chinese Acad Sci, Beijing, Peoples R China</t>
  </si>
  <si>
    <t>Liang, S (corresponding author), Chinese Acad Sci, Aerosp Informat Res Inst, Beijing, Peoples R China.;Liang, S (corresponding author), Univ Chinese Acad Sci, Beijing, Peoples R China.</t>
  </si>
  <si>
    <t>liang, shuang/JOK-5869-2023; Zeng, Jiangyuan/AAJ-8512-2020</t>
  </si>
  <si>
    <t>Zeng, Jiangyuan/0000-0002-5039-6774</t>
  </si>
  <si>
    <t>National Key Research and Development Program of China [2018YFA0605403]; Youth Innovation Promotion Association CAS [2018082]</t>
  </si>
  <si>
    <t>National Key Research and Development Program of China; Youth Innovation Promotion Association CAS</t>
  </si>
  <si>
    <t>This work was supported by the National Key Research and Development Program of China (No. 2018YFA0605403) and by the Youth Innovation Promotion Association CAS (No. 2018082).</t>
  </si>
  <si>
    <t>10.1109/IGARSS39084.2020.9324590</t>
  </si>
  <si>
    <t>WOS:000664335303010</t>
  </si>
  <si>
    <t>Bingham, FM; D'Addezio, JM; Fournier, S; Zhang, H; Ulfsax, K</t>
  </si>
  <si>
    <t>Bingham, Frederick M.; D'Addezio, Joseph M.; Fournier, Severine; Zhang, Hong; Ulfsax, Karly</t>
  </si>
  <si>
    <t>SEA SURFACE SALINITY SUBFOOTPRINT VARIABILITY FROM A GLOBAL HIGH-RESOLUTION MODEL</t>
  </si>
  <si>
    <t>Salinity; subfootprint variability; ocean modeling</t>
  </si>
  <si>
    <t>We have studied the subfootprint variability (SFV) of sea surface salinity (SSS) using the LLC4320 version of the MITgcm, a very high-resolution (1/48 degrees) global simulation. SFV is the weighted standard deviation within the footprint of an SSS satellite like Aquarius or SMAP. SFV was studied as a function of footprint size and of space and time. It was found to be large in areas of strong frontal zones such as the Gulf Stream, Antarctic front and Brazil-Malvinas Confluence. SFV also tends to be larger where rainfall is heavy. It was found to have a seasonal and hemispheric component, being generally larger in the southern hemisphere and summer than the northern hemisphere and winter. For a 100 km footprint, the most likely values of SFV are (0.05, 0.06, 0.03, 0.05) for (southern summer, northern summer, southern winter, northern summer) respectively.</t>
  </si>
  <si>
    <t>[Bingham, Frederick M.; Ulfsax, Karly] Univ North Carolina Wilmington, Wilmington, NC 28403 USA; [D'Addezio, Joseph M.] Naval Res Lab, Stennis Space Ctr, MS USA; [Fournier, Severine; Zhang, Hong] Jet Prop Lab, Pasadena, CA USA</t>
  </si>
  <si>
    <t>University of North Carolina; University of North Carolina Wilmington; United States Department of Defense; United States Navy; Naval Research Laboratory; National Aeronautics &amp; Space Administration (NASA); NASA Jet Propulsion Laboratory (JPL)</t>
  </si>
  <si>
    <t>Bingham, FM (corresponding author), Univ North Carolina Wilmington, Wilmington, NC 28403 USA.</t>
  </si>
  <si>
    <t>NASA [80NSSC18K1322]</t>
  </si>
  <si>
    <t>NASA(National Aeronautics &amp; Space Administration (NASA))</t>
  </si>
  <si>
    <t>Funding was provided by NASA under grant #80NSSC18K1322.</t>
  </si>
  <si>
    <t>10.1109/IGARSS39084.2020.9323566</t>
  </si>
  <si>
    <t>WOS:000664335305097</t>
  </si>
  <si>
    <t>Vanin, F; Laberinti, P; Donlon, C; Fiorelli, B; Barat, I; Sole, MP; Palladino, M; Eggers, P; Rudolph, T; Galeazzi, C</t>
  </si>
  <si>
    <t>Vanin, Felice; Laberinti, Paolo; Donlon, Craig; Fiorelli, Benedetta; Barat, Itziar; Sole, Montserrat Pinol; Palladino, Massimo; Eggers, Philippe; Rudolph, Tobias; Galeazzi, Claudio</t>
  </si>
  <si>
    <t>COPERNICUS IMAGING MICROWAVE RADIOMETER (CIMR): SYSTEM ASPECTS AND TECHNOLOGICAL CHALLENGES</t>
  </si>
  <si>
    <t>CIMR; ESA; satellite mission; conically scanning radiometer</t>
  </si>
  <si>
    <t>The Copernicus Imaging Microwave Radiometer (CIMR) is one of the Copernicus High Priority Candidate mission recently approved at the ESA (European Space Agency) Ministerial Council 2019 as a reply to climate policy set by the European Commission in cooperation with ESA. CIMR is a conically scanning multi-frequency radiometer that will deploy a wide-swath with world global coverage with particular attention to the Arctic and Antarctic regions. CIMR measurements will be made using a forward scan arc followed by a second measurement using a backward scan arc. This paper will provide an overall system view of the mission in particular discussing main technical challenges. The mission is being developed in the frame of Copernicus ESA-EU partnership.</t>
  </si>
  <si>
    <t>[Vanin, Felice; Laberinti, Paolo; Donlon, Craig; Fiorelli, Benedetta; Barat, Itziar; Sole, Montserrat Pinol; Palladino, Massimo; Eggers, Philippe; Rudolph, Tobias; Galeazzi, Claudio] ESA European Space Agcy, ESTEC, Keplerlaan 1, NL-2201 AZ Noordwijk, Netherlands</t>
  </si>
  <si>
    <t>European Space Agency</t>
  </si>
  <si>
    <t>Vanin, F (corresponding author), ESA European Space Agcy, ESTEC, Keplerlaan 1, NL-2201 AZ Noordwijk, Netherlands.</t>
  </si>
  <si>
    <t>10.1109/IGARSS39084.2020.9324259</t>
  </si>
  <si>
    <t>WOS:000664335306049</t>
  </si>
  <si>
    <t>Rahnemoonfar, M; Yari, M; Paden, J</t>
  </si>
  <si>
    <t>Rahnemoonfar, Maryam; Yari, Masoud; Paden, John</t>
  </si>
  <si>
    <t>RADAR SENSOR SIMULATION WITH GENERATIVE ADVERSARIAL NETWORK</t>
  </si>
  <si>
    <t>convolutional neural network; generative adversarial network; ice tracking; radar imagery</t>
  </si>
  <si>
    <t>Significant resources have been spent in collecting and storing large and heterogeneous radar datasets during expensive Arctic and Antarctic fieldwork. The vast majority of data available is unlabeled, and the labeling process is both time-consuming and expensive. One possible alternative to the labeling process is the use of synthetically generated data with artificial intelligence. In this research, we evaluated the performance of synthetically generated snow radar images based on modified cycle-consistent adversarial networks. We conducted several experiments to test the quality of the generated radar imagery. Our experiments show a very good similarity between real and synthetic snow radar images.</t>
  </si>
  <si>
    <t>[Rahnemoonfar, Maryam; Yari, Masoud] Univ Maryland Baltimore Cty, Comp Vis &amp; Remote Sensing Lab, Baltimore, MD 21228 USA; [Paden, John] Univ Kansas, Ctr Remote Sensing Ice Sheets, Lawrence, KS 66045 USA</t>
  </si>
  <si>
    <t>University System of Maryland; University of Maryland Baltimore County; University of Kansas</t>
  </si>
  <si>
    <t>Rahnemoonfar, M (corresponding author), Univ Maryland Baltimore Cty, Comp Vis &amp; Remote Sensing Lab, Baltimore, MD 21228 USA.</t>
  </si>
  <si>
    <t>NSF BIGDATA awards [IIS-1838230, IIS-1838024]; IBM; Amazon</t>
  </si>
  <si>
    <t>NSF BIGDATA awards; IBM(International Business Machines (IBM)); Amazon</t>
  </si>
  <si>
    <t>This work is partially supported by NSF BIGDATA awards (IIS-1838230, IIS-1838024), IBM, and Amazon.</t>
  </si>
  <si>
    <t>10.1109/IGARSS39084.2020.9323676</t>
  </si>
  <si>
    <t>WOS:000664335306156</t>
  </si>
  <si>
    <t>Johnson, JE; Allain, V; Basel, B; Bell, JD; Chin, A; Dutra, LXC; Hooper, E; Loubser, D; Lough, J; Moore, BR; Nicol, S</t>
  </si>
  <si>
    <t>Kumar, L</t>
  </si>
  <si>
    <t>Johnson, Johanna E.; Allain, Valerie; Basel, Britt; Bell, Johann D.; Chin, Andrew; Dutra, Leo X. C.; Hooper, Eryn; Loubser, David; Lough, Janice; Moore, Bradley R.; Nicol, Simon</t>
  </si>
  <si>
    <t>Impacts of Climate Change on Marine Resources in the Pacific Island Region</t>
  </si>
  <si>
    <t>CLIMATE CHANGE AND IMPACTS IN THE PACIFIC</t>
  </si>
  <si>
    <t>Springer Climate</t>
  </si>
  <si>
    <t>DECLINING CORAL CALCIFICATION; RIGHTS-BASED MANAGEMENT; SMALL-SCALE FISHERIES; PAPUA-NEW-GUINEA; SEA-LEVEL RISE; OCEAN ACIDIFICATION; YELLOWFIN TUNA; FOOD SECURITY; PINCTADA-MARGARITIFERA; TROPICAL PACIFIC</t>
  </si>
  <si>
    <t>[Johnson, Johanna E.; Basel, Britt; Hooper, Eryn] C2O Pacific, Port Vila, Vanuatu; [Johnson, Johanna E.] James Cook Univ, Coll Sci &amp; Engn, Townsville, Qld, Australia; [Allain, Valerie; Nicol, Simon] Pacific Community SPC, Noumea, New Caledonia; [Basel, Britt] Ecothropic, San Cristobal de las Casa, Chiapas, Mexico; [Bell, Johann D.] Univ Wollongong, Australian Natl Ctr Ocean Resources &amp; Secur, Wollongong, NSW, Australia; [Bell, Johann D.] Conservat Int, Arlington, VA USA; [Chin, Andrew] James Cook Univ, Coll Sci &amp; Engn, Townsville, Qld, Australia; [Dutra, Leo X. C.] CSIRO Oceans &amp; Atmosphere Business Unit, Queensland BioSci Precinct, Brisbane, Qld, Australia; [Dutra, Leo X. C.] Univ South Pacific, Sch Marine Studies, Fac Sci Technol &amp; Environm, Suva, Fiji; [Loubser, David] Ecosyst Serv Ltd, Wellington, New Zealand; [Lough, Janice] Australian Inst Marine Sci AIMS, Townsville, Qld, Australia; [Moore, Bradley R.] Univ Tasmania, Inst Marine &amp; Antarctic Studies IMAS, Hobart, Tas, Australia; [Moore, Bradley R.] Natl Inst Water &amp; Atmospher Res NIWA, Nelson, New Zealand</t>
  </si>
  <si>
    <t>James Cook University; University of Wollongong; Conservation International; James Cook University; Commonwealth Scientific &amp; Industrial Research Organisation (CSIRO); University of the South Pacific; Australian Institute of Marine Science; University of Tasmania</t>
  </si>
  <si>
    <t>Johnson, JE (corresponding author), C2O Pacific, Port Vila, Vanuatu.;Johnson, JE (corresponding author), James Cook Univ, Coll Sci &amp; Engn, Townsville, Qld, Australia.</t>
  </si>
  <si>
    <t>j.johnson@c2o.net.au</t>
  </si>
  <si>
    <t>Dutra, Leo/R-6256-2019; Chin, Andrew/C-2254-2008</t>
  </si>
  <si>
    <t>Chin, Andrew/0000-0003-1813-4042; Dutra, Leo/0000-0002-5781-3956</t>
  </si>
  <si>
    <t>2352-0698</t>
  </si>
  <si>
    <t>2352-0701</t>
  </si>
  <si>
    <t>978-3-030-32878-8; 978-3-030-32877-1</t>
  </si>
  <si>
    <t>SPRINGER CLIMATE</t>
  </si>
  <si>
    <t>10.1007/978-3-030-32878-8_10</t>
  </si>
  <si>
    <t>10.1007/978-3-030-32878-8</t>
  </si>
  <si>
    <t>BR9LA</t>
  </si>
  <si>
    <t>WOS:000677571300011</t>
  </si>
  <si>
    <t>Zakhvatkina, NY; Demchev, D; Sandven, S; Volkov, VA; Komarov, AS</t>
  </si>
  <si>
    <t>Johannessen, OM; Bobylev, LP; Shalina, EV; Sandven, S</t>
  </si>
  <si>
    <t>Zakhvatkina, Natalia Y.; Demchev, Denis; Sandven, Stein; Volkov, Vladimir A.; Komarov, Alexander S.</t>
  </si>
  <si>
    <t>SAR Sea Ice Type Classification and Drift Retrieval in the Arctic</t>
  </si>
  <si>
    <t>SEA ICE IN THE ARCTIC: PAST, PRESENT AND FUTURE</t>
  </si>
  <si>
    <t>SYNTHETIC-APERTURE RADAR; L-BAND SAR; FEATURE-TRACKING; BACKSCATTERING SIGNATURES; UNSUPERVISED SEGMENTATION; TEXTURE ANALYSIS; MOTION TRACKING; NEURAL-NETWORKS; FROST FLOWERS; ERS SAR</t>
  </si>
  <si>
    <t>[Zakhvatkina, Natalia Y.] Nansen Int Environm &amp; Remote Sensing Ctr, Arctic &amp; Antarctic Res Inst, St Petersburg, Russia; [Demchev, Denis] Arctic &amp; Antarctic Res Inst, St Petersburg, Russia; [Demchev, Denis; Volkov, Vladimir A.] Nansen Int Environm &amp; Remote Sensing Ctr, St Petersburg, Russia; [Sandven, Stein] Nansen Environm &amp; Remote Sensing Ctr, Bergen, Norway; [Sandven, Stein] Univ Ctr Svalbard Longyearbyen, Svalbard, Svalbard; [Komarov, Alexander S.] Environm &amp; Climate Change Canada, Ottawa, ON, Canada</t>
  </si>
  <si>
    <t>Arctic &amp; Antarctic Research Institute; Nansen Environmental &amp; Remote Sensing Center (NERSC); Arctic &amp; Antarctic Research Institute; Nansen Environmental &amp; Remote Sensing Center (NERSC); Nansen Environmental &amp; Remote Sensing Center (NERSC); Environment &amp; Climate Change Canada</t>
  </si>
  <si>
    <t>Zakhvatkina, NY (corresponding author), Nansen Int Environm &amp; Remote Sensing Ctr, Arctic &amp; Antarctic Res Inst, St Petersburg, Russia.</t>
  </si>
  <si>
    <t>natalia.piotrovskaya@niersc.spb.ru; denis.demchev@aari.ru; stein.sandven@nersc.no; vladimir.volkov@niersc.spb.ru; alexander.komarov@canada.ca</t>
  </si>
  <si>
    <t>978-3-030-21301-5; 978-3-030-21300-8</t>
  </si>
  <si>
    <t>10.1007/978-3-030-21301-5_6</t>
  </si>
  <si>
    <t>10.1007/978-3-030-21301-5</t>
  </si>
  <si>
    <t>Environmental Sciences; Oceanography</t>
  </si>
  <si>
    <t>Environmental Sciences &amp; Ecology; Oceanography</t>
  </si>
  <si>
    <t>BR2MO</t>
  </si>
  <si>
    <t>WOS:000637946500007</t>
  </si>
  <si>
    <t>Volkov, VA; Mushta, A; Demchev, D</t>
  </si>
  <si>
    <t>Volkov, Vladimir A.; Mushta, Alexandra; Demchev, Denis</t>
  </si>
  <si>
    <t>Sea Ice Drift in the Arctic</t>
  </si>
  <si>
    <t>CIRCULATION</t>
  </si>
  <si>
    <t>[Volkov, Vladimir A.; Mushta, Alexandra; Demchev, Denis] Nansen Int Environm &amp; Remote Sensing Ctr, St Petersburg, Russia; [Demchev, Denis] Arctic &amp; Antarctic Res Inst, St Petersburg, Russia</t>
  </si>
  <si>
    <t>Nansen Environmental &amp; Remote Sensing Center (NERSC); Arctic &amp; Antarctic Research Institute</t>
  </si>
  <si>
    <t>Volkov, VA (corresponding author), Nansen Int Environm &amp; Remote Sensing Ctr, St Petersburg, Russia.</t>
  </si>
  <si>
    <t>vladimir.volkov@niersc.spb.ru; avmushta@aari.ru; denis.demchev@aari.ru</t>
  </si>
  <si>
    <t>10.1007/978-3-030-21301-5_7</t>
  </si>
  <si>
    <t>WOS:000637946500008</t>
  </si>
  <si>
    <t>Hendry, AT; Clilverd, MA; Rodger, CJ; Engebretson, MJ</t>
  </si>
  <si>
    <t>Jaynes, A; Usanova, ME</t>
  </si>
  <si>
    <t>Hendry, Aaron T.; Clilverd, Mark A.; Rodger, Craig J.; Engebretson, Mark J.</t>
  </si>
  <si>
    <t>Ground-based very-low-frequency radio wave observations of energetic particle precipitation</t>
  </si>
  <si>
    <t>DYNAMIC LOSS OF EARTH'S RADIATION BELTS: FROM LOSS IN THE MAGNETOSPHERE TO PARTICLE PRECIPITATION IN THE ATMOSPHERE</t>
  </si>
  <si>
    <t>RELATIVISTIC ELECTRON-PRECIPITATION</t>
  </si>
  <si>
    <t>[Hendry, Aaron T.] Inst Atmospher Phys, Dept Space Phys, Prague, Czech Republic; [Clilverd, Mark A.] British Antarctic Survey NERC, Cambridge, England; [Rodger, Craig J.] Univ Otago, Dept Phys, Dunedin, New Zealand; [Engebretson, Mark J.] Augsburg Univ, Minneapolis, MN USA</t>
  </si>
  <si>
    <t>Czech Academy of Sciences; Institute of Atmospheric Physics of the Czech Academy of Sciences; UK Research &amp; Innovation (UKRI); Natural Environment Research Council (NERC); NERC British Antarctic Survey; University of Otago; Augsburg University</t>
  </si>
  <si>
    <t>Hendry, AT (corresponding author), Inst Atmospher Phys, Dept Space Phys, Prague, Czech Republic.</t>
  </si>
  <si>
    <t>Rodger, Craig/A-1501-2011</t>
  </si>
  <si>
    <t>Rodger, Craig J./0000-0002-6770-2707</t>
  </si>
  <si>
    <t>NSF [PLR-1341493, PLR-1341677]; European Union [263218]</t>
  </si>
  <si>
    <t>NSF(National Science Foundation (NSF)); European Union(European Union (EU))</t>
  </si>
  <si>
    <t>The authors would like to acknowledge the support of the people and institutions that host the AARDDVARK receivers, riometers, and magnetometers mentioned in this chapter-Sodankyla Geophysical Observatory, Natural Resources Canada, Natural Environmental Research council (BAS), University of Calgary, and Churchill Northern Studies Centre. U.S. support for the Halley search-coil magnetometer is provided by NSF grants PLR-1341493 to Augsburg University (Mark Engebretson) and PLR-1341677 to the University of New Hampshire (Marc Lessard). The research leading to some of these results has received funding from the European Union 407 Seventh Framework Programme (FP7/2007-2013) under grant agreement No. 263218. The authors wish to thank the many years worth of efforts from NOAA personnel, who developed, maintain and operate the NOAA/POES spacecraft. We would also like to thank Paul Muir, Physics Department, University of Otago, New Zealand for preparing Fig. 8.1.</t>
  </si>
  <si>
    <t>Radarweg 29, PO Box 211, AMSTERDAM, NETHERLANDS</t>
  </si>
  <si>
    <t>978-0-12-813399-6; 978-0-12-813371-2</t>
  </si>
  <si>
    <t>10.1016/B978-0-12-813371-2.00008-1</t>
  </si>
  <si>
    <t>10.1016/C2016-0-04771-X</t>
  </si>
  <si>
    <t>Geochemistry &amp; Geophysics; Meteorology &amp; Atmospheric Sciences</t>
  </si>
  <si>
    <t>BQ9CI</t>
  </si>
  <si>
    <t>WOS:000623693200009</t>
  </si>
  <si>
    <t>Wilson, SC; Jones, KA</t>
  </si>
  <si>
    <t>Wilson, Susan C.; Jones, Kayleigh A.</t>
  </si>
  <si>
    <t>BEHAVIOUR OF HARBOUR SEAL (PHOCA VITULINA VITULINA) PUPS IN BAY, NORTH-EAST IRELAND, DURING TRANSITION FROM FILIAL DEPENDENCY TO WEANING</t>
  </si>
  <si>
    <t>BIOLOGY AND ENVIRONMENT-PROCEEDINGS OF THE ROYAL IRISH ACADEMY</t>
  </si>
  <si>
    <t>DIVING BEHAVIOR; MOTHER; LACTATION; REUNIONS; GLANDS; LIONS; CUES</t>
  </si>
  <si>
    <t>The behavioural transition from filial dependence to weaning in harbour seal pups is poorly understood. Here we trace progressive changes in pup behaviour with the mother at two pupping sites in Dundrum Bay, north-east Ireland, and describe the behaviour of 'lone pups' in their mothers' absence. We found that pups engaged in progressively fewer nosing contacts with their mother, but mother-pup body contact and suckling frequency did not decline, and mothers did not reject their pup's nursing solicitations. From around two weeks of age 'lone' pups were observed while unattended by their mother. Lone pups approached the haul-out site singly, in dyads or threesomes, interacted with one another in the water, and tended to rest onshore beside one another. Mothers and lone pups often reunited at a specific area within one of the sites. Pups of an estimated 3.5-7 weeks of age were often seen giving a wide open-mouth gape shortly after hauling out, suggestive of preliminary digestion of fish.We discuss these behaviours of pups in Dundrum Bay in the context of other harbour seal populations and conclude that behaviour at weaning is flexible within the species, allowing behaviour to adapt to local habitat conditions and prey availability.</t>
  </si>
  <si>
    <t>[Wilson, Susan C.] Tara Seal Res, 14 Bridge St, Killyleagh BT30 9QN, North Ireland; [Jones, Kayleigh A.] British Antarctic Survey, Madingley Rd, Cambridge CB3 0ET, England</t>
  </si>
  <si>
    <t>Wilson, SC (corresponding author), Tara Seal Res, 14 Bridge St, Killyleagh BT30 9QN, North Ireland.</t>
  </si>
  <si>
    <t>suewilson@sealresearch.org</t>
  </si>
  <si>
    <t>NERC [bas0100035] Funding Source: UKRI</t>
  </si>
  <si>
    <t>ROYAL IRISH ACAD</t>
  </si>
  <si>
    <t>DUBLIN</t>
  </si>
  <si>
    <t>19 DAWSON STREET, DUBLIN 2, IRELAND</t>
  </si>
  <si>
    <t>0791-7945</t>
  </si>
  <si>
    <t>2009-003X</t>
  </si>
  <si>
    <t>BIOL ENVIRON</t>
  </si>
  <si>
    <t>Biol. Environ.-Proc. R. Irish Acad.</t>
  </si>
  <si>
    <t>120B</t>
  </si>
  <si>
    <t>10.3318/BIOE.2020.17</t>
  </si>
  <si>
    <t>Biology; Environmental Sciences</t>
  </si>
  <si>
    <t>Life Sciences &amp; Biomedicine - Other Topics; Environmental Sciences &amp; Ecology</t>
  </si>
  <si>
    <t>SX2LO</t>
  </si>
  <si>
    <t>WOS:000665042200001</t>
  </si>
  <si>
    <t>Alekseev, GV; Glok, NI; Vyazilova, AE; Kharlanenkova, NE</t>
  </si>
  <si>
    <t>IOP</t>
  </si>
  <si>
    <t>Alekseev, G., V; Glok, N., I; Vyazilova, A. E.; Kharlanenkova, N. E.</t>
  </si>
  <si>
    <t>Climate change in the Arctic: causes and mechanisms</t>
  </si>
  <si>
    <t>CLIMATE CHANGE: CAUSES, RISKS, CONSEQUENCES, PROBLEMS OF ADAPTATION AND MANAGEMENT</t>
  </si>
  <si>
    <t>IOP Conference Series-Earth and Environmental Science</t>
  </si>
  <si>
    <t>All-Russian Conference on Climate Change - Causes, Risks, Consequences, Problems of Adaptation and Management (CLIMATE)</t>
  </si>
  <si>
    <t>NOV 26-28, 2019</t>
  </si>
  <si>
    <t>Russian Acad Sci, Presidium, Moscow, RUSSIA</t>
  </si>
  <si>
    <t>Russian Acad Sci, Presidium</t>
  </si>
  <si>
    <t>NORTH-ATLANTIC; SEA</t>
  </si>
  <si>
    <t>Atmospheric heat and moisture transfers from the North Atlantic make the main contribution to the Arctic warming in winter. The increase in transfer is associated with changes in atmospheric circulation in the Northern Hemisphere under the influence of the sea surface temperature (SST) in low latitudes, where the bulk of the heat influx from the Sun accumulated. The mechanism of influence includes the interaction between the circulation of the ocean and atmosphere, which enhances the oceanic heat influx into the Norwegian and Barents seas, and atmospheric transport to the Arctic. SST rises with participation of orbitalforced increase of the solar insolation. Changes in insolation are small, but their effect is enhanced by feedbacks between temperature, water vapour content and downward long- wave radiation in low latitudes. An increase in water inflow, heat and moisture transfers to the Atlantic Arctic lead to increase in air temperature, water vapour content, downward long-wave radiation, and a reduction of ice thickness growth and its extent in the Barents and Greenland Seas in winter.</t>
  </si>
  <si>
    <t>[Alekseev, G., V; Glok, N., I; Vyazilova, A. E.; Kharlanenkova, N. E.] Arctic &amp; Antarctic Res Inst, St Petersburg 199397, Russia</t>
  </si>
  <si>
    <t>Alekseev, GV (corresponding author), Arctic &amp; Antarctic Res Inst, St Petersburg 199397, Russia.</t>
  </si>
  <si>
    <t>alexgv@aari.ru</t>
  </si>
  <si>
    <t>Vyazilova, Anastasia/0000-0001-5657-7309</t>
  </si>
  <si>
    <t>Russian Foundation for Basic Research [18-05-00334, 18-05-60107]</t>
  </si>
  <si>
    <t>The authors are grateful to the creators of ERA-Interim, ERA5, HadISST reanalysis, A.A. Kostin and V.M. Fedorov for http://www.solar-climate.com/data, to the organizers of the conference and the release of the IOP. Research is supported by grants from the Russian Foundation for Basic Research 18-05-00334 and 18-05-60107.</t>
  </si>
  <si>
    <t>DIRAC HOUSE, TEMPLE BACK, BRISTOL BS1 6BE, ENGLAND</t>
  </si>
  <si>
    <t>1755-1307</t>
  </si>
  <si>
    <t>IOP C SER EARTH ENV</t>
  </si>
  <si>
    <t>IOP Conf. Ser. Earth Envir. Sci.</t>
  </si>
  <si>
    <t>10.1088/1755-1315/606/1/012002</t>
  </si>
  <si>
    <t>BR5TT</t>
  </si>
  <si>
    <t>WOS:000657330400003</t>
  </si>
  <si>
    <t>Ivanov, BV; Prokhorova, UV; Sviashchennikov, PN</t>
  </si>
  <si>
    <t>Ivanov, B., V; Prokhorova, U., V; Sviashchennikov, P. N.</t>
  </si>
  <si>
    <t>Analysis of continentality and anomality of Svalbard climate according to observations of surface air temperature in the second half of the XX century</t>
  </si>
  <si>
    <t>The article discusses the regional features of the Svalbard climate based on the data of regular meteorological observations obtained at Norwegian, Russian and Polish stations. Attention is paid to the spatial features of the multi-year regime of surface air temperature (SAT). Climatic norms (1961-1990, WMO recommendations) calculated from all meteorological stations, as well as long-term changes in the spatial gradients of the SAT and estimates of the range of annual fluctuations, revealed stations (area) with a continental and marine type of climate, as well as trends in spatial heterogeneities of the Svalbard climate. The rate of modern climate warming (1990-2016) was, on average, three times higher compared with the period after II World War (1948-2016). The continentality and abnormality of the climate are analyzed. Conclusions are formulated about a regular change in the spatial features of the climate (SAT) and the manifestation of its anomalous nature in different periods (1960-1970, 1988 and 2005-2014).</t>
  </si>
  <si>
    <t>[Ivanov, B., V; Prokhorova, U., V; Sviashchennikov, P. N.] Arctic &amp; Antarctic Res Inst, St Petersburg 199397, Russia; [Ivanov, B., V; Prokhorova, U., V; Sviashchennikov, P. N.] St Petersburg Univ, St Petersburg 199034, Russia; [Ivanov, B., V; Prokhorova, U., V] RAS, AM Obukhov Inst Atmospheres Phys, Moscow 119017, Russia; [Prokhorova, U., V] Nansen Ctr, St Petersburg 199034, Russia</t>
  </si>
  <si>
    <t>Arctic &amp; Antarctic Research Institute; Saint Petersburg State University; Russian Academy of Sciences</t>
  </si>
  <si>
    <t>Ivanov, BV (corresponding author), Arctic &amp; Antarctic Res Inst, St Petersburg 199397, Russia.;Ivanov, BV (corresponding author), St Petersburg Univ, St Petersburg 199034, Russia.;Ivanov, BV (corresponding author), RAS, AM Obukhov Inst Atmospheres Phys, Moscow 119017, Russia.</t>
  </si>
  <si>
    <t>ib_ivanov@aari.ru</t>
  </si>
  <si>
    <t>Sviashchennikov, Pavel/M-1736-2015</t>
  </si>
  <si>
    <t>Prokhorova, Uliana/0000-0002-7600-4089</t>
  </si>
  <si>
    <t>Ministry of Science and Higher Education of the Russian Federation [05.616.21.0109 (075-15-2019-1487) (RFMEFI61619X0109)]</t>
  </si>
  <si>
    <t>Ministry of Science and Higher Education of the Russian Federation</t>
  </si>
  <si>
    <t>The research was performed with the financial support of Ministry of Science and Higher Education of the Russian Federation (No 05.616.21.0109 (075-15-2019-1487) (RFMEFI61619X0109)).</t>
  </si>
  <si>
    <t>10.1088/1755-1315/606/1/012021</t>
  </si>
  <si>
    <t>WOS:000657330400022</t>
  </si>
  <si>
    <t>Kopeikin, VM; Shevchenko, VP; Malafeev, GV; Novigatsky, AN; Pankratova, NV; Ponomareva, TY; Skorokhod, AI; Shtabkin, YA; Makhotina, IA; Makhotin, MS; Churakova, EY</t>
  </si>
  <si>
    <t>Kopeikin, V. M.; Shevchenko, V. P.; Malafeev, G., V; Novigatsky, A. N.; Pankratova, N., V; Ponomareva, T. Ya; Skorokhod, A., I; Shtabkin, Yu A.; Makhotina, I. A.; Makhotin, M. S.; Churakova, E. Yu</t>
  </si>
  <si>
    <t>The black carbon content variations in the Arctic region during 2011-2018</t>
  </si>
  <si>
    <t>Data on black carbon (BC) concentrations obtained from the board of research vessels (R/V) Acad. Mstislav Keldysh, Acad. M.A. Lavrentyevand Prof. Molchanov in 2011 - 2018. They were used to study the quantitative distribution of black carbon in the driving air layer over the seas of the Russian Arctic in the summer-autumn period and to determine its main source regions. Variations in the BC content in the near water layer of the atmosphere at the North Pole, in the Norwegian, Barents, Kara, East Siberian Seas and the Laptev Sea are obtained. As a result of 12 marine expeditions in the summer-autumn period of 2011 - 2018 the BC concentration in the atmospheric drive layer in the Arctic was mainly at the background level and averaged 47 ng/m(3) (9-95 ng/m(3)). An increase in the BC concentration by several times, as shown by trajectory analysis, occurs occasionally upon receipt of air masses from the mainland, from areas of associated gas combustion. Low BC values were observed when air masses passed over the water surface from the northern regions of the Arctic. The BC concentration above the water surface depends on the state of the atmosphere in the region of soot sources on the mainland.</t>
  </si>
  <si>
    <t>[Kopeikin, V. M.; Pankratova, N., V; Skorokhod, A., I; Shtabkin, Yu A.] RAS, AM Obukhov Inst Atmospher Phys, Moscow 119017, Russia; [Shevchenko, V. P.; Malafeev, G., V; Novigatsky, A. N.] RAS, PP Shirshov Inst Oceanol, Moscow 117997, Russia; [Makhotina, I. A.; Makhotin, M. S.] Arctic &amp; Antarctic Res Inst, St Petersburg 199397, Russia; [Churakova, E. Yu] Lomonosov Northern Arctic Fed Univ, Arkhangelsk 163002, Russia; [Ponomareva, T. Ya] Hydromet Res Ctr Russian Federat, Moscow 123242, Russia</t>
  </si>
  <si>
    <t>Russian Academy of Sciences; Obukhov Institute of Atmospheric Physics of Russian Academy of Sciences; Russian Academy of Sciences; Shirshov Institute of Oceanology; Arctic &amp; Antarctic Research Institute; Northern Arctic Federal University</t>
  </si>
  <si>
    <t>Kopeikin, VM (corresponding author), RAS, AM Obukhov Inst Atmospher Phys, Moscow 119017, Russia.</t>
  </si>
  <si>
    <t>kopeikin@ifaran.ru</t>
  </si>
  <si>
    <t>Shevchenko, Vladimir P./C-2096-2014; Shtabkin, Yury/AAF-8114-2020; Churakova, Elena/AAC-8926-2020; Makhotin, Mikhail/K-8861-2016; Novigatsky, A.N./D-5591-2017; Skorokhod, Andrey/N-7533-2016</t>
  </si>
  <si>
    <t>Churakova, Elena/0000-0002-4480-4794; Shtabkin, Yury/0000-0001-6896-9203; Novigatsky, A.N./0000-0003-2814-878X; Skorokhod, Andrey/0000-0002-5808-0811</t>
  </si>
  <si>
    <t>10.1088/1755-1315/606/1/012024</t>
  </si>
  <si>
    <t>WOS:000657330400025</t>
  </si>
  <si>
    <t>Makhotina, IA; Makshtas, AP; Kustov, VY</t>
  </si>
  <si>
    <t>Makhotina, I. A.; Makshtas, A. P.; Kustov, V. Yu</t>
  </si>
  <si>
    <t>Sea ice - atmosphere heat exchange during expedition Transarctica-2019</t>
  </si>
  <si>
    <t>FLUX-PROFILE RELATIONSHIPS</t>
  </si>
  <si>
    <t>This paper describes the characteristics of atmospheric surface layer and heat balance components of snow-ice cover during drift of RV Akademik Treshnikov to the north of the archipelagos Franz Josef Land and Svalbard, in the area 80 - 82N, 30 - 45E, in comparison with observations at drifting station,North Pole-35, worked in the same area in April 2008, and Ice Base Cape Baranova in April 2019. Characteristics of atmospheric surface layer and the energy exchange processes during the drift of the expeditionTransarctica-2019 were significantly affected by the presence of clouds and the state of the ice cover. The influence of these factors led to a decrease in the radiative cooling of the surface, the formation of a warmer and wetter ABL and to a weakening of the turbulent exchange between the atmosphere and the snow-ice cover. Comparison of energy exchange characteristics, calculated for the Bolshevik Island (79 degrees N) and for expedition Transarctica 2019 area shows good agreement between the monthly averaged values and trends in heat fluxes, despite the fact that in the first case the underlying surface was sea ice cover, and in the second it was the land surface.</t>
  </si>
  <si>
    <t>[Makhotina, I. A.; Makshtas, A. P.; Kustov, V. Yu] Arctic &amp; Antarctic Res Inst, St Petersburg 199397, Russia</t>
  </si>
  <si>
    <t>Makhotina, IA (corresponding author), Arctic &amp; Antarctic Res Inst, St Petersburg 199397, Russia.</t>
  </si>
  <si>
    <t>ir@aari.ru</t>
  </si>
  <si>
    <t>Makhotina, Irina/0000-0001-7208-685X</t>
  </si>
  <si>
    <t>Ministry of Science and Higher Education of the Russian Federation [RFMEFI61619X0108]</t>
  </si>
  <si>
    <t>This work was supported by the project of the Ministry of Science and Higher Education of the Russian Federation RFMEFI61619X0108.</t>
  </si>
  <si>
    <t>10.1088/1755-1315/606/1/012032</t>
  </si>
  <si>
    <t>WOS:000657330400033</t>
  </si>
  <si>
    <t>Mokhov, II</t>
  </si>
  <si>
    <t>Mokhov, I. I.</t>
  </si>
  <si>
    <t>Global and regional climate anomalies and trends: Assessment of contribution of natural and anthropogenic factors from observations and model simulations</t>
  </si>
  <si>
    <t>ANTARCTIC SEA-ICE; COLD-AIR OUTBREAKS; EL-NINO; OSCILLATION; AMPLIFICATION; ATMOSPHERE; TERRITORY; STABILITY; ATLANTIC; RUSSIA</t>
  </si>
  <si>
    <t>Trends in current global and regional climate change are estimated based on observations and reanalysis data, as well as on the basis of model simulations. Special attention is paid to climate changes in the Arctic and North Eurasian regions. Temperature and sea ice changes in the Arctic and Antarctic are compared. The processes contributing to the enhancement of regional climate variability are considered. The role of natural and anthropogenic factors in climate change and the ability of models to adequately simulate current climate changes are assessed. Possible changes in relative contribution of natural and anthropogenic CO2 and CH4 emissions in the North Eurasian regions under global warming are discussed.</t>
  </si>
  <si>
    <t>[Mokhov, I. I.] Russian Acad Sci, AM Obukhov Inst Atmospher Phys, Moscow 119017, Russia; [Mokhov, I. I.] Lomonosov Moscow State Univ, Moscow 119991, Russia</t>
  </si>
  <si>
    <t>Mokhov, II (corresponding author), Russian Acad Sci, AM Obukhov Inst Atmospher Phys, Moscow 119017, Russia.;Mokhov, II (corresponding author), Lomonosov Moscow State Univ, Moscow 119991, Russia.</t>
  </si>
  <si>
    <t>mokhov@ifaran.ru</t>
  </si>
  <si>
    <t>RFBR [17-29-05098, 18-05-60111]; RAS program Climate change: causes, risks, consequences, problems of adaptation and regulation; RSF [19-17-00240]</t>
  </si>
  <si>
    <t>RFBR(Russian Foundation for Basic Research (RFBR)); RAS program Climate change: causes, risks, consequences, problems of adaptation and regulation; RSF(Russian Science Foundation (RSF))</t>
  </si>
  <si>
    <t>The analysis was carried out in the framework of the RFBR projects (17-29-05098, 18-05-60111) and the RAS program Climate change: causes, risks, consequences, problems of adaptation and regulation. The analysis of causal relationships was carried out as part of the RSF project 19-17-00240.</t>
  </si>
  <si>
    <t>10.1088/1755-1315/606/1/012037</t>
  </si>
  <si>
    <t>WOS:000657330400038</t>
  </si>
  <si>
    <t>Prokhorova, UV; Urazgildeeva, AV</t>
  </si>
  <si>
    <t>Prokhorova, U., V; Urazgildeeva, A., V</t>
  </si>
  <si>
    <t>Effect from polynyas in the Siberian Arctic seas to atmospheric transport of heat and moisture</t>
  </si>
  <si>
    <t>Coastal and fast ice polynyas in the Arctic seas can have a noticeable effect on the Arctic climate, increasing the temperature of the cold air which coming from continental Siberia in winter to these seas and in the Arctic basin [1-2]. In this paper, were studied the effect of polynyas on surface air temperature and on the meridional heat and moisture transfers according to expeditionary observations and ERA-Interim reanalysis. According to the results of expeditionary observations carried out in the 1990s, estimates of heat inflows from the surface of the polynya were calculated. From reanalysis, meridional heat transfers were obtained through 70 degrees N, air temperature profiles, wind speed in the region of the Laptev Sea (100 - 140 degrees E.), and polynya which located in the Laptev Sea (120 - 130 degrees E). It was confirmed that winter transfers of cold air from the mainland do not have a cooling effect on the average winter air temperature north of 70 degrees N due to the heating effect of polynya.</t>
  </si>
  <si>
    <t>[Prokhorova, U., V; Urazgildeeva, A., V] Arctic &amp; Antarctic Res Inst, 38 Bering Str, St Petersburg 199397, Russia; [Prokhorova, U., V] Nansen Int Environm &amp; Remote Sensing Ctr, 14th Line 7,Off 49, St Petersburg 199034, Russia; [Prokhorova, U., V] Russian Acad Sci, AM Obukhov Inst Atmospher Phys, Pyzhevskii Per 3, Moscow 119017, Russia</t>
  </si>
  <si>
    <t>Arctic &amp; Antarctic Research Institute; Nansen Environmental &amp; Remote Sensing Center (NERSC); Russian Academy of Sciences; Obukhov Institute of Atmospheric Physics of Russian Academy of Sciences</t>
  </si>
  <si>
    <t>Prokhorova, UV (corresponding author), Arctic &amp; Antarctic Res Inst, 38 Bering Str, St Petersburg 199397, Russia.;Prokhorova, UV (corresponding author), Nansen Int Environm &amp; Remote Sensing Ctr, 14th Line 7,Off 49, St Petersburg 199034, Russia.;Prokhorova, UV (corresponding author), Russian Acad Sci, AM Obukhov Inst Atmospher Phys, Pyzhevskii Per 3, Moscow 119017, Russia.</t>
  </si>
  <si>
    <t>uliana@niersc.spb.ru</t>
  </si>
  <si>
    <t>Russian Fund for Basic Research [18-05-00334]</t>
  </si>
  <si>
    <t>Russian Fund for Basic Research(Russian Foundation for Basic Research (RFBR))</t>
  </si>
  <si>
    <t>This study was supported by the Russian Fund for Basic Research grants (projects 18-05-00334)</t>
  </si>
  <si>
    <t>10.1088/1755-1315/606/1/012047</t>
  </si>
  <si>
    <t>WOS:000657330400048</t>
  </si>
  <si>
    <t>Sherstyukov, B</t>
  </si>
  <si>
    <t>Sherstyukov, B.</t>
  </si>
  <si>
    <t>On the manifestation of resonant effects in climatic fluctuations</t>
  </si>
  <si>
    <t>TEMPERATURE</t>
  </si>
  <si>
    <t>Under the influence of large planets (Jupiter, Saturn, Uranus, Neptune), the Sun moves in outer space along a certain trajectory around the common center of mass of the solar system. Earth follows the sun. It is assumed that part of the barycentric rotation moment is transmitted to the Earth's rotational moment and zonal currents of the World Ocean. The aim of this work is to obtain estimates of the possible impact on the climate system of additional rotation forces arising on the Earth during the barycentric movement of the Sun around the common center of mass of the Solar system. The climate system is considered as an oscillatory system, which can resonantly perceive external repetitive effects at its own frequencies. The index of the dynamic influence of barycentric rotation on the speed of the axial rotation of the Earth, on the surface temperature of the ocean and on El Nino is proposed. An asynchronous correlation analysis is performed. It is shown that the influence of the dynamic forces of barycentric rotation describe 31% of the total variability of the Earth's rotation speed with a delay of 5 years, 66% describes the variability of the average annual temperature of the ocean surface in the circumpolar Antarctic current with a delay of 32-37 years. The contribution of the moment of inertia to the total SST variability along other ocean currents is from 25 to 50% with the same delay. It was found that the El Nino phenomenon is a consequence of variations in the circular circulation of oceanic waters in each of the hemispheres of the Pacific Ocean. One of the engines of these variations are perturbations of the ocean circulation in the region of the Antarctic current. The contribution of changes in SST in the Antarctic Current to changes in the NINO3 index is 31%.</t>
  </si>
  <si>
    <t>[Sherstyukov, B.] All Russian Res Inst Hydrometeorol Informat, World Data Ctr, Korolev St 6, Obninsk 249031, Kaluga Reg, Russia</t>
  </si>
  <si>
    <t>Sherstyukov, B (corresponding author), All Russian Res Inst Hydrometeorol Informat, World Data Ctr, Korolev St 6, Obninsk 249031, Kaluga Reg, Russia.</t>
  </si>
  <si>
    <t>boris@meteo.ru</t>
  </si>
  <si>
    <t>Russian Foundation for Basic Research [18-0500721, 18-45-160006]</t>
  </si>
  <si>
    <t>This work was financially supported by the Russian Foundation for Basic Research, projects 18-0500721 and 18-45-160006</t>
  </si>
  <si>
    <t>10.1088/1755-1315/606/1/012057</t>
  </si>
  <si>
    <t>WOS:000657330400058</t>
  </si>
  <si>
    <t>Vyazilova, A; Alekseev, GV; Kharlanenkova, N; Glok, N</t>
  </si>
  <si>
    <t>Vyazilova, A.; Alekseev, G., V; Kharlanenkova, N.; Glok, N.</t>
  </si>
  <si>
    <t>Impact of global warming on the conditions of the Siberian rivers discharge formation: significance of atmospheric transport</t>
  </si>
  <si>
    <t>WATER; PRECIPITATION</t>
  </si>
  <si>
    <t>Impact of climate change on the Ob, Lena and Yenisei runoff is under discussion. Indexes of zonal, meridional and general circulation were used to assess the effect of changes in atmospheric circulation. Correlations between the indexes and surface air temperature, precipitation, atmospheric moisture content in the regions of catchment areas confirmed the influence of atmospheric transport in the cold part of the year. Assessment of the relationship between changes of climatic conditions in the catchment areas and interannual changes of river runoff parameters indicated that annual runoff increases and mostly is affected by increase of average annual precipitation. Frequency of maximum river discharges during climate warming is reduced.</t>
  </si>
  <si>
    <t>[Vyazilova, A.; Alekseev, G., V; Kharlanenkova, N.; Glok, N.] Arctic &amp; Antarctic Res Inst, St Petersburg, Russia</t>
  </si>
  <si>
    <t>Vyazilova, A (corresponding author), Arctic &amp; Antarctic Res Inst, St Petersburg, Russia.</t>
  </si>
  <si>
    <t>vae@aari.ru</t>
  </si>
  <si>
    <t>Russian Found for Basic Research projects [18-05-60107]</t>
  </si>
  <si>
    <t>Russian Found for Basic Research projects</t>
  </si>
  <si>
    <t>This study was supported by the Russian Found for Basic Research projects 18-05-60107.</t>
  </si>
  <si>
    <t>10.1088/1755-1315/606/1/012068</t>
  </si>
  <si>
    <t>WOS:000657330400069</t>
  </si>
  <si>
    <t>Chernov, DG; Kozlov, VS; Sakerin, SM; Lubo-Leshnichenko, KE; Radionov, VF; Sidorova, OR</t>
  </si>
  <si>
    <t>Matvienko, GG; Romanovskii, OA</t>
  </si>
  <si>
    <t>Chernov, Dmitriy G.; Kozlov, Valery S.; Sakerin, Sergei M.; Lubo-Leshnichenko, Konstantin E.; Radionov, Vladimir F.; Sidorova, Olga R.</t>
  </si>
  <si>
    <t>Seasonal and interannual variations of aerosol and black carbon concentrations in near-surface atmospheric layer over Barentsburg (Spitsbergen, 2011-2019)</t>
  </si>
  <si>
    <t>26TH INTERNATIONAL SYMPOSIUM ON ATMOSPHERIC AND OCEAN OPTICS, ATMOSPHERIC PHYSICS</t>
  </si>
  <si>
    <t>Proceedings of SPIE</t>
  </si>
  <si>
    <t>26th International Symposium on Atmospheric and Ocean Optics, Atmospheric Physics</t>
  </si>
  <si>
    <t>JUL 06-10, 2020</t>
  </si>
  <si>
    <t>Moscow, RUSSIA</t>
  </si>
  <si>
    <t>Spitsbergen; aerosol; black carbon; seasonal and interannual variations</t>
  </si>
  <si>
    <t>We discuss the specific features of seasonal and interannual variations of aerosol and black carbon concentrations in the near-surface atmospheric layer at polar station Barentsburg (Spitsbergen) during 2011-2019. Over the observation period, the diurnally average values had been 7.1 +/- 6.65 cm(-3) for aerosol concentration and 120 +/- 131 ng/m(3) for black carbon concentration. In the seasonal behavior of aerosol concentration there are a maximum in March-April and a low level of values from June to November; the black carbon concentration shows maxima in August and April. The increased black carbon concentrations (in July-October), as compared to other polar stations, are caused by the effect of local anthropogenic sources.</t>
  </si>
  <si>
    <t>[Chernov, Dmitriy G.; Kozlov, Valery S.; Sakerin, Sergei M.] Russian Acad Sci, VE Zuev Inst Atmospher Opt, Siberian Branch, Academician Zuev Sq 1, Tomsk 634021, Russia; [Lubo-Leshnichenko, Konstantin E.; Radionov, Vladimir F.; Sidorova, Olga R.] Arctic &amp; Antarctic Res Inst, 38 Bering Str, St Petersburg 199397, Russia</t>
  </si>
  <si>
    <t>Zuev Institute of Atmospheric Optics, Siberian Branch of the Russian Academy of Sciences; Russian Academy of Sciences; Arctic &amp; Antarctic Research Institute</t>
  </si>
  <si>
    <t>Chernov, DG (corresponding author), Russian Acad Sci, VE Zuev Inst Atmospher Opt, Siberian Branch, Academician Zuev Sq 1, Tomsk 634021, Russia.</t>
  </si>
  <si>
    <t>chernov@iao.ru</t>
  </si>
  <si>
    <t>Chernov, Dmitriy/0000-0003-1877-6678</t>
  </si>
  <si>
    <t>Ministry of Education and Science</t>
  </si>
  <si>
    <t>Ministry of Education and Science(Ministry of Education, Culture, Sports, Science and Technology, Japan (MEXT))</t>
  </si>
  <si>
    <t>Aerosol characteristics were measured within the framework of the program of the Russian Arctic expedition on the Spitsbergen Archipelago (RAE-Sh) in the Arctic and Antarctic Research Institute. The analysis of the results was carried out with the support of the Ministry of Education and Science.</t>
  </si>
  <si>
    <t>SPIE-INT SOC OPTICAL ENGINEERING</t>
  </si>
  <si>
    <t>BELLINGHAM</t>
  </si>
  <si>
    <t>1000 20TH ST, PO BOX 10, BELLINGHAM, WA 98227-0010 USA</t>
  </si>
  <si>
    <t>0277-786X</t>
  </si>
  <si>
    <t>1996-756X</t>
  </si>
  <si>
    <t>978-1-5106-3942-3</t>
  </si>
  <si>
    <t>PROC SPIE</t>
  </si>
  <si>
    <t>115602U</t>
  </si>
  <si>
    <t>10.1117/12.2574446</t>
  </si>
  <si>
    <t>Meteorology &amp; Atmospheric Sciences; Oceanography; Optics; Physics, Applied</t>
  </si>
  <si>
    <t>Meteorology &amp; Atmospheric Sciences; Oceanography; Optics; Physics</t>
  </si>
  <si>
    <t>BR4PT</t>
  </si>
  <si>
    <t>WOS:000652167500101</t>
  </si>
  <si>
    <t>Kabanov, DM; Kozlov, VS; Kruglinsky, IA; Loskutova, MA; Lubo-Lesnichenko, KE; Makshtas, AP; Movchan, VV; Radionov, VF; Sakerin, SM; Chernov, DG; Turchinovich, YS</t>
  </si>
  <si>
    <t>Kabanov, Dmitry M.; Kozlov, Valery S.; Kruglinsky, Ivan A.; Loskutova, Marina A.; Lubo-Lesnichenko, Konstantin E.; Makshtas, Alexander P.; Movchan, Vadim V.; Radionov, Vladimir F.; Sakerin, Sergey M.; Chernov, Dmitry G.; Turchinovich, Yuri S.</t>
  </si>
  <si>
    <t>Comparison of aerosol characteristics at polar station Cape Baranov and Barentsburg in measurement seasons of 2018-2019</t>
  </si>
  <si>
    <t>aerosol optical depth; concentrations of aerosol and black carbon; Arctic stations</t>
  </si>
  <si>
    <t>BLACK CARBON; TIKSI STATION; REGION; AIR</t>
  </si>
  <si>
    <t>We discuss the measurements of aerosol optical depth (AOD) of the atmosphere and aerosol (N-A) and black carbon (M-BC) concentrations in 2018-2019 at two Arctic stations: Barentsburg (Archipelago Spitsbergen) and Cape Baranov (Archipelago Severnaya Zemlya). The average aerosol characteristics at Cape Baranov had been: AOD (0.5 mu m) = 0.11, N-A = 5.24 cm(-3), M-BC = 47 ng/m(3) in 2019; and AOD (0.5 mu m) = 0.07, MBC = 68 ng/m(3) in 2018. The aerosol characteristics in Barentsburg, on the average, have larger values: AOD (0.5 mu m) = 0.12, N-A = 6.09 cm(-3), M-BC = 91 ng/m(3) in 2019; and AOD (0.5 mu m) = 0.087, N-A = 6.54 cm(-3), M-BC = 109 ng/m(3) in 2018.</t>
  </si>
  <si>
    <t>[Kabanov, Dmitry M.; Kozlov, Valery S.; Kruglinsky, Ivan A.; Sakerin, Sergey M.; Chernov, Dmitry G.; Turchinovich, Yuri S.] Russian Acad Sci, VE Zuev Inst Atmospher Opt, Siberian Branch, Academician Zuev Sq 1, Tomsk 634021, Russia; [Kruglinsky, Ivan A.] Tomsk State Univ, Lenin Ave 36, Tomsk 634050, Russia; [Loskutova, Marina A.; Lubo-Lesnichenko, Konstantin E.; Makshtas, Alexander P.; Movchan, Vadim V.; Radionov, Vladimir F.] Arctic &amp; Antarctic Res Inst, 38 Bering Str, St Petersburg 199397, Russia</t>
  </si>
  <si>
    <t>Russian Academy of Sciences; Zuev Institute of Atmospheric Optics, Siberian Branch of the Russian Academy of Sciences; Tomsk State University; Arctic &amp; Antarctic Research Institute</t>
  </si>
  <si>
    <t>Kabanov, DM (corresponding author), Russian Acad Sci, VE Zuev Inst Atmospher Opt, Siberian Branch, Academician Zuev Sq 1, Tomsk 634021, Russia.</t>
  </si>
  <si>
    <t>dkab@iao.ru</t>
  </si>
  <si>
    <t>Radionov, Vladimir F./O-3038-2017; Kabanov, Dmitry M./A-5805-2014; Makshtas, Alexander P./K-7538-2016; Loskutova, Marina/JNS-4477-2023; Sakerin, Sergey/A-6508-2014; Kabanov, Dmitry/A-4871-2014</t>
  </si>
  <si>
    <t>The authors thank their colleagues who prepared the expeditionary equipment for measurements, i.e., to A.P. Rostov, V.P. Shmargunov and S.A. Turchinovich.; Aerosol characteristics were measured within the framework of the programs of the Russian Arctic expedition on the Spitsbergen Archipelago (RAE-Sh) and the High Latitude Arctic Expedition in the Arctic and Antarctic Research Institute. The analysis of the results was carried out with the support of the Ministry of Education and Science.</t>
  </si>
  <si>
    <t>10.1117/12.2574699</t>
  </si>
  <si>
    <t>WOS:000652167500108</t>
  </si>
  <si>
    <t>Kashkin, VB; Rubleva, TV; Romanov, AA</t>
  </si>
  <si>
    <t>Kashkin, Valentin B.; Rubleva, Tatyana, V; Romanov, Aleksey A.</t>
  </si>
  <si>
    <t>Modulation of the meridional ozone transfer by the Southern oscillation (ENSO) in the time of filling Antarctic ozone hole</t>
  </si>
  <si>
    <t>Satellite monitoring; atmospheric dynamics; polar vortex; Southern Oscillation; El Nino; La Nina; total ozone; Antarctic ozone hole</t>
  </si>
  <si>
    <t>The aim of the study was to reveal the reasons of variations in the time of the beginning of spring filling of the Antarctic ozone hole (AOH). We used data from NASA satellites on the total ozone (TO). Data on the zonal wind speed at the latitude of 60 degrees S and the isobaric level of 50 GPA and, respectively, the rotation speed of the circumpolar vortex were used. Increased speed leads to greater centrifugal force and increased delay of the meridional mass transfer of ozone from middle latitudes to the polar region. So, filling in the AOH starts later. When the speed decreases, the delay decreases, and the AOH filling starts earlier. The study focuses on the correlation between the time series of three geophysical phenomena between 1979 and 2018. The first series is data on TO in the polar latitudes of the Southern Hemisphere in early October. The second series describes the wind speed at 60 degrees S. The third is a series of indices of the El Nino phenomenon. Close correlations have been found between the zonal wind speed and TO and between the zonal wind speed and El Nino-La Nina indices. The El Nino-La Nina events, changing the zonal wind speed, control the dates when the AOH begins to be filled due to the meridional ozone mass transfer from the middle latitudes to the polar region that occurs every October.</t>
  </si>
  <si>
    <t>[Kashkin, Valentin B.; Rubleva, Tatyana, V; Romanov, Aleksey A.] Siberian Fed Univ, Svobodny Str 79, Krasnoyarsk 660041, Russia</t>
  </si>
  <si>
    <t>Siberian Federal University</t>
  </si>
  <si>
    <t>Kashkin, VB (corresponding author), Siberian Fed Univ, Svobodny Str 79, Krasnoyarsk 660041, Russia.</t>
  </si>
  <si>
    <t>rtcvbk@rambler.ru; tvrubleva@mail.ru; AARomanov@sfu-kras.ru</t>
  </si>
  <si>
    <t>Romanov, Aleksey/A-2629-2013</t>
  </si>
  <si>
    <t>Romanov, Aleksey/0000-0001-9612-4240</t>
  </si>
  <si>
    <t>115608V</t>
  </si>
  <si>
    <t>10.1117/12.2575634</t>
  </si>
  <si>
    <t>WOS:000652167500316</t>
  </si>
  <si>
    <t>Latushkin, AA; Artemiev, VA; Salyuk, PA; Garmashov, AV</t>
  </si>
  <si>
    <t>Latushkin, Alexandr A.; Artemiev, Vladimir A.; Salyuk, Pavel A.; Garmashov, Anton, V</t>
  </si>
  <si>
    <t>Distribution of bio-optical parameters in the Lomonosov equatorial undercurrent in December 2019</t>
  </si>
  <si>
    <t>light beam attenuation coefficient; salinity; temperature; Lomonosov equatorial undercurrent; fluorescence; chlorophyll-a; dissolved organic matter</t>
  </si>
  <si>
    <t>The paper presents a joint analysis of direct measurements of bio-optical, hydro-optical and hydrodynamic characteristics performed on a section through the Lomonosov equatorial undercurrent in December 2019 along 26 degrees of west longitude. The vertical structure of the temperature and salinity of seawater, the speed and direction of the currents, the concentration of chlorophyll-a and the fluorescence of dissolved organic matter (DOM), and light beam attenuation coefficient at 525 and 625 nm were analyzed. The obtained sections show a low content of the main optically active components of seawater. The maximum values of all the analyzed optical parameters were recorded on a pycnocline at depths of 60-80 meters, where phytoplankton cells develop, which mainly determine the variability of the optical characteristics of the region.</t>
  </si>
  <si>
    <t>[Latushkin, Alexandr A.; Garmashov, Anton, V] Russian Acad Sci, Marine Hydrophys Inst, Sevastopol, Russia; [Artemiev, Vladimir A.] Russian Acad Sci, Shirshov Inst Oceanol, Moscow, Russia; [Salyuk, Pavel A.] Russian Acad Sci, VI Ilichev Pacific Oceanol Inst, Far Eastern Branch, Vladivostok, Russia</t>
  </si>
  <si>
    <t>Marine Hydrophysical Institute of RAS; Russian Academy of Sciences; Russian Academy of Sciences; Shirshov Institute of Oceanology; Russian Academy of Sciences; Ilichev Pacific Oceanological Institute</t>
  </si>
  <si>
    <t>Latushkin, AA (corresponding author), Russian Acad Sci, Marine Hydrophys Inst, Sevastopol, Russia.</t>
  </si>
  <si>
    <t>sevsalat@gmail.com</t>
  </si>
  <si>
    <t>Garmashov, Anton/P-4155-2017; Salyuk, Pavel/E-8592-2014</t>
  </si>
  <si>
    <t>Garmashov, Anton/0000-0003-4412-2483; Salyuk, Pavel/0000-0002-3224-710X</t>
  </si>
  <si>
    <t>Marine Hydrophysical Institute of RAS [0555-2019-0003]; IO RAS [0128-2019-0008]; POI FEB RAS [FWMM-2019-0007]</t>
  </si>
  <si>
    <t>Marine Hydrophysical Institute of RAS; IO RAS; POI FEB RAS</t>
  </si>
  <si>
    <t>This work was carried out within the framework of State Orders: Marine Hydrophysical Institute of RAS, the order No.0555-2019-0003 Experimental studies of the variability of hydrophysical, hydrochemical and bio-optical fields at different spatio-temporal scales for identification of the peculiarities of climatic changes in oceanographic conditions in the Atlantic part of Antarctic; IO RAS, the order No. 0128-2019-0008 Assessment of the current state of natural complexes of the Atlantic sector of the Southern Ocean and their different periods of variability (ecosystems, bioproductivity, hydrophysics, hydro-and geochemistry); POI FEB RAS, the order No. FWMM-2019-0007 Integrated Environmental Studies of the Southern Ocean.</t>
  </si>
  <si>
    <t>10.1117/12.2575466</t>
  </si>
  <si>
    <t>WOS:000652167500144</t>
  </si>
  <si>
    <t>Sakerin, SM; Kabanov, DM; Pol'kin, VV; Pochufarov, AO; Radionov, VF; Rize, DD</t>
  </si>
  <si>
    <t>Sakerin, Sergey M.; Kabanov, Dmitry M.; Pol'kin, Victor V.; Pochufarov, Anton O.; Radionov, Vladimir F.; Rize, Denis D.</t>
  </si>
  <si>
    <t>Variations in optical and microphysical characteristics of atmospheric aerosol in expeditions Transarctic-2019</t>
  </si>
  <si>
    <t>aerosol optical depth; concentrations of aerosol and black carbon; Arctic Ocean</t>
  </si>
  <si>
    <t>TIKSI STATION; REGION; AIR</t>
  </si>
  <si>
    <t>We discuss the results of studying the aerosol optical depth (AOD) of the atmosphere and aerosol and black carbon concentrations over the Arctic Ocean and Far East seas in expeditions Transarctic-2019 onboard RV Akademik Tryoshnikov and RV Professor Multanovskiy. The lowest aerosol content was observed in April 2019 in the region where RV Akademik Tryoshnikov drifted in ice: AOD (0.5 mu m) = 0.67; N-A approximate to 2 cm(-3). The maximal average concentrations of aerosol (8.62 cm(-3)) and black carbon (179 ng/m(3)) were obtained in the southern part of the Barents Sea. It is noted that the average aerosol characteristics (and especially AOD) during summer 2019 over Arctic and Far East seas were higher than multiyear data due to outflow of smokes from massive forest fires in Siberia.</t>
  </si>
  <si>
    <t>[Sakerin, Sergey M.; Kabanov, Dmitry M.; Pol'kin, Victor V.; Pochufarov, Anton O.] Russian Acad Sci, VE Zuev Inst Atmospher Opt, Siberian Branch, Academician Zuev Sq 1, Tomsk 634021, Russia; [Radionov, Vladimir F.; Rize, Denis D.] Arctic &amp; Antarctic Res Inst, 38 Bering Str, St Petersburg 199397, Russia</t>
  </si>
  <si>
    <t>Sakerin, SM (corresponding author), Russian Acad Sci, VE Zuev Inst Atmospher Opt, Siberian Branch, Academician Zuev Sq 1, Tomsk 634021, Russia.</t>
  </si>
  <si>
    <t>sms@iao.ru</t>
  </si>
  <si>
    <t>Radionov, Vladimir F./O-3038-2017; Kabanov, Dmitry/A-4871-2014; Kabanov, Dmitry M./A-5805-2014; Sakerin, Sergey/A-6508-2014</t>
  </si>
  <si>
    <t>Aerosol characteristics were measured within the framework of the programs of the expedition TransArctic-2019 in the Arctic and Antarctic Research Institute. The analysis of the results was carried out with the support of the Ministry of Education and Science.</t>
  </si>
  <si>
    <t>115602H</t>
  </si>
  <si>
    <t>10.1117/12.2572641</t>
  </si>
  <si>
    <t>WOS:000652167500088</t>
  </si>
  <si>
    <t>Sakerin, SM; Kabanov, DM; Kruglinsky, IA; Lubo-Lesnichenko, KE; Radionov, VF; Sidorova, OR</t>
  </si>
  <si>
    <t>Sakerin, Sergey M.; Kabanov, Dmitry M.; Kruglinsky, Ivan A.; Lubo-Lesnichenko, Konstantin E.; Radionov, Vladimir F.; Sidorova, Olga R.</t>
  </si>
  <si>
    <t>Seasonal and interannual variations in atmospheric aerosol optical depth during 2011-2019 in Barentsburg (Spitsbergen)</t>
  </si>
  <si>
    <t>aerosol optical depth; long-term variability; Arctic; Barentsburg</t>
  </si>
  <si>
    <t>We discuss the results from analysis of seasonal and interannual variations in aerosol optical depth (AOD) of the atmosphere, using observations in 2011-2019 at the polar station Barentsburg (Spitsbergen Archipelago). The multiyear average values had been 0.091 for AOD (0.5 mu m) and 1.28 for Angstrom exponent. Fine-mode aerosol makes the major contribution (77%) to AOD and its variations. Summertime AOD maximum in July-August developed in the seasonal behavior in addition to springtime maximum. The summertime maximum is attributed to outflows, more frequent in recent years, of smokes from forest fires in boreal zone to the Arctic atmosphere. The interannual variations in AOD are, too, mainly determined by the frequency and intensity of outflows of smoke aerosol. The annually average values of AOD (0.5 mu m) varied from 0.069 in 2013 to 0.116 in 2019.</t>
  </si>
  <si>
    <t>[Sakerin, Sergey M.; Kabanov, Dmitry M.; Kruglinsky, Ivan A.] Russian Acad Sci, VE Zuev Inst Atmospher Opt, Siberian Branch, Academician Zuev Sq 1, Tomsk 634021, Russia; [Kruglinsky, Ivan A.] Tomsk State Univ, 36 Lenin Ave, Tomsk 634050, Russia; [Lubo-Lesnichenko, Konstantin E.; Radionov, Vladimir F.; Sidorova, Olga R.] Arctic &amp; Antarctic Reserch Inst, 38 Bering Str, St Petersburg 199397, Russia</t>
  </si>
  <si>
    <t>Zuev Institute of Atmospheric Optics, Siberian Branch of the Russian Academy of Sciences; Russian Academy of Sciences; Tomsk State University</t>
  </si>
  <si>
    <t>Kabanov, Dmitry/A-4871-2014; Kabanov, Dmitry M./A-5805-2014; Radionov, Vladimir F./O-3038-2017; Sakerin, Sergey/A-6508-2014</t>
  </si>
  <si>
    <t>Ministry of Science and Higher Education of the Russian Federation; Ministry of Education and Science</t>
  </si>
  <si>
    <t>Ministry of Science and Higher Education of the Russian Federation; Ministry of Education and Science(Ministry of Education, Culture, Sports, Science and Technology, Japan (MEXT))</t>
  </si>
  <si>
    <t>This work was supported by the Ministry of Science and Higher Education of the Russian Federation. Aerosol characteristics were measured within the framework of the program of the Russian Arctic expedition on the Spitsbergen Archipelago (RAE-Sh) in the Arctic and Antarctic Research Institute. The analysis of the results was carried out with the support of the Ministry of Education and Science.</t>
  </si>
  <si>
    <t>115602J</t>
  </si>
  <si>
    <t>10.1117/12.2572691</t>
  </si>
  <si>
    <t>WOS:000652167500090</t>
  </si>
  <si>
    <t>Salyuk, PA; Glukhovets, DI; Moiseeva, NA; Artemiev, VA; Mayor, AY; Khrapko, AN</t>
  </si>
  <si>
    <t>Salyuk, Pavel A.; Glukhovets, Dmitry, I; Moiseeva, Nataliia A.; Artemiev, Vladimir A.; Mayor, Alexander Yu; Khrapko, Alexander N.</t>
  </si>
  <si>
    <t>Phycoerythrin influence on the optical characteristics of seawater in the Atlantic sector of the Southern Ocean</t>
  </si>
  <si>
    <t>phycoerythrin; Southern Ocean; Antarctic Peninsula; fluorescence; absorbance; remote sensed reflectance; sun-induced</t>
  </si>
  <si>
    <t>PHYTOPLANKTON; ABSORPTION; CHLOROPHYLL; COLOR; PIGMENT; MARINE; BLACK; FIELD</t>
  </si>
  <si>
    <t>The work is devoted to the study of the effect of phycoerythrin pigment on the seawater optical properties in the Atlantic sector of the Southern Ocean. The investigation was carried out in the 79th expedition of the R / V Akademik Mstislav Keldysh in January 2020. At some stations, a high content of phycoerythrin was registered in the fluorescence spectra of seawater, the light absorption spectra by suspended particles, and in the remote sensed reflectance spectra of seawater. In particular, the fluorescence of this pigment induced by solar radiation was recorded in ocean color data. The presence of phycoerythrin can lead to uncertainties of the chlorophyll-a concentration estimates from satellite data retrieved with standard algorithms.</t>
  </si>
  <si>
    <t>[Salyuk, Pavel A.] Russian Acad Sci, VI Ilichev Pacific Oceanol Inst, Far Eastern Branch, Vladivostok, Russia; [Glukhovets, Dmitry, I; Artemiev, Vladimir A.; Khrapko, Alexander N.] Russian Acad Sci, Shirshov Inst Oceanol, Moscow, Russia; [Glukhovets, Dmitry, I] Moscow Inst Phys &amp; Technol, Dolgoprudnyi, Russia; [Moiseeva, Nataliia A.] Russian Acad Sci, AO Kovalevsky Inst Biol Southern Seas, Sevastopol, Russia; [Mayor, Alexander Yu] Russian Acad Sci, Inst Automat &amp; Control Proc, Far Eastern Branch, Vladivostok, Russia</t>
  </si>
  <si>
    <t>Ilichev Pacific Oceanological Institute; Russian Academy of Sciences; Russian Academy of Sciences; Shirshov Institute of Oceanology; Moscow Institute of Physics &amp; Technology; Russian Academy of Sciences; AO Kovalevsky Institute of Biology of the Southern Seas of RAS (IBSS); Russian Academy of Sciences; Institute of Automation &amp; Control Processes, Far East Branch of the Russian Academy of Sciences</t>
  </si>
  <si>
    <t>Salyuk, PA (corresponding author), Russian Acad Sci, VI Ilichev Pacific Oceanol Inst, Far Eastern Branch, Vladivostok, Russia.</t>
  </si>
  <si>
    <t>pavel.salyuk@gmail.com</t>
  </si>
  <si>
    <t>Salyuk, Pavel/E-8592-2014</t>
  </si>
  <si>
    <t>Salyuk, Pavel/0000-0002-3224-710X</t>
  </si>
  <si>
    <t>POI FEB RAS [FWMM-2019-0007]; SIO RAS [01282019-0008]; IBSS RAS [AAAA-A19-119100290162-0]; IACP FEB RAS [AAAA-A20-120031090004-8]</t>
  </si>
  <si>
    <t>POI FEB RAS; SIO RAS; IBSS RAS; IACP FEB RAS</t>
  </si>
  <si>
    <t>This work was carried out as part of Russian budget theme: POI FEB RAS No FWMM-2019-0007; SIO RAS No 01282019-0008; IBSS RAS No AAAA-A19-119100290162-0; IACP FEB RAS No AAAA-A20-120031090004-8.</t>
  </si>
  <si>
    <t>10.1117/12.2575813</t>
  </si>
  <si>
    <t>WOS:000652167500184</t>
  </si>
  <si>
    <t>Simonova, GV; Kalashnikova, DA; Turchinovich, YS; Makshtas, AP</t>
  </si>
  <si>
    <t>Simonova, G., V; Kalashnikova, D. A.; Turchinovich, Yu S.; Makshtas, A. P.</t>
  </si>
  <si>
    <t>The atmospheric aerosol carbon isotope composition studies at the Svalbard and the Severnaya Zemlya archipelagos</t>
  </si>
  <si>
    <t>atmospheric aerosol; carbon isotope composition; Svalbard; West Spitsbergen; Barentsburg; Severnaya Zemlya; Ice Base Cape Baranov; backward trajectories</t>
  </si>
  <si>
    <t>STABLE CARBON; ORGANIC-MATTER; BLACK CARBON; TROPHIC RELATIONSHIPS; PARTICLES; SEA; DELTA-C-13; TRANSPORT; NORTHERN; BOREAL</t>
  </si>
  <si>
    <t>The study of the carbon isotope composition of atmospheric aerosol in the Arctic zone is of great importance for the pyrogenic carbon sources identification. Atmospheric aerosol samples were collected in the Arctic at the research station Ice Base Cape Baranov (the Severnaya Zemlya archipelago) from April 2018 to November 2019 and at Barentsburg (the Svalbard archipelago) from December 2018 to July 2019 and from November 2019 to February 2020. The carbon isotope composition (delta C-13 value) was determined in aerosol samples to identify the sources of carbonaceous aerosols. For Ice Base Cape Baranov the average delta C-13 value (-27.5 +/- 0.5%) of total carbon of the winter (2018-2019) aerosols lower than the average delta C-13 value (-26.8 +/- 0.8%) of the spring-summer (2019) aerosols. The average delta C-13 values of the atmospheric aerosols in Barentsburg showed that the delta C-13. value was -26.9 parts per thousand in winter, the delta C-13 value was -26.3 parts per thousand and -26.1 parts per thousand in spring and summer, respectively. The increased delta C-13 values in spring and summer (2019) at the Ice Base Cape Baranov can likely be explained by the input of soot aerosol, the source of which is boreal forest fires at the Krasnoyarsk Region and the Republic of Sakha. According to the backward trajectories of the air masses, the transfer of soot particles to Barentsburg was carried out from Europe, North America and over the Arctic Ocean, and to the Severnaya Zemlya from the continental part of Krasnoyarsk Region and the Republic of Sakha.</t>
  </si>
  <si>
    <t>[Simonova, G., V; Kalashnikova, D. A.] Inst Monitoring Climat &amp; Ecol Syst SB RAS, Tomsk, Russia; [Turchinovich, Yu S.] VE Zuev Inst Atmospher Opt SB RAS, Tomsk, Russia; [Makshtas, A. P.] Arctic &amp; Antarctic Res Inst, St Petersburg, Russia</t>
  </si>
  <si>
    <t>Russian Academy of Sciences; Institute of Monitoring of Climatic &amp; Ecological Systems of the Siberian Branch of the RAS; Zuev Institute of Atmospheric Optics, Siberian Branch of the Russian Academy of Sciences; Russian Academy of Sciences; Arctic &amp; Antarctic Research Institute</t>
  </si>
  <si>
    <t>Makshtas, AP (corresponding author), Arctic &amp; Antarctic Res Inst, St Petersburg, Russia.</t>
  </si>
  <si>
    <t>galina_simonova@inbox.ru</t>
  </si>
  <si>
    <t>Makshtas, Alexander P./K-7538-2016; Kalashnikova, Daria/KDN-0449-2024</t>
  </si>
  <si>
    <t>IMCES SB RAS Basic Project [AAAA-A17-117013050030-1]; Complex Program of Basic Research, Siberian Branch, Russian Academy of Sciences [RTD AAAA-A18-118012490017-8]</t>
  </si>
  <si>
    <t>IMCES SB RAS Basic Project; Complex Program of Basic Research, Siberian Branch, Russian Academy of Sciences(Russian Academy of Sciences)</t>
  </si>
  <si>
    <t>We thank to the staff of V.E. Zuev Institute of Atmospheric Optics and Arctic and Antarctic Research Institute for participation in the sampling of atmospheric aerosol. This work was partially supported by the IMCES SB RAS Basic Project AAAA-A17-117013050030-1 and part of project. RTD AAAA-A18-118012490017-8 of the Complex Program of Basic Research, Siberian Branch, Russian Academy of Sciences Interdisciplinary Integration Studies for 2018-2020.</t>
  </si>
  <si>
    <t>115605A</t>
  </si>
  <si>
    <t>10.1117/12.2575963</t>
  </si>
  <si>
    <t>WOS:000652167500188</t>
  </si>
  <si>
    <t>Zuev, VV; Savelieva, ES; Borovko, IV; Krupchatnikov, VN</t>
  </si>
  <si>
    <t>Zuev, Vladimir V.; Savelieva, Ekaterina S.; Borovko, Irina, V; Krupchatnikov, Vladimir N.</t>
  </si>
  <si>
    <t>Antarctic polar vortex weakening due to a temperature decrease in the lower subtropical stratosphere</t>
  </si>
  <si>
    <t>Antarctic polar vortex; subtropical stratospheric temperature; polar ozone depletion</t>
  </si>
  <si>
    <t>SOUTHERN-HEMISPHERE; OZONE HOLE; WINTER; DEPLETION; MODEL</t>
  </si>
  <si>
    <t>The stratospheric polar vortex strength in spring determines to a great extent the duration and intensity of ozone depletion in the polar regions. The size of the Antarctic ozone hole usually reaches its maximum in September and then drops off during October and November. However, in 2015, a significant increase in the ozone hole area relative to climatological mean values was observed in October under the strong polar vortex conditions, and in 2002 its abnormal decrease was recorded as a result of the splitting of the polar vortex in September. A significant increase and decrease in temperature of the lower subtropical stratosphere in the spring of 2015 and 2002, which contributed to a corresponding increase and decrease in the stratospheric meridional temperature gradient during these years, was considered as a possible cause for the polar vortex strengthening in 2015 and its weakening in 2002.</t>
  </si>
  <si>
    <t>[Zuev, Vladimir V.; Savelieva, Ekaterina S.] Russian Acad Sci, Inst Monitoring Climat &amp; Ecol Syst, Siberian Branch, 10-3 Acad Ave, Tomsk 634055, Russia; [Borovko, Irina, V; Krupchatnikov, Vladimir N.] Russian Acad Sci, Inst Computat Math &amp; Math Geophys, Siberian Branch, 6 Ac Lavrentieva Ave, Novosibirsk 630090, Russia; [Borovko, Irina, V; Krupchatnikov, Vladimir N.] Siberian Reg Hydrometeorol Res Inst, 30 Sovetskaya St, Novosibirsk 630099, Russia; [Krupchatnikov, Vladimir N.] Novosibirsk State Univ, 1 Pirogova St, Novosibirsk 630090, Russia</t>
  </si>
  <si>
    <t>Russian Academy of Sciences; Institute of Monitoring of Climatic &amp; Ecological Systems of the Siberian Branch of the RAS; Russian Academy of Sciences; Novosibirsk State University</t>
  </si>
  <si>
    <t>Krupchatnikov, VN (corresponding author), Russian Acad Sci, Inst Computat Math &amp; Math Geophys, Siberian Branch, 6 Ac Lavrentieva Ave, Novosibirsk 630090, Russia.;Krupchatnikov, VN (corresponding author), Siberian Reg Hydrometeorol Res Inst, 30 Sovetskaya St, Novosibirsk 630099, Russia.;Krupchatnikov, VN (corresponding author), Novosibirsk State Univ, 1 Pirogova St, Novosibirsk 630090, Russia.</t>
  </si>
  <si>
    <t>vzuev@list.ru; p.vortices@gmail.com; irina.borovko@yandex.ru; vkrupchatnikov@yandex.ru</t>
  </si>
  <si>
    <t>Krupchatnikov, Vladimir/A-4933-2014; Savelieva, Ekaterina S/E-4782-2014; Savelieva, Ekaterina/HCH-5908-2022; Zuev, Vladimir/E-5470-2014</t>
  </si>
  <si>
    <t>Savelieva, Ekaterina S/0000-0002-6560-7386; Zuev, Vladimir/0000-0002-2351-8924</t>
  </si>
  <si>
    <t>Ministry of Science and Higher Education of the Russian Federation [AAAA-A17-117013050038-7, 0315-2019-0004]</t>
  </si>
  <si>
    <t>This study was supported by the Ministry of Science and Higher Education of the Russian Federation (project No. AAAA-A17-117013050038-7) and the ICMMG SB RAS State Assignment (No. 0315-2019-0004).</t>
  </si>
  <si>
    <t>115607U</t>
  </si>
  <si>
    <t>10.1117/12.2574652</t>
  </si>
  <si>
    <t>WOS:000652167500279</t>
  </si>
  <si>
    <t>Zuev, VV; Zueva, NE; Savelieva, ES; Pavlinskiy, AV</t>
  </si>
  <si>
    <t>Zuev, Vladimir V.; Zueva, Nina E.; Savelieva, Ekaterina S.; Pavlinskiy, Alexey, V</t>
  </si>
  <si>
    <t>Temperature variability in the upper polar stratosphere depending on the polar vortex strength</t>
  </si>
  <si>
    <t>polar vortices; springtime ozone depletion; temperature of the upper polar stratosphere</t>
  </si>
  <si>
    <t>OZONE LOSS</t>
  </si>
  <si>
    <t>The polar vortex strengthening leads not only to a temperature decrease in the lower stratosphere, but also to its increase in the upper stratosphere inside the vortex. Over the Antarctic, this dependence is observed from autumn to spring: in the upper stratosphere high temperatures are observed inside the polar vortex, and low temperatures occur outside, especially in spring. Over the Arctic, a temperature increase in the upper Arctic stratosphere is observed under conditions of the strengthening of the northern polar vortex. Temperature variations in the upper polar stratosphere are determined by the ozone concentration and depend on the dynamics of the polar vortex: with a decrease in the ozone content inside the strong vortex in the upper stratosphere, a temperature increase is observed.</t>
  </si>
  <si>
    <t>[Zuev, Vladimir V.; Zueva, Nina E.; Savelieva, Ekaterina S.; Pavlinskiy, Alexey, V] Russian Acad Sci, Inst Monitoring Climat &amp; Ecol Syst, Siberian Branch, 10-3 Acad Sky Ave, Tomsk 634055, Russia</t>
  </si>
  <si>
    <t>Russian Academy of Sciences; Institute of Monitoring of Climatic &amp; Ecological Systems of the Siberian Branch of the RAS</t>
  </si>
  <si>
    <t>Savelieva, ES (corresponding author), Russian Acad Sci, Inst Monitoring Climat &amp; Ecol Syst, Siberian Branch, 10-3 Acad Sky Ave, Tomsk 634055, Russia.</t>
  </si>
  <si>
    <t>p.vortices@gmail.com</t>
  </si>
  <si>
    <t>Pavlinsky, Alex V/H-6891-2017; Savelieva, Ekaterina/HCH-5908-2022; Savelieva, Ekaterina S/E-4782-2014; Zuev, Vladimir/E-5470-2014</t>
  </si>
  <si>
    <t>Pavlinsky, Alex V/0000-0002-0426-9555; Savelieva, Ekaterina S/0000-0002-6560-7386; Zuev, Vladimir/0000-0002-2351-8924</t>
  </si>
  <si>
    <t>115607R</t>
  </si>
  <si>
    <t>10.1117/12.2570671</t>
  </si>
  <si>
    <t>WOS:000652167500276</t>
  </si>
  <si>
    <t>Salam, AP</t>
  </si>
  <si>
    <t>Chouker, A</t>
  </si>
  <si>
    <t>Salam, Alex P.</t>
  </si>
  <si>
    <t>Exploration Class Missions on Earth: Lessons Learnt from Life in Extreme Antarctic Isolation and Confinement</t>
  </si>
  <si>
    <t>STRESS CHALLENGES AND IMMUNITY IN SPACE: FROM MECHANISMS TO MONITORING AND PREVENTIVE STRATEGIES, 2ND EDITION</t>
  </si>
  <si>
    <t>[Salam, Alex P.] Univ Oxford, Nuffield Dept Med, Oxford, England; [Salam, Alex P.] French Polar Inst, Inst Polaire Emile Victor, Plouzane, France</t>
  </si>
  <si>
    <t>University of Oxford</t>
  </si>
  <si>
    <t>Salam, AP (corresponding author), Univ Oxford, Nuffield Dept Med, Oxford, England.;Salam, AP (corresponding author), French Polar Inst, Inst Polaire Emile Victor, Plouzane, France.</t>
  </si>
  <si>
    <t>alexsalam@doctors.org.uk</t>
  </si>
  <si>
    <t>978-3-030-16996-1; 978-3-030-16995-4</t>
  </si>
  <si>
    <t>10.1007/978-3-030-16996-1_38</t>
  </si>
  <si>
    <t>10.1007/978-3-030-16996-1</t>
  </si>
  <si>
    <t>Immunology; Physiology</t>
  </si>
  <si>
    <t>BR4BQ</t>
  </si>
  <si>
    <t>WOS:000650965600037</t>
  </si>
  <si>
    <t>Derzho, O</t>
  </si>
  <si>
    <t>Derzho, Oleg</t>
  </si>
  <si>
    <t>Variability of polar flows</t>
  </si>
  <si>
    <t>XXXVI SIBERIAN THERMOPHYSICAL SEMINAR (STS 36)</t>
  </si>
  <si>
    <t>Journal of Physics Conference Series</t>
  </si>
  <si>
    <t>36th Siberian Thermophysical Seminar (STS)</t>
  </si>
  <si>
    <t>OCT 05-07, 2020</t>
  </si>
  <si>
    <t>RAS, SB, Kutateladze Inst Thermophys, Novosibirsk, RUSSIA</t>
  </si>
  <si>
    <t>RAS, SB, Kutateladze Inst Thermophys</t>
  </si>
  <si>
    <t>ANTARCTIC CIRCUMPOLAR WAVE</t>
  </si>
  <si>
    <t>It is anticipated that the physical mechanism of the variability of polar currents may be attributed to temporal and spatial variations of the cyclonic mean flow due to circularly propagating nonlinear Rossby waves. A low order analytical model for the effect of large scale and low frequency variability of a polar current is presented. Rossby wave packet is shown to be an intrinsic mode of motion trapped between the major flows, which constitute the mean current. The Rossby wave pattern is predicted to rotate with a specific angular velocity, which depends on both the magnitude and width of the time averaged flow. Spatial structure of the rotating pattern, including its zonal wave number, is defined by the specific form of the stream function-vorticity relation. Theoretically predicted patterns capture the main features of the Antarctic Circumpolar Wave (ACW). The model is capable to predict the observed sequence of warm and cold patches in the ACW along with its zonal number.</t>
  </si>
  <si>
    <t>[Derzho, Oleg] Russian Acad Sci, Kutateladze Inst Thermophys, Novosibirsk, Russia</t>
  </si>
  <si>
    <t>Russian Academy of Sciences; S.S. Kutateladze Institute of Thermophysics, Siberian Division of the Russian Academy of Sciences</t>
  </si>
  <si>
    <t>Derzho, O (corresponding author), Russian Acad Sci, Kutateladze Inst Thermophys, Novosibirsk, Russia.</t>
  </si>
  <si>
    <t>oleg_derzho@yahoo.com.au</t>
  </si>
  <si>
    <t>IT SB RAS [AAAA-A18-118051690120-2]; RFBR [18-31-20036]</t>
  </si>
  <si>
    <t>IT SB RAS; RFBR(Russian Foundation for Basic Research (RFBR))</t>
  </si>
  <si>
    <t>The author acknowledges the support of IT SB RAS (AAAA-A18-118051690120-2) and RFBR (Project No. 18-31-20036).</t>
  </si>
  <si>
    <t>1742-6588</t>
  </si>
  <si>
    <t>1742-6596</t>
  </si>
  <si>
    <t>J PHYS CONF SER</t>
  </si>
  <si>
    <t>10.1088/1742-6596/1677/1/012009</t>
  </si>
  <si>
    <t>Thermodynamics; Physics, Applied</t>
  </si>
  <si>
    <t>Thermodynamics; Physics</t>
  </si>
  <si>
    <t>BR3KW</t>
  </si>
  <si>
    <t>WOS:000647447900009</t>
  </si>
  <si>
    <t>Moriana-Varo, C; Sanz-Garzón, C; Martín-Porqueras, F; Castillo-Fraile, M; Ventura-Traveset, J</t>
  </si>
  <si>
    <t>Inst Navigat</t>
  </si>
  <si>
    <t>Moriana-Varo, C.; Sanz-Garzon, C.; Martin-Porqueras, F.; Castillo-Fraile, M.; Ventura-Traveset, J.</t>
  </si>
  <si>
    <t>Atmospheric Characterization of Antarctic Polar Regions and Validation of Tropospheric and Ionospheric Models based on GNSS Experimental Campaign Data</t>
  </si>
  <si>
    <t>PROCEEDINGS OF THE 33RD INTERNATIONAL TECHNICAL MEETING OF THE SATELLITE DIVISION OF THE INSTITUTE OF NAVIGATION (ION GNSS+ 2020)</t>
  </si>
  <si>
    <t>Institute of Navigation Satellite Division Proceedings of the International Technical Meeting</t>
  </si>
  <si>
    <t>33rd International Technical Meeting of the Satellite-Division-of-The-Institute-of-Navigation (ION GNSS)</t>
  </si>
  <si>
    <t>SEP 21-25, 2020</t>
  </si>
  <si>
    <t>TOTAL ELECTRON-CONTENT</t>
  </si>
  <si>
    <t>Characterization of the atmosphere has a paramount importance to study, understand and predict climatological phenomena. In particular, and in the scope of satellite navigation, accurate measurement of tropospheric delays experienced by GNSS ranging signals, due to refraction, is a very powerful tool to monitor the neutral atmosphere and, more specifically, characterize the integrated water vapor (IWV). On the basis of the tropospheric delays, either computed through precise-point positioning solutions (e.g. GMV's magicPPP) or available models, the IWV can be computed by separating this delay in terms of the zenith hydrostatic (ZHD) and wet (ZWD) components. Complementary, study of the ionosphere and its characterization is also very interesting to understand solar cycles and analyze space weather (i.e. solar radiation, ionospheric storms). Being able of measuring and predicting space weather, and its impact in the ionosphere layer, is of great importance for many kinds of applications, such as high frequency communications, remote sensing radars or Safety-of-Life GNSS applications (e.g. SBAS). Characterization of ionosphere can be performed in different ways, as the measurement of the Total Electron Content (TEC) in the line of sight Slant TEC (STEC), or in the vertical component (VTEC), or the variation of this TEC through time. By relying on GNSS pseudorange and carrier-phase measurements, magnitude of TEC can be measured either by precise methods, such as those presented in [7] and [8], or through widely used ionospheric models. The Unexplored Antarctica Expedition 2018-2019 hosted the ESA's GESTA (Galileo Experimentation &amp; Scientific Tests in Antarctica) experiment. The experiment collected more than one week of GNSS raw data from a Septentrio PolaRx 5 receiver along 2000 km inside the Antarctica plateau and acquired the southernmost measurement of Galileo signals at almost 80 deg South Latitude. This data will be used as input to analyze the GNSS signals navigation performance at high latitude, and for the study of tropospheric and ionospheric delays, studying different metrics of interest (e.g. ZHD, ZWD, TEC, RoT). The resulting conclusions will allow to provide guidelines and inputs to feed other scientific experiments and models using GNSS data.</t>
  </si>
  <si>
    <t>[Moriana-Varo, C.] GMV, Madrid, Spain; [Sanz-Garzon, C.] GMV, GNSS User Segment Div, Madrid, Spain; [Martin-Porqueras, F.] ESA ESAC Telespazio Vega UK SL, Madrid, Spain; [Castillo-Fraile, M.; Ventura-Traveset, J.] ESA ESAC, Madrid, Spain</t>
  </si>
  <si>
    <t>Moriana-Varo, C (corresponding author), GMV, Madrid, Spain.</t>
  </si>
  <si>
    <t>European Space Agency [400012588618]</t>
  </si>
  <si>
    <t>European Space Agency(European Space Agency)</t>
  </si>
  <si>
    <t>The work presented is based on the outcome of a project funded by the European Space Agency under the contract 400012588618.</t>
  </si>
  <si>
    <t>INST NAVIGATION</t>
  </si>
  <si>
    <t>815 15TH ST NW, STE 832, WASHINGTON, DC 20005 USA</t>
  </si>
  <si>
    <t>2331-5911</t>
  </si>
  <si>
    <t>2331-5954</t>
  </si>
  <si>
    <t>0-936406-26-7</t>
  </si>
  <si>
    <t>I NAVIG SAT DIV INT</t>
  </si>
  <si>
    <t>10.33012/2020.17639</t>
  </si>
  <si>
    <t>Remote Sensing; Telecommunications</t>
  </si>
  <si>
    <t>BR1JY</t>
  </si>
  <si>
    <t>WOS:000632603503037</t>
  </si>
  <si>
    <t>Ondrácková, L; Surian, N; Nyvlt, D; Stuchlík, R</t>
  </si>
  <si>
    <t>Ondrackova, Lenka; Surian, Nicola; Nyvlt, Daniel; Stuchlik, Radam</t>
  </si>
  <si>
    <t>DOWNSTREAM VARIABILITY OF CHANNEL MORPHOLOGY AND BED MATERIAL IN THE BRAIDED KELLER RIVER, JAMES ROSS ISLAND, ANTARCTICA</t>
  </si>
  <si>
    <t>GEOGRAFIA FISICA E DINAMICA QUATERNARIA</t>
  </si>
  <si>
    <t>Proglacial stream; Channel width; Clast roundness; Sediment sources; Sediment connectivity; Antarctica</t>
  </si>
  <si>
    <t>SEDIMENT TRANSPORT; GRAIN-SIZE; CENTRAL SPITSBERGEN; PROGLACIAL RIVERS; BEDLOAD TRANSPORT; PENINSULA REGION; DYNAMICS; GLACIER; STREAM; ENVIRONMENT</t>
  </si>
  <si>
    <t>Changes in sediment supply and water availability in rivers are associated with ongoing climate change and glacier melting. The processes connected with increasing temperatures largely determine braidplain activity within glacier forefields. This work focuses on downstream changes in channel morphology (i.e., channel width and braiding intensity) and bed material (i.e., petrological types and clast roundness), as well as possible controlling factors (i.e., sediment sources and sediment connectivity). The study area is the Keller River catchment located on the James Ross Island (JRI), Antarctica. This paper describes the 8.6 km-long Keller River in terms of morphology, including river braidplains, sediment sources and connectivity within the catchment. Eight sediment sources and three types were identified: one moraine sediment source, four debris-flow-dominated sediment sources and three fluvial-flow-dominated sediment sources. Along with high sediment connectivity, the occurrence of lateral sediment sources from tributaries significantly impacted downstream changes in channel morphology and processes. Channel width and braiding intensity showed an increasing downstream trend, although the channel width trend was irregular. As for bed material, sediment sources markedly control clast roundness with little effect of petrological properties.</t>
  </si>
  <si>
    <t>[Ondrackova, Lenka; Nyvlt, Daniel; Stuchlik, Radam] Masaryk Univ, Fac Sci, Dept Geog, Kotlarska 2, CS-61137 Brno, Czech Republic; [Surian, Nicola] Univ Padua, Dept Geosci, Via Giovanni Gradenigo 6, I-35131 Padua, Italy; [Ondrackova, Lenka] ENVIPARTNER Sro, Dept Water Management Studies, Videnska 55, Brno 63900, Czech Republic; [Nyvlt, Daniel] Czech Geol Survey, Brno Branch, Leitnerova 22, Brno 65869, Czech Republic</t>
  </si>
  <si>
    <t>Masaryk University Brno; University of Padua; Czech Geological Survey</t>
  </si>
  <si>
    <t>Ondrácková, L (corresponding author), Masaryk Univ, Fac Sci, Dept Geog, Kotlarska 2, CS-61137 Brno, Czech Republic.;Ondrácková, L (corresponding author), ENVIPARTNER Sro, Dept Water Management Studies, Videnska 55, Brno 63900, Czech Republic.</t>
  </si>
  <si>
    <t>lenkaondrackova@mail.muni.cz</t>
  </si>
  <si>
    <t>Surian, Nicola/A-9603-2010; Nyvlt, Daniel/D-5708-2011</t>
  </si>
  <si>
    <t>Surian, Nicola/0000-0002-8436-3196; Nyvlt, Daniel/0000-0002-6876-490X</t>
  </si>
  <si>
    <t>Czech Republic Ministry of Education, Youth and Sports [LM2015078, CZ.02.1.01/0.0/0.0/16_013/0001708]; Masaryk University [MUNI/A/1576/2019]</t>
  </si>
  <si>
    <t>Czech Republic Ministry of Education, Youth and Sports(Ministry of Education, Youth &amp; Sports - Czech Republic); Masaryk University</t>
  </si>
  <si>
    <t>The research is connected with the Czech Antarctic Expedition conducted between 2017 and 2018. L.O. thanks Erasmus+ for the internship and the Department of Geosciences, University of Padova for the beneficial collaboration and inspiring talks on this work (A. Brenna, M. Cavalli, S. Bizzi and the participants of the 2020 Fluvial Systems workshop in Bolzano). This research was supported by the Czech Republic Ministry of Education, Youth and Sports (Project Nos. LM2015078 and CZ.02.1.01/0.0/0.0/16_013/0001708) and by Masaryk University (Project No. MUNI/A/1576/2019). We acknowledge helpful comments provided by Mauro Guglielmin and an anonymous reviewer, which helped to significantly improve the message of this paper.</t>
  </si>
  <si>
    <t>COMITATO GLACIOLOGICO ITALIANO</t>
  </si>
  <si>
    <t>TORINO</t>
  </si>
  <si>
    <t>VIA VALPERGA CALUSO 35, TORINO, 10125, ITALY</t>
  </si>
  <si>
    <t>0391-9838</t>
  </si>
  <si>
    <t>1724-4781</t>
  </si>
  <si>
    <t>GEOGR FIS DIN QUAT</t>
  </si>
  <si>
    <t>Geogr. Fis. Din. Quat.</t>
  </si>
  <si>
    <t>10.4461/GFDQ.2020.43.8</t>
  </si>
  <si>
    <t>RU6XB</t>
  </si>
  <si>
    <t>WOS:000645287600001</t>
  </si>
  <si>
    <t>Blagoveshchenskaya, NF; Borisova, TD; Kalishin, AS; Yeoman, TK</t>
  </si>
  <si>
    <t>Blagoveshchenskaya, Nataly F.; Borisova, Tatiana D.; Kalishin, Alexey S.; Yeoman, Timothy K.</t>
  </si>
  <si>
    <t>Artificial small-scale field-aligned irregularities in the high latitude ionosphere F region: Comparison between O- and X-mode HF pumping at EISCAT</t>
  </si>
  <si>
    <t>2020 XXXIIIRD GENERAL ASSEMBLY AND SCIENTIFIC SYMPOSIUM OF THE INTERNATIONAL UNION OF RADIO SCIENCE</t>
  </si>
  <si>
    <t>33rd General Assembly and Scientific Symposium of the International-Union-of-Radio-Science</t>
  </si>
  <si>
    <t>AUG 29-SEP 05, 2020</t>
  </si>
  <si>
    <t>Rome, ITALY</t>
  </si>
  <si>
    <t>We present experimental investigations of distinctive features and behaviors of artificial small-scale field-aligned irregularities (AFAIs) in the high latitude ionosphere F-region induced by the ordinary (O-mode) and extraordinary (X-mode) polarized HF pump waves. Results are based on a large body experiments carried out at the EISCAT HF heating facility at Tromso Norway from 2010 - 2019.</t>
  </si>
  <si>
    <t>[Blagoveshchenskaya, Nataly F.; Borisova, Tatiana D.; Kalishin, Alexey S.] Arctic &amp; Antarctic Res Inst, St Petersburg, Russia; [Yeoman, Timothy K.] Univ Leicester, Dept Phys &amp; Astron, Leicester, Leics, England</t>
  </si>
  <si>
    <t>Arctic &amp; Antarctic Research Institute; University of Leicester</t>
  </si>
  <si>
    <t>Blagoveshchenskaya, NF (corresponding author), Arctic &amp; Antarctic Res Inst, St Petersburg, Russia.</t>
  </si>
  <si>
    <t>nataly@aari.nw.ru; borisova@aari.ru; askalishin@aari.ru; yxo@leicester.ac.uk</t>
  </si>
  <si>
    <t>Yeoman, Timothy k/L-9105-2014; Blagoveshchenskaya, Nataly/AAE-4093-2022</t>
  </si>
  <si>
    <t>Yeoman, Timothy k/0000-0002-8434-4825; Blagoveshchenskaya, Nataly/0000-0003-1752-3273; Kalishin, Alexey/0000-0001-7299-6546</t>
  </si>
  <si>
    <t>NERC [NE/K011766/1]</t>
  </si>
  <si>
    <t>We thank the staff of European scientific association EISCAT for providing and help with EISCAT HF pumping experiments. TKY is supported by NERC grant NE/K011766/1. We thank Dr. M. Rietveld for help with EISCAT HF pumping experiments.</t>
  </si>
  <si>
    <t>978-9-4639-6800-3</t>
  </si>
  <si>
    <t>Engineering, Electrical &amp; Electronic; Telecommunications</t>
  </si>
  <si>
    <t>Engineering; Telecommunications</t>
  </si>
  <si>
    <t>BR1HB</t>
  </si>
  <si>
    <t>WOS:000632276400189</t>
  </si>
  <si>
    <t>Blagoveshchenskaya, NF; Borisova, TD; Kalishin, AS; Häggström, I</t>
  </si>
  <si>
    <t>Blagoveshchenskaya, Nataly F.; Borisova, Tatiana D.; Kalishin, Alexey S.; Haggstrom, Ingemar</t>
  </si>
  <si>
    <t>Nonlinear phenomena in the high latitude ionosphere F region induced by O- and X-mode HF pumping at EISCAT</t>
  </si>
  <si>
    <t>Experimental results from multi-instrument observations at the EISCAT HF heating facility at Tromso, Norway, are presented. We compare distinctive features of artificial plasma turbulences in the high latitude ionosphere F-region induced by powerful HF electromagnetic waves with the ordinary (O-mode) and extraordinary (X-mode) polarization.</t>
  </si>
  <si>
    <t>[Blagoveshchenskaya, Nataly F.; Borisova, Tatiana D.; Kalishin, Alexey S.] Arctic &amp; Antarctic Res Inst, St Petersburg, Russia; [Haggstrom, Ingemar] EISCAT Sci Assoc, Kiruna, Sweden</t>
  </si>
  <si>
    <t>nataly@aari.nw.ru; borisova@aari.ru; askalishin@aari.ru; ingemar.haggstrom@eiscat.se</t>
  </si>
  <si>
    <t>Blagoveshchenskaya, Nataly/AAE-4093-2022</t>
  </si>
  <si>
    <t>Blagoveshchenskaya, Nataly/0000-0003-1752-3273; Kalishin, Alexey/0000-0001-7299-6546</t>
  </si>
  <si>
    <t>WOS:000632276400003</t>
  </si>
  <si>
    <t>Oinats, AV; Edemsky, IK; Rogov, DD</t>
  </si>
  <si>
    <t>Oinats, Alexey, V; Edemsky, Ilya K.; Rogov, Denis D.</t>
  </si>
  <si>
    <t>Updating IRI Model Using Vertical Sounding and GIM TEC Data and Its Application for the Ekaterinburg HF Radar Data Simulation</t>
  </si>
  <si>
    <t>33rd General Assembly and Scientific Symposium (GASS) of the International-Union-of-Radio-Science (URSI)</t>
  </si>
  <si>
    <t>We test a technique for region-based updating IRI-family ionosphere models using vertical sounding (VS) and global navigation satellite systems (GNSS) data. As input parameters we used critical frequencies (foF2) obtained at VS stations located in the Ekaterinburg HF radar (EKB; 56.4 degrees N, 58.5 degrees E) field-of-view (FOV) and total electron content (TEC) from CODE global ionospheric maps (GIMs). Updated vertical profiles of electron density are used to simulate HF ground backscatter (GB) in the framework of waveguide approach. We compare simulated HF ground backscatter range-time-intensity (RTI) with observed one by the EKB HF radar to test effectiveness of various updating schemes.</t>
  </si>
  <si>
    <t>[Oinats, Alexey, V; Edemsky, Ilya K.] Inst Solar Terr Phys, Irkutsk, Russia; [Rogov, Denis D.] Arctic &amp; Antarctic Res Inst, St Petersburg, Russia</t>
  </si>
  <si>
    <t>Irkutsk Science Centre of the Russian Academy of Sciences; Russian Academy of Sciences; Institute of Solar-Terrestrial Physics of the Siberian Branch of the Russian Academy of Sciences; Arctic &amp; Antarctic Research Institute</t>
  </si>
  <si>
    <t>Oinats, AV (corresponding author), Inst Solar Terr Phys, Irkutsk, Russia.</t>
  </si>
  <si>
    <t>oinats@iszf.irk.ru</t>
  </si>
  <si>
    <t>Oinats, Alexey Vladimirovich/A-3239-2014</t>
  </si>
  <si>
    <t>Oinats, Alexey Vladimirovich/0000-0002-1120-870X</t>
  </si>
  <si>
    <t>RFBR [19-05-00889, 19-02-00513]</t>
  </si>
  <si>
    <t>RFBR(Russian Foundation for Basic Research (RFBR))</t>
  </si>
  <si>
    <t>The reported study was funded by RFBR, project number 19-05-00889 and project number 19-02-00513. The results were obtained using the equipment of Center for Common Use Angara http://ckp-rf.ru/ckp/3056/.We are grateful to the CODE team for the access to GIM TEC data provided from the CODE FTP directory: ftp://ftp.aiub.unibe.ch/CODE/.</t>
  </si>
  <si>
    <t>10.23919/ursigass49373.2020.9232229</t>
  </si>
  <si>
    <t>WOS:000632276400155</t>
  </si>
  <si>
    <t>Rogers, NC; Wild, JA; Eastoe, EF</t>
  </si>
  <si>
    <t>Rogers, Neil C.; Wild, James A.; Eastoe, Emma F.</t>
  </si>
  <si>
    <t>The distribution and direction of extreme geomagnetic fluctuations over 1-60 minute periods</t>
  </si>
  <si>
    <t>We present a statistical climatological study of extreme fluctuations in the horizontal geomagnetic field (dB/dt), generated at the Earth's surface by extreme electrical currents in the ionosphere and magnetosphere. Applying techniques from Extreme Value Theory we predict the magnitude of |dB/dt| for return periods (RP) from 5 to 500 years. Results presented for both ramp changes and RMS variations over periods from 1-60 minutes show considerable variation in magnitude and rate of occurrence when considered as functions of magnetic latitude, local time, and season. The direction of extreme geomagnetic fluctuations is strongly isotropic at lower latitudes, but this changes with timescale. A technique for improving return level estimates by combining Generalised Pareto tail distributions from discrete directional sectors produces return levels that are higher at low geomagnetic latitudes but higher at mid to high latitudes.</t>
  </si>
  <si>
    <t>[Rogers, Neil C.; Wild, James A.] Univ Lancaster, Space &amp; Planetary Phys, Lancaster, England; [Eastoe, Emma F.] Univ Lancaster, Dept Math &amp; Stat, Lancaster, England</t>
  </si>
  <si>
    <t>Lancaster University; Lancaster University</t>
  </si>
  <si>
    <t>Rogers, NC (corresponding author), Univ Lancaster, Space &amp; Planetary Phys, Lancaster, England.</t>
  </si>
  <si>
    <t>Wild, James Anderson/HKN-7736-2023</t>
  </si>
  <si>
    <t>UK Natural Environment Research Council (NERC) [NE/P016715/1]; NERC [NE/P016715/1] Funding Source: UKRI</t>
  </si>
  <si>
    <t>This work was funded by the UK Natural Environment Research Council (NERC) under grant NE/P016715/1. Magnetometer data were provided by SuperMAG (available from http://supermag.jhuapl.edu) and we gratefully acknowledge contributions from the SuperMAG collaborators: Intermagnet; USGS, J. J. Love; CARISMA, PI I. Mann; CANMOS; The S-RAMP Database, PI K. Yumoto and Dr K. Shiokawa; The SPIDR database; AARI, PI Oleg Troshichev; The MACCS program, PI M. Engebretson, Geomagnetism Unit of the Geological Survey of Canada; GIMA; MEASURE, UCLA IGPP and Florida Institute of Technology; SAMBA, PI E. Zesta; 210 Chain, PI K. Yumoto; SAMNET, PI F. Honary; The IMAGE magnetometer network, PI L. Juusola; AUTUMN, PI M. Connors; DTU Space, PI A. Willer; South Pole and McMurdo Magnetometer, PI's L.J. Lanzarotti and A. T. Weatherwax; ICESTAR; RAPIDMAG; British Antarctic Survey; McMac, PI Dr P. Chi; BGS, PI Dr S. Macmillan; Pushkov Institute of Terrestrial Magnetism, Ionosphere and Radio Wave Propagation (IZMIRAN); GFZ, PI Dr J. Matzka; MFGI, PI B. Heilig; IGFPAS, PI J. Reda; University of L'Aquila, PI M. Vellante; BCMT, V. Lesur and A. Chambodut; Data obtained in cooperation with Geoscience Australia, PI M. Costelloe; AALPIP, co-PIs B. Clauer and M. Hartinger; SuperMAG, PI J. W. Gjerloev; Sodankyla Geophysical Observatory, PI T. Raita; Polar Geophysical Institute, A. Yahnin and Y. Sakharov; Geological Survey of Sweden, G. Schwartz; Swedish Institute of Space Physics, M. Yamauchi; UiT the Arctic University of Norway, M. G. Johnsen; Finnish Meteorological Institute, PI K. Kauristie.</t>
  </si>
  <si>
    <t>10.23919/ursigass49373.2020.9232328</t>
  </si>
  <si>
    <t>WOS:000632276400241</t>
  </si>
  <si>
    <t>Estenssoro, F</t>
  </si>
  <si>
    <t>Lorenzo, C</t>
  </si>
  <si>
    <t>Estenssoro, Fernando</t>
  </si>
  <si>
    <t>Challenges of Latin America in the Global Environmental Geopolitics of the Twenty-First Century</t>
  </si>
  <si>
    <t>LATIN AMERICA IN TIMES OF GLOBAL ENVIRONMENTAL CHANGE</t>
  </si>
  <si>
    <t>Latin American Studies Book Series</t>
  </si>
  <si>
    <t>Latin America; China; USA; Geopolitics; Biodiversity; Climate change</t>
  </si>
  <si>
    <t>This chapter argues that the geopolitics of the twenty-first century is and mainly will be environmental geopolitics. Within this framework, Latin America, due to its biogeographic features, will be faced with enormous sovereignty challenges from the interventionist interest of power of the Global North, with the purpose of having access, to appropriate and to manage their ecosystems. Those have the singularity of being located at Latin America or in a region or very close to it and are considered key to the functioning of the global or planetary ecosystem, such as the Amazonian space, the freshwater resource and the Antarctic region.</t>
  </si>
  <si>
    <t>[Estenssoro, Fernando] Univ Santiago Chile, Inst Estudios Avanzados, Santiago, Chile</t>
  </si>
  <si>
    <t>Universidad de Santiago de Chile</t>
  </si>
  <si>
    <t>Estenssoro, F (corresponding author), Univ Santiago Chile, Inst Estudios Avanzados, Santiago, Chile.</t>
  </si>
  <si>
    <t>fernando.estenssoro@usach.cl</t>
  </si>
  <si>
    <t>Estenssoro, Fernando/0000-0001-6010-7115</t>
  </si>
  <si>
    <t>Fondecyt [1150375]; DICYT - University of Santiago of Chile</t>
  </si>
  <si>
    <t>Fondecyt(Comision Nacional de Investigacion Cientifica y Tecnologica (CONICYT)CONICYT FONDECYT); DICYT - University of Santiago of Chile</t>
  </si>
  <si>
    <t>This article is the product of project Fondecyt No1150375 and of the Second Support Competition for National and International Scientific Events-year 2018, DICYT - University of Santiago of Chile.</t>
  </si>
  <si>
    <t>2366-3421</t>
  </si>
  <si>
    <t>2366-343X</t>
  </si>
  <si>
    <t>978-3-030-24254-1; 978-3-030-24253-4</t>
  </si>
  <si>
    <t>LAT AM STUD BOOK SER</t>
  </si>
  <si>
    <t>Lat. Amer. Stud. Book Ser.</t>
  </si>
  <si>
    <t>10.1007/978-3-030-24254-1_2</t>
  </si>
  <si>
    <t>10.1007/978-3-030-24254-1</t>
  </si>
  <si>
    <t>Biodiversity Conservation; Area Studies; Environmental Sciences; Environmental Studies; International Relations</t>
  </si>
  <si>
    <t>Book Citation Index – Social Sciences &amp; Humanities (BKCI-SSH); Book Citation Index – Science (BKCI-S)</t>
  </si>
  <si>
    <t>Biodiversity &amp; Conservation; Area Studies; Environmental Sciences &amp; Ecology; International Relations</t>
  </si>
  <si>
    <t>BR2DF</t>
  </si>
  <si>
    <t>WOS:000637313800004</t>
  </si>
  <si>
    <t>Lorenzo, C; Roldán, G</t>
  </si>
  <si>
    <t>Lorenzo, Cristian; Roldan, Gabriela</t>
  </si>
  <si>
    <t>The Conservation of Biodiversity: Argentina and Chile at the Commission for the Conservation of Antarctic Marine Living Resources</t>
  </si>
  <si>
    <t>Antarctic governance; Antarctic science; Foreign policy; Antarctic peninsula</t>
  </si>
  <si>
    <t>The Commission for the Conservation of Antarctic Marine Living Resources (CCAMLR) accepts proposals presented by its international membership for the designation of Marine Protected Areas (MPA) in waters surrounding Antarctica. Since CCAMLR's inception in 1982, only two MPAs have come into effect so far to protect Antarctic marine resources. In 2017, Argentina and Chile submitted to CCAMLR a joint preliminary proposal for the designation of an MPA in Western Antarctic Peninsula and the Southern Scotia Arc region, an area of high traffic and long-term political contestation. This paper provides an insight into the political scenario unfolding that resulted in the joint proposal. Based on the qualitative work of document analysis, the conclusions of this research indicates that Argentina and Chile's condition as Antarctic claimant countries and original signatories of the Antarctic Treaty is critical to this analysis. Both countries have long-term policies and a strong scientific and logistics presence in Antarctica. We also found the predominance of bilateral cooperation between both countries, including the Antarctic matters. The establishment of a new MPA in Antarctica pushed by Argentina and Chile suggests that they are also a source of international prestige and leadership. The purpose of this article is to contribute to the understanding of the political discussions involved in the protection of the Antarctic environment.</t>
  </si>
  <si>
    <t>[Lorenzo, Cristian] Univ Nacl Tierra del Fuego, Inst Ciencias Polares Ambiente &amp; Recursos Nat, Consejo Nacl Invest Cient &amp; Tecn CONICET, Ctr Austral Invest Cient, Ushuaia, Tierra Del Fueg, Argentina; [Roldan, Gabriela] Univ Canterbury, Gateway Antarctica, Christchurch, New Zealand</t>
  </si>
  <si>
    <t>Consejo Nacional de Investigaciones Cientificas y Tecnicas (CONICET); University of Canterbury</t>
  </si>
  <si>
    <t>Lorenzo, C (corresponding author), Univ Nacl Tierra del Fuego, Inst Ciencias Polares Ambiente &amp; Recursos Nat, Consejo Nacl Invest Cient &amp; Tecn CONICET, Ctr Austral Invest Cient, Ushuaia, Tierra Del Fueg, Argentina.</t>
  </si>
  <si>
    <t>clorenzo@conicet.gov.ar</t>
  </si>
  <si>
    <t>Lorenzo, Cristian/0000-0002-7990-5157</t>
  </si>
  <si>
    <t>10.1007/978-3-030-24254-1_11</t>
  </si>
  <si>
    <t>WOS:000637313800013</t>
  </si>
  <si>
    <t>Pogojeva, M; González-Fernández, D; Hanke, G; Machitadze, N; Kotelnikova, Y; Tretiak, I; Savenko, O; Gelashvili, N; Bilashvili, K; Kulagin, D; Fedorov, A</t>
  </si>
  <si>
    <t>Aytan, U; Pogojeva, M; Simeonova, A</t>
  </si>
  <si>
    <t>Pogojeva, Maria; Gonzalez-Fernandez, Daniel; Hanke, George; Machitadze, Nino; Kotelnikova, Yuliia; Tretiak, Iryna; Savenko, Oksana; Gelashvili, Nino; Bilashvili, Kakhaber; Kulagin, Dmitry; Fedorov, Aleskey</t>
  </si>
  <si>
    <t>Composition of floating macro litter across the Black Sea</t>
  </si>
  <si>
    <t>MARINE LITTER IN THE BLACK SEA</t>
  </si>
  <si>
    <t>Turkish Marine Research Foundation Publication</t>
  </si>
  <si>
    <t>Marine litter; pollution monitoring; floating macro litter; marine litter categories; Black Sea</t>
  </si>
  <si>
    <t>This work represents the results of the first multinational integrated assessment of floating marine macro litter (FMML) pollution of the Black Sea. In the frame of the EMBLAS project ('Improving environmental monitoring in the Black Sea') basin-crossing exploration surveys (Joint Open Sea Surveys, JOSS), specific national surveys (National Monitoring Studies, NMS) and surveys from ships-of-opportunity, all including opportunistic monitoring of floating litter, were performed during 2016-2019 in the Black Sea. The surveys involved scientists from Georgia, Russia and Ukraine, while scientists from Romania, Bulgaria and Turkey participated to accompanying workshops and trainings. These pilot studies demonstrated the importance of harmonization of reported data for comparison of results between different surveys and areas. Litter was monitored by trained observers, acquiring georeferenced data through a tablet computer application, developed by Joint Research Centre, Ispra (JRC) using for the first time a harmonized MSFD approach. The observations confirmed that marine litter was present in all Black Sea areas and consists mostly from plastic. The aim of this study is to provide a Top FMML items list and to compare the abundance, composition, material and size categories of found items in the Black Sea surveys.</t>
  </si>
  <si>
    <t>[Pogojeva, Maria] NN Zubovs State Oceanog Inst, Moscow, Russia; [Gonzalez-Fernandez, Daniel] Univ Cadiz, Univ Marine Res Inst INMAR, Int Campus Excellence Sea CEIMAR, Dept Biol, Cadiz, Spain; [Hanke, George] EC Joint Res Ctr, Ispra, Italy; [Machitadze, Nino; Gelashvili, Nino; Bilashvili, Kakhaber] Iv Javakhishvili Tbilisi State Univ, Tbilisi, Georgia; [Kotelnikova, Yuliia; Tretiak, Iryna; Savenko, Oksana] Ukrainian Ctr Ecol Sea, Odessa, Ukraine; [Savenko, Oksana] Natl Antarctic Sci Ctr Ukraine, Kiev, Ukraine; [Kulagin, Dmitry; Fedorov, Aleskey] Russian Acad Sci, Shirshov Inst Oceanol, Moscow, Russia</t>
  </si>
  <si>
    <t>Universidad de Cadiz; European Commission Joint Research Centre; EC JRC ISPRA Site; Ivane Javakhishvili Tbilisi State University; Ministry of Education &amp; Science of Ukraine; State Institution National Antarctic Scientific Center; Russian Academy of Sciences; Shirshov Institute of Oceanology</t>
  </si>
  <si>
    <t>Pogojeva, M (corresponding author), NN Zubovs State Oceanog Inst, Moscow, Russia.</t>
  </si>
  <si>
    <t>pogojeva_maria@mail.ru</t>
  </si>
  <si>
    <t>Savenko, Oksana/ABI-4737-2020; Pogojeva, Maria/AAK-7811-2020; Kotelnikova, Yullia/AAW-1831-2021; Tretiak, Iryna/AAW-2869-2021; González-Fernández, Daniel/O-7831-2017; Machitadze, Nino/AHB-7679-2022; Kulagin, Dmitry N./E-3137-2014</t>
  </si>
  <si>
    <t>Savenko, Oksana/0000-0001-6719-4602; Pogojeva, Maria/0000-0002-4763-2422; Tretiak, Iryna/0000-0002-4612-2041; González-Fernández, Daniel/0000-0002-6958-7845;</t>
  </si>
  <si>
    <t>TURKISH MARINE RESEARCH FOUNDATION-TUDAV</t>
  </si>
  <si>
    <t>ISTANBUL</t>
  </si>
  <si>
    <t>PO Box 10, BEYKOZ 34820, ISTANBUL, TURKIYE</t>
  </si>
  <si>
    <t>978-975-8825-48-6</t>
  </si>
  <si>
    <t>TURK MAR RES FND PUB</t>
  </si>
  <si>
    <t>BR2CI</t>
  </si>
  <si>
    <t>WOS:000637180200015</t>
  </si>
  <si>
    <t>González-Fernández, D; Pogojeva, M; Hanke, G; Machitadze, N; Kotelnikova, Y; Tretiak, I; Savenko, O; Gelashvili, N; Bilashvili, K; Kulagin, D; Fedorov, A; Senyigit, MÇ; Aytan, Ü</t>
  </si>
  <si>
    <t>Gonzalez-Fernandez, Daniel; Pogojeva, Maria; Hanke, George; Machitadze, Nino; Kotelnikova, Yuliia; Tretiak, Iryna; Savenko, Oksana; Gelashvili, Nino; Bilashvili, Kakhaber; Kulagin, Dmitry; Fedorov, Aleksey; Senyigit, M. Cagan; Aytan, Ulgen</t>
  </si>
  <si>
    <t>Anthropogenic litter input through rivers in the Black Sea</t>
  </si>
  <si>
    <t>Riverine litter; plastic pollution; monitoring; floating litter; macro litter</t>
  </si>
  <si>
    <t>The sources and quantities of marine litter and plastic pollution in the Black Sea are yet unknown. It is important to identify the main pathways in order to enable mitigation strategies to reduce the input of plastic waste to the marine environment. In this sense, rivers in this region are expected to play an important role in transporting mismanaged waste to the sea, but data on this matter is still very limited. This study presents a first compilation of riverine floating macro litter data collected in rivers flowing into the Black Sea. Visual observations provided indicative information on the most frequent litter items and rates of riverine litter fluxes in ten rivers from Ukraine, Russia, Georgia and Turkey. Top items presented an 83.7% of plastics, including cover / packaging, bottles, pieces and bags as main contributors. Riverine litter fluxes were variable, showing median values between 4 and 75 items/hour in the different rivers, and maximum values up to 700 items/hour in the individual monitoring sessions. The establishment of future monitoring programmes require the implementation of harmonized approaches and consistent frequency in the data collection to improve the representativeness of results, enabling appropriate comparable assessments of riverine litter inputs in the Black Sea.</t>
  </si>
  <si>
    <t>[Gonzalez-Fernandez, Daniel] Univ Cadiz, Univ Marine Res Inst INMAR, Int Campus Excellence Sea CEIMAR, Dept Biol, Cadiz, Spain; [Pogojeva, Maria] NN Zubovs State Oceanog Inst, Moscow, Russia; [Hanke, George] EC Joint Res Ctr, Ispra, Italy; [Machitadze, Nino; Gelashvili, Nino; Bilashvili, Kakhaber] Iv Javakhishvili Tbilisi State Univ, Tbilisi, Georgia; [Kotelnikova, Yuliia; Tretiak, Iryna; Savenko, Oksana] Ukrainian Ctr Ecol Sea, Odessa, Ukraine; [Savenko, Oksana] Natl Antarctic Sci Ctr Ukraine, Kiev, Ukraine; [Pogojeva, Maria; Kulagin, Dmitry; Fedorov, Aleksey] Russian Acad Sci, Shirshov Inst Oceanol, Moscow, Russia; [Senyigit, M. Cagan; Aytan, Ulgen] Recep Tayyip Erdogan Univ, Fac Fisheries, Rize, Turkey</t>
  </si>
  <si>
    <t>Universidad de Cadiz; European Commission Joint Research Centre; EC JRC ISPRA Site; Ivane Javakhishvili Tbilisi State University; Ministry of Education &amp; Science of Ukraine; State Institution National Antarctic Scientific Center; Russian Academy of Sciences; Shirshov Institute of Oceanology; Recep Tayyip Erdogan University</t>
  </si>
  <si>
    <t>González-Fernández, D (corresponding author), Univ Cadiz, Univ Marine Res Inst INMAR, Int Campus Excellence Sea CEIMAR, Dept Biol, Cadiz, Spain.</t>
  </si>
  <si>
    <t>daniel.gonzalez@uca.es</t>
  </si>
  <si>
    <t>Kulagin, Dmitry N./E-3137-2014; Machitadze, Nino/AHB-7679-2022; Kotelnikova, Yullia/AAW-1831-2021; Savenko, Oksana/ABI-4737-2020; Pogojeva, Maria/AAK-7811-2020; Tretiak, Iryna/AAW-2869-2021; AYTAN, Ülgen/JNE-5523-2023</t>
  </si>
  <si>
    <t>Savenko, Oksana/0000-0001-6719-4602; Pogojeva, Maria/0000-0002-4763-2422; Tretiak, Iryna/0000-0002-4612-2041; AYTAN, Ülgen/0000-0002-6530-3083</t>
  </si>
  <si>
    <t>WOS:000637180200017</t>
  </si>
  <si>
    <t>Monserrat, O; Cardenas, C; Olea, P; Krishnakumar, V; Crippa, B</t>
  </si>
  <si>
    <t>Monserrat, O.; Cardenas, C.; Olea, P.; Krishnakumar, V; Crippa, B.</t>
  </si>
  <si>
    <t>Potentialities of Sentinel-1 for mapping and monitoring geological and cryospheric processes in the Patagonia region (Chile)</t>
  </si>
  <si>
    <t>2020 IEEE LATIN AMERICAN GRSS &amp; ISPRS REMOTE SENSING CONFERENCE (LAGIRS)</t>
  </si>
  <si>
    <t>IEEE Latin American GRSS and ISPRS Remote Sensing Conference (LAGIRS)</t>
  </si>
  <si>
    <t>MAR 21-26, 2020</t>
  </si>
  <si>
    <t>Santiago, CHILE</t>
  </si>
  <si>
    <t>Active geohazards; SAR interferometry; Sentinel-1; Glacier monitoring</t>
  </si>
  <si>
    <t>RADAR INTERFEROMETRY; SAR INTERFEROMETRY; SUBSIDENCE; DEFORMATION; PYRENEES; INSAR</t>
  </si>
  <si>
    <t>This work shows two examples on the use of Sentinel-1 data for monitoring different natural processes, like active geohazards or glacier dynamics in the Patagonia region. Sentinel-1 is a two-satellite constellation, launched by the European Space Agency (ESA), that provides SAR imagery with interferometric capabilities. It is in operation since 2014 and has supposed a significant improvement in the exploitation of these type of data for applications like natural hazards mapping and monitoring. The acquisition policy, that guarantees an acquisition each few days (12 days in Patagonia region) for both ascending and descending trajectories, and the data distribution policy, that allows free access to the images without legal constrains, are the main reasons for this improvement. These two aspects allowed not only to assure the data in the past but also to perform monitoring plans at medium-long term. In this work we show the potentialities of the use of these data in the Patagonia region through the application of two different techniques in two different application test sites: urban areas and glaciers.</t>
  </si>
  <si>
    <t>[Monserrat, O.; Krishnakumar, V] Ctr Tecnol Telecomunicac Catalaunya, Av Carl Friedrich Gauss 4, Castelldefels, Spain; [Cardenas, C.] Univ Magallanes, Gaia Antarctic Res Ctr, Punta Arenas, Chile; [Olea, P.] Serv Nacl Geol &amp; Min, Avda Santa Marfa 0104, Santiago, Chile; [Crippa, B.] Univ Milan, Dept Earth Sci, Milan, Italy</t>
  </si>
  <si>
    <t>Universidad de Magallanes; University of Milan</t>
  </si>
  <si>
    <t>Monserrat, O (corresponding author), Ctr Tecnol Telecomunicac Catalaunya, Av Carl Friedrich Gauss 4, Castelldefels, Spain.</t>
  </si>
  <si>
    <t>omonserrat@cttc.cat; carlos.cardenas@umag.cl; vkrishnakumar@cttc.cat</t>
  </si>
  <si>
    <t>Monserrat, Oriol/AAQ-7335-2021</t>
  </si>
  <si>
    <t>Monserrat, Oriol/0000-0003-2505-6855</t>
  </si>
  <si>
    <t>Ministry of education and professional training of the Spanish government [CAS19/00190]; Spanish Ministry of Economy and Competitiveness [CGL2017-83704-P]</t>
  </si>
  <si>
    <t>Ministry of education and professional training of the Spanish government; Spanish Ministry of Economy and Competitiveness(Spanish Government)</t>
  </si>
  <si>
    <t>This work has been partially funded by theMinistry of education and professional training of the Spanish government through the program abroad stages for young researchers Jose Castillejo (Ref: CAS19/00190) and by the Spanish Ministry of Economy and Competitiveness through the DEMOS project Deformation monitoring using Sentinel-1 data (Ref: CGL2017-83704-P).</t>
  </si>
  <si>
    <t>978-1-7281-4350-7</t>
  </si>
  <si>
    <t>10.5194/isprs-annals-iv-3-w2-2020-137-2020</t>
  </si>
  <si>
    <t>Engineering, Electrical &amp; Electronic; Remote Sensing</t>
  </si>
  <si>
    <t>Engineering; Remote Sensing</t>
  </si>
  <si>
    <t>BQ9ST</t>
  </si>
  <si>
    <t>Green Submitted, gold, Green Published</t>
  </si>
  <si>
    <t>WOS:000626733300057</t>
  </si>
  <si>
    <t>Cárdenas, C; Casassa, G; Aguilar, X; Mojica, D; Johnson, E; Brondi, F</t>
  </si>
  <si>
    <t>Cardenas, C.; Casassa, G.; Aguilar, X.; Mojica, D.; Johnson, E.; Brondi, F.</t>
  </si>
  <si>
    <t>From Space to Earth: physical and biological impacts of glacier dynamics in the marine system by means of Remote Sensing at Almirantazgo Bay, Antarctica</t>
  </si>
  <si>
    <t>Remote Sensing; Radar image; Bathymetry; Offset tracking; RPA; glacier dynamics</t>
  </si>
  <si>
    <t>To determine the biological and physical mechanisms between Lange glacier and its pro-glacier marine system located in Almirantazgo bay, King George Island, Antarctica, specific variables were determined through remote sensing approaches shown in this work. These preliminary results will allow relating the dynamics of both systems, the glacier, and the marine ecosystem. The information for the estimation of surface flux velocity of the glacier was derived through Radar satellite images (Sentinel-1) by means of offset tracking, the bathymetry was derived from a Multi-beam Echo Sounder, and the Digital Elevation Modell was obtained by means of a Remotely Piloted Aircraft; Finally, the biological parameters were derived from MODIS and OLCI images for the analysis of satellite data to have a first insight to the characteristics of the marine system. This information will help to build the first frame needed to study through remote sensing approaches, the mechanisms that govern the interface among Lang Glacier and the Almirantazgo Bay at King George Island, Antarctica.</t>
  </si>
  <si>
    <t>[Cardenas, C.; Casassa, G.; Aguilar, X.; Mojica, D.] Univ Magallanes, Gaia Antarctic Res Ctr, Punta Arenas, Chile; [Casassa, G.] Direcc Gen Aguas, Santiago, Chile; [Mojica, D.] Ctr Invest Oceanog &amp; Hidrog, Direcc Gen Maritima, Cartagena De Indias, Colombia; [Brondi, F.] Inst Geog Nacl Peru, Lima, Peru</t>
  </si>
  <si>
    <t>Universidad de Magallanes</t>
  </si>
  <si>
    <t>Cardenas, C (corresponding author), Univ Magallanes, Gaia Antarctic Res Ctr, Punta Arenas, Chile.</t>
  </si>
  <si>
    <t>carlos.cardenas@umag.cl; gino.casassa@mop.cl; xaguilar@umag.cl; asuntosantarticos@gmail.com; erling.johnson@umag.cl; fabianbrondi@hotmail.com</t>
  </si>
  <si>
    <t>Johnson, Erling/AAC-4783-2021</t>
  </si>
  <si>
    <t>INACH [RT_50_16/CAMBKGI]; University of Magallanes of Chile; Colombian Antarctic Program; National Antarctic Program of Peru; National Geographic Institute of Peru</t>
  </si>
  <si>
    <t>INACH; University of Magallanes of Chile; Colombian Antarctic Program; National Antarctic Program of Peru; National Geographic Institute of Peru</t>
  </si>
  <si>
    <t>This work was supported by the Projects RT_50_16/CAMBKGI from INACH and the following institutions: University of Magallanes of Chile, Colombian Antarctic Program, National Antarctic Program of Peru, National Geographic Institute of Peru, especially the personnel of the Machu Picchu Antarctic Scientific Station of Peru austral summer 2018-2019.</t>
  </si>
  <si>
    <t>WOS:000626733300059</t>
  </si>
  <si>
    <t>Pelliza, KAN; Pucheta, MA</t>
  </si>
  <si>
    <t>Nemer Pelliza, K. A.; Pucheta, M. A.</t>
  </si>
  <si>
    <t>ANALYSIS OF THE EFFICIENCY OF THE ADAPTIVE CANNY METHOD FOR THE DETECTION OF ICEBERGS AT OPEN SEA</t>
  </si>
  <si>
    <t>Iceberg; sea ice; synthetic aperture radar; edge detection</t>
  </si>
  <si>
    <t>The detection of icebergs in the open sea, as well as its evolution in displacement and shrinking, is vital for navigation, the study of the evolution of Polar regions, and the Earth climate change, among others. In order to carry out these studies, it is necessary to delimit accurately the icebergs in satellite images, mainly of the Synthetic Aperture Radar (SAR) type. The Adaptive Canny method has shown to be efficient for the detection of edges of objects in SAR images, according to recent publications and conferences. These studies were only carried out for images that had approximately half of each backscatter, without considering that the dimension of the objects can affect the edge detection process, Here, we present the results of the efficiency of the Adaptive Canny method as the size of the object, from which it is intended to extract the contour, decreases. A systematic analysis of the behavior of the method has been performed with objects of variated dimensions, through a Monte Carlo type experiment with synthetic images, where the contours of the figures were extracted with the Adaptive Canny method and compared with the Ground Truth (GT). Then, the method was tested on real images of the Antarctic Ocean, with blocks of ice of different sizes to contrast the results with those obtained with synthetic images.</t>
  </si>
  <si>
    <t>[Nemer Pelliza, K. A.; Pucheta, M. A.] Univ Tecnol Nacl, Ctr Invest Informat Ingn CIII, FRC, Buenos Aires, DF, Argentina; [Pucheta, M. A.] Consejo Nacl Invest Cient &amp; Tecn, Buenos Aires, DF, Argentina</t>
  </si>
  <si>
    <t>Consejo Nacional de Investigaciones Cientificas y Tecnicas (CONICET)</t>
  </si>
  <si>
    <t>Pelliza, KAN (corresponding author), Univ Tecnol Nacl, Ctr Invest Informat Ingn CIII, FRC, Buenos Aires, DF, Argentina.</t>
  </si>
  <si>
    <t>Pucheta, Martin/0000-0002-6935-219X; Nemer, Karim Alejandra/0000-0001-8216-3740</t>
  </si>
  <si>
    <t>Secyt-UTN under PID-UTN [4811TC, 4839, 7819TC, 7691]</t>
  </si>
  <si>
    <t>Secyt-UTN under PID-UTN</t>
  </si>
  <si>
    <t>This research has been partially supported by Secyt-UTN under PID-UTN 4811TC, 4839, 7819TC and 7691 grants.</t>
  </si>
  <si>
    <t>10.1109/lagirs48042.2020.9165572</t>
  </si>
  <si>
    <t>WOS:000626733300094</t>
  </si>
  <si>
    <t>Bello, C; Santillan, N; Cochachin, A; Arias, S; Suarez, W</t>
  </si>
  <si>
    <t>Bello, C.; Santillan, N.; Cochachin, A.; Arias, S.; Suarez, W.</t>
  </si>
  <si>
    <t>ICE THICKNESS USING GROUND PENETRATING RADAR AT ZNOSKO GLACIER ON KING GEORGE ISLAND</t>
  </si>
  <si>
    <t>Ground penetrating radar; ice thickness; Znosko glacier; Antarctic Peninsula; electromagnetic waves; glaciology</t>
  </si>
  <si>
    <t>FIELD</t>
  </si>
  <si>
    <t>Ground Penetrating Radar (GPR) survey was carried out to estimate the thickness and mapping the bedrock topography at Znosko glacier on King George Island, Antarctic Peninsula during 25th Peruvian Antarctic Expedition (2018). GPR surveying did at 5.2 MHz frequency with a 16 in antenna gap (transmitter and receiver). The mean ice thickness profiles vary from 7 to 123 in across the 350 in profile length. This high-resolution survey also identified a different type of ices and glaciological features which will help in modelling the nature of the glaciers in the future.</t>
  </si>
  <si>
    <t>[Bello, C.; Suarez, W.] Natl Agr Univ La Molina, Water Resources Grad Program, Lima, Peru; [Santillan, N.; Cochachin, A.] Natl Water Author, Lima, Peru; [Arias, S.; Suarez, W.] Natl Serv Meteorol &amp; Hydrol Peru, Lima, Peru; [Bello, C.] Minist Foreign Affairs Peru, Lima, Peru</t>
  </si>
  <si>
    <t>University Nacional Agraria La Molina</t>
  </si>
  <si>
    <t>Bello, C (corresponding author), Natl Agr Univ La Molina, Water Resources Grad Program, Lima, Peru.;Bello, C (corresponding author), Minist Foreign Affairs Peru, Lima, Peru.</t>
  </si>
  <si>
    <t>cbello@rree.gob.pe; nsantillan@ana.gob.pe; acochachin@ana.gob.pe; sarias@senamhi.gob.pe; wsuarez@senamhi.gob.pe</t>
  </si>
  <si>
    <t>Bello, Cinthya/JBI-7052-2023; Suarez, Wilson/JPY-4299-2023; Bello Chirinos, Cinthya Elizabeth/KHU-5900-2024</t>
  </si>
  <si>
    <t>Suarez, Wilson/0000-0002-3409-790X; Bello, Cinthya/0000-0003-4154-6379</t>
  </si>
  <si>
    <t>National Antarctic Program of Peru</t>
  </si>
  <si>
    <t>The National Antarctic Program of Peru supported this study. Fieldwork in Antarctica was carried out in cooperation with the National Geographic Institute (IGN) and Glaciar + project (CARE and Zurich University) the Swiss cooperation in Peru for the training in the GPR system. This study is part of a PhD research from the Water Resources Graduate Program -National Agrarian University.</t>
  </si>
  <si>
    <t>10.1109/lagirs48042.2020.9165584</t>
  </si>
  <si>
    <t>WOS:000626733300100</t>
  </si>
  <si>
    <t>Cárcamo, JR; Contador, T; Gañán, M; Houston, N; Troncoso, M; Arriagada, G; Saldías, C; Caballero, P; Malebrán, J; Kennedy, J; Convey, P; Rozzi, R</t>
  </si>
  <si>
    <t>Rendoll Carcamo, Javier; Contador, Tamara; Ganan, Melisa; Houston, Nancyrose; Troncoso, Miguel; Arriagada, Gonzalo; Saldias, Camila; Caballero, Paula; Malebran, Javiera; Kennedy, James; Convey, Peter; Rozzi, Ricardo</t>
  </si>
  <si>
    <t>FIELD ENVIRONMENTAL PHILOSOPHY: EDUCATION AND RESEARCH FOR THE ECOLOGICAL AND ETHICAL APPRECIATION OF FRESHWATER INSECTS</t>
  </si>
  <si>
    <t>MAGALLANIA</t>
  </si>
  <si>
    <t>Spanish</t>
  </si>
  <si>
    <t>climate change; conservation; long-term socio-ecological research; invertebrates; Magallanes; subantarctic</t>
  </si>
  <si>
    <t>HORN BIOSPHERE RESERVE; BIOCULTURAL CONSERVATION; PATTERNS; BIODIVERSITY; PLANTS; PARK</t>
  </si>
  <si>
    <t>In a rapidly changing world, to confront biodiversity losses and the lack of appreciation for and knowledge about the most diverse groups of organisms, it is urgently necessary to stimulate cultural shifts that transcend purely scientific and technological domains. This paper addresses this problem by focusing on one of the least known groups of organisms, and in one of the most remote regions of the planet: freshwater insects in the sub-Antarctic Magellanic ecoregion. The work of this thesis included scientific-ecological and environmental philosophical research that was integrated into formal and non-formal environmental education practices that value freshwater insects, particularly as indicators of climate change. The integration of science and philosophy was done adapting the Field Environmental Philosophy methodology that includes a four-step cycle. Transdisciplinary research on freshwater insects and their sub-Antarctic ecosystems served as a basis for the composition of metaphors and educational activities with schoolchildren, other members of the local community and visitors to Omora Park, in Puerto Williams, Chile. Based on this work, new outdoor educational activities were designed with the objective of awakening the interest of citizens for insects, and nurturing their perceptions about these organisms, their habitats and life habits. In this way, at a local scale this work aims to contribute to greater knowledge, appreciation and conservation of this unique sub-Antarctic biodiversity, and at a global scale it aims to contribute overcoming the under-appreciation for the most diverse group of organisms: the insects.</t>
  </si>
  <si>
    <t>[Rendoll Carcamo, Javier; Contador, Tamara; Ganan, Melisa; Arriagada, Gonzalo; Kennedy, James] Univ Magallanes, Lab Wankara Ecosistemas Dulceacuicolas Antarticos, Punta Arenas, Chile; [Rendoll Carcamo, Javier; Contador, Tamara; Houston, Nancyrose; Troncoso, Miguel; Saldias, Camila; Malebran, Javiera; Rozzi, Ricardo] Inst Ecol &amp; Biodiversidad, Programa Conservac Biocultural Subantartica, Santiago, Chile; [Rendoll Carcamo, Javier] Univ Magallanes, Programa Doctorado Ciencias Antarticas &amp; Subantar, Punta Arenas, Chile; [Contador, Tamara] INVASAL, Nuclo Milenio Salmonidos Invasores, Concepcion, Chile; [Caballero, Paula] Inst Ecol &amp; Biodiversidad, Programa Difus Ciencias, Santiago, Chile; [Kennedy, James] Univ North Texas, Dept Biol, Denton, TX 76203 USA; [Convey, Peter] British Antarctic Survey, Cambridge, England; [Rozzi, Ricardo] Univ North Texas, Dept Philosophy &amp; Relig, Denton, TX 76203 USA</t>
  </si>
  <si>
    <t>Universidad de Magallanes; Universidad de Magallanes; University of North Texas System; University of North Texas Denton; UK Research &amp; Innovation (UKRI); Natural Environment Research Council (NERC); NERC British Antarctic Survey; University of North Texas System; University of North Texas Denton</t>
  </si>
  <si>
    <t>Cárcamo, JR (corresponding author), Univ Magallanes, Lab Wankara Ecosistemas Dulceacuicolas Antarticos, Punta Arenas, Chile.;Cárcamo, JR (corresponding author), Inst Ecol &amp; Biodiversidad, Programa Conservac Biocultural Subantartica, Santiago, Chile.;Cárcamo, JR (corresponding author), Univ Magallanes, Programa Doctorado Ciencias Antarticas &amp; Subantar, Punta Arenas, Chile.</t>
  </si>
  <si>
    <t>javier.rendoll@gmail.com</t>
  </si>
  <si>
    <t>Convey, Peter/AAV-5728-2020; Rozzi, Ricardo/G-1047-2012; Malebran-Munoz, Javiera/HMP-2209-2023</t>
  </si>
  <si>
    <t>Convey, Peter/0000-0001-8497-9903; Rozzi, Ricardo/0000-0001-5265-8726;</t>
  </si>
  <si>
    <t>UNIV MAGALLANES</t>
  </si>
  <si>
    <t>PUNTA ARENAS</t>
  </si>
  <si>
    <t>INST PAGAGONIA, AVDA BULNES 01890, CASILLA DE CORREOS 113-D, PUNTA ARENAS, MAGALLANES 00000, CHILE</t>
  </si>
  <si>
    <t>0718-2244</t>
  </si>
  <si>
    <t>Magallania</t>
  </si>
  <si>
    <t>Anthropology</t>
  </si>
  <si>
    <t>RI3PK</t>
  </si>
  <si>
    <t>WOS:000636821200010</t>
  </si>
  <si>
    <t>Auguste, M; Balbi, T; Ciacci, C; Canesi, L</t>
  </si>
  <si>
    <t>Cocca, M; DiPace, E; Errico, ME; Gentile, G; Montarsolo, A; Mossotti, R; Avella, M</t>
  </si>
  <si>
    <t>Auguste, Manon; Balbi, Teresa; Ciacci, Caterina; Canesi, Laura</t>
  </si>
  <si>
    <t>What Can Model Polystyrene Nanoparticles Can Teach Us on the Impact of Nanoplastics in Bivalves? Studies in Mytilus from the Molecular to the Organism Level</t>
  </si>
  <si>
    <t>PROCEEDINGS OF THE 2ND INTERNATIONAL CONFERENCE ON MICROPLASTIC POLLUTION IN THE MEDITERRANEAN SEA</t>
  </si>
  <si>
    <t>Springer Water</t>
  </si>
  <si>
    <t>2nd International Conference on Microplastic Pollution in the Mediterranean Sea</t>
  </si>
  <si>
    <t>SEP 15-18, 2019</t>
  </si>
  <si>
    <t>Capri, ITALY</t>
  </si>
  <si>
    <t>GALLOPROVINCIALIS; HEMOCYTES</t>
  </si>
  <si>
    <t>[Auguste, Manon; Balbi, Teresa; Canesi, Laura] Univ Genoa, Dept Earth Environm &amp; Life Sci, Genoa, Italy; [Ciacci, Caterina] Univ Urbino, Dept Biomol Sci DIBS, Urbino, Italy</t>
  </si>
  <si>
    <t>University of Genoa; University of Urbino</t>
  </si>
  <si>
    <t>Auguste, M (corresponding author), Univ Genoa, Dept Earth Environm &amp; Life Sci, Genoa, Italy.</t>
  </si>
  <si>
    <t>manon.auguste@edu.unige.it</t>
  </si>
  <si>
    <t>Auguste, Manon/0000-0002-3219-7931</t>
  </si>
  <si>
    <t>EU Commission [GA 671881]; Italian Antarctic Project NANOPANTA Nano-Polymers in the Antarctic marine environment and biota [PNRA16_00075 B]</t>
  </si>
  <si>
    <t>EU Commission(European Union (EU)European Commission Joint Research Centre); Italian Antarctic Project NANOPANTA Nano-Polymers in the Antarctic marine environment and biota</t>
  </si>
  <si>
    <t>This work was supported by the EU Commission H2020 ITN project PANDORA Probing safety of nano-objects by defining immune responses of environmental organisms (GA 671881).; Partial support was given by the Italian Antarctic Project NANOPANTA Nano-Polymers in the Antarctic marine environment and biota PNRA16_00075 B.</t>
  </si>
  <si>
    <t>2364-6934</t>
  </si>
  <si>
    <t>2364-8198</t>
  </si>
  <si>
    <t>978-3-030-45909-3; 978-3-030-45908-6</t>
  </si>
  <si>
    <t>SPRINGER WATER</t>
  </si>
  <si>
    <t>10.1007/978-3-030-45909-3_5</t>
  </si>
  <si>
    <t>Ecology; Environmental Sciences; Public, Environmental &amp; Occupational Health; Toxicology</t>
  </si>
  <si>
    <t>Environmental Sciences &amp; Ecology; Public, Environmental &amp; Occupational Health; Toxicology</t>
  </si>
  <si>
    <t>BR0PY</t>
  </si>
  <si>
    <t>WOS:000630043600005</t>
  </si>
  <si>
    <t>Hauri, EH; Cottrell, E; Kelley, KA; Tucker, JM; Shimizu, K; Le Voyer, M; Marske, J; Saal, AE</t>
  </si>
  <si>
    <t>Orcutt, BN; Daniel, I; Dasgupta, R</t>
  </si>
  <si>
    <t>Hauri, Erik H.; Cottrell, Elizabeth; Kelley, Katherine A.; Tucker, Jonathan M.; Shimizu, Kei; Le Voyer, Marion; Marske, Jared; Saal, Alberto E.</t>
  </si>
  <si>
    <t>Carbon in the Convecting Mantle</t>
  </si>
  <si>
    <t>DEEP CARBON: PAST TO PRESENT</t>
  </si>
  <si>
    <t>MID-ATLANTIC RIDGE; EAST PACIFIC RISE; FLOOD-BASALT; OXIDATION-STATE; MASS EXTINCTION; MELT INCLUSIONS; MIDOCEAN RIDGES; MORB GLASSES; DIOXIDE SOLUBILITIES; ISOTOPIC COMPOSITION</t>
  </si>
  <si>
    <t>[Hauri, Erik H.; Tucker, Jonathan M.; Shimizu, Kei; Le Voyer, Marion; Marske, Jared] Carnegie Inst Sci, Washington, DC 20005 USA; [Cottrell, Elizabeth] Smithsonian Inst, Washington, DC 20560 USA; [Kelley, Katherine A.] Univ Rhode Isl, Kingston, RI 02881 USA; [Saal, Alberto E.] Brown Univ, Providence, RI 02912 USA</t>
  </si>
  <si>
    <t>Carnegie Institution for Science; Smithsonian Institution; University of Rhode Island; Brown University</t>
  </si>
  <si>
    <t>Hauri, EH (corresponding author), Carnegie Inst Sci, Washington, DC 20005 USA.</t>
  </si>
  <si>
    <t>Kelley, Katherine A/J-3728-2013; Shimizu, Kei/HGC-6439-2022</t>
  </si>
  <si>
    <t>University of California Ship Funds; NSF [OCE-0726573]</t>
  </si>
  <si>
    <t>University of California Ship Funds(University of California System); NSF(National Science Foundation (NSF))</t>
  </si>
  <si>
    <t>Many thanks to Jianhua Wang for expert assistance negotiating with cranky instruments in the Carnegie SIMS lab, to the Smithsonian Department of Mineral Sciences for assistance with sample preparation, to Mike Garcia and Aaron Pietruszka for provision of submarine Hawaii samples, and to Frank Trusdell and Jim Kauahikaua of the Hawaii Volcano Observatory (HVO) for going above and beyond the call of duty in making possible our sampling of Hawaiian cinder cones. We thank the geochemistry group at IPGP, University of Paris, for sharing data and samples from the Pacific-Antarctic Ridge, and the captain, crew, and scientific parties of the PACANTARCTIC 1 and 2 cruises (PAR), the GIMNAUT, CD127, and KNOX11RR cruises (CIR), the PROTEA-5, MD34, AG22, and AG53 cruises (SWIR), and the CHEPR and PANORAMA-1 cruises (EPR). We also acknowledge support from the University of California Ship Funds, and NSF grant OCE-0726573 (DRH). Conversations with Mark Behn, Pierre Cartigny, Raj Dasgupta, Marc Hirschmann, Peter van Keken, Peter Kelemen, Charles Langmuir, Terry Plank, Tobias Keller, and Richard Katz have all led to improvements in this manuscript. We thank Josh Wood for drafting Figure 9.1 and Glenn Macpherson for the Kilauea Iki melt inclusion photograph. We benefited from thorough and constructive reviews from Simon Matthews and Cyril Aubaud and from Raj Dasgupta's editorial handling. This is a contribution to the Deep Carbon Observatory.</t>
  </si>
  <si>
    <t>THE PITT BUILDING, TRUMPINGTON ST, CAMBRIDGE CB2 1RP, CAMBS, ENGLAND</t>
  </si>
  <si>
    <t>978-1-108-47749-9</t>
  </si>
  <si>
    <t>10.1017/9781108677950</t>
  </si>
  <si>
    <t>BQ4CF</t>
  </si>
  <si>
    <t>WOS:000588462500009</t>
  </si>
  <si>
    <t>Chang, TJ; Shrestha, A; Díaz, CP; Li, YH; Chen, N; Wu, AS; Xiong, XX</t>
  </si>
  <si>
    <t>Butler, JJ; Xiong, X; Gu, X</t>
  </si>
  <si>
    <t>Chang, Tiejun; Shrestha, Ashish; Diaz, Carlos Perez; Li, Yonghong; Chen, Na; Wu, Aisheng; Xiong, Xiaoxiong</t>
  </si>
  <si>
    <t>MODIS TEB calibration algorithm improvements for future L1B collection</t>
  </si>
  <si>
    <t>EARTH OBSERVING SYSTEMS XXV</t>
  </si>
  <si>
    <t>Conference on Earth Observing Systems XXV</t>
  </si>
  <si>
    <t>AUG 24-SEP 04, 2020</t>
  </si>
  <si>
    <t>MODIS; radiometric calibration; TEB; DCC; Dome-C</t>
  </si>
  <si>
    <t>THERMAL EMISSIVE BANDS; TERRA</t>
  </si>
  <si>
    <t>Terra and Aqua MODIS have provided continuous global observations for scientific applications for more than 20 and 18 years, respectively. The radiometric calibration of the MODIS thermal emissive bands (TEB) is based on a quadratic approximation of the instrument response. The calibration coefficients look-up tables (LUTs) are updated using the response of the MODIS on-board blackbody (BB) with the response background subtracted by space view. The quarterly on-board BB warm-up and cool-down activity temperature ranges from 270 K to 315 K, and the derived offset has a relatively large uncertainty. Electronic cross-talk, an artifact that affects both instrument calibration and Earth view (EV) radiance retrievals, is corrected based on lunar observations. Calibration assessments using EV observations (e.g. ocean, desert, Antarctic Dome Concordia, and deep convective clouds) provide useful information to evaluate the impact of the Terra safe mode (February 2016) and Aqua MODIS formatter reset (January 2018) events on both MODIS instruments. This study focuses on the TEB radiometric calibration algorithm improvements for future collections based on calibration assessments using EV measurements and analytical modeling. Measurement stability and consistency over specific Earth scenes with a wide temperature range, as well as their brightness temperature (BT) dependency, are used for bias estimations in the calibration coefficients. Calibration coefficients are derived and updated after adjusting the current fitting algorithm. Thereafter, using the test LUTs, their impact on the Level 1B (L1B) data for different EV scenes is analyzed.</t>
  </si>
  <si>
    <t>[Chang, Tiejun; Shrestha, Ashish; Diaz, Carlos Perez; Li, Yonghong; Chen, Na; Wu, Aisheng] Sci Syst &amp; Applicat Inc, Lanham, MD 20706 USA; [Xiong, Xiaoxiong] NASA, Sci &amp; Explorat Directorate, GSFC, Greenbelt, MD 20771 USA</t>
  </si>
  <si>
    <t>Science Systems and Applications Inc; National Aeronautics &amp; Space Administration (NASA); NASA Goddard Space Flight Center</t>
  </si>
  <si>
    <t>Chang, TJ (corresponding author), Sci Syst &amp; Applicat Inc, Lanham, MD 20706 USA.</t>
  </si>
  <si>
    <t>li, yong/HDN-3885-2022; Gu, Yucheng/GPX-1847-2022; Shrestha, Ashish/AAE-3929-2019; gu, yu/GSD-4507-2022</t>
  </si>
  <si>
    <t>Gu, Yucheng/0000-0002-6400-6167; Shrestha, Ashish/0000-0002-9407-5462;</t>
  </si>
  <si>
    <t>978-1-5106-3809-9</t>
  </si>
  <si>
    <t>115011H</t>
  </si>
  <si>
    <t>10.1117/12.2567226</t>
  </si>
  <si>
    <t>Remote Sensing; Physics, Applied</t>
  </si>
  <si>
    <t>Remote Sensing; Physics</t>
  </si>
  <si>
    <t>BR1IA</t>
  </si>
  <si>
    <t>WOS:000632463000031</t>
  </si>
  <si>
    <t>Kopelev, D</t>
  </si>
  <si>
    <t>Kopelev, Dmitriy</t>
  </si>
  <si>
    <t>Projects of the first Russian Antarctic expedition of 1819-1821</t>
  </si>
  <si>
    <t>ROSSIISKAYA ISTORIYA</t>
  </si>
  <si>
    <t>Russian</t>
  </si>
  <si>
    <t>[Kopelev, Dmitriy] Herzen State Pedag Univ Russia, St Petersburg, Russia</t>
  </si>
  <si>
    <t>Herzen State Pedagogical University of Russia</t>
  </si>
  <si>
    <t>Kopelev, D (corresponding author), Herzen State Pedag Univ Russia, St Petersburg, Russia.</t>
  </si>
  <si>
    <t>Kopelev, Dmitri/S-4405-2016</t>
  </si>
  <si>
    <t>ROSSIISKAYA AKAD NAUK, IZDATELSTVO NAUKA</t>
  </si>
  <si>
    <t>PROFSOYUZNAYA UL 90, MOSCOW, 117997, RUSSIA</t>
  </si>
  <si>
    <t>0869-5687</t>
  </si>
  <si>
    <t>ROSS ISTOR</t>
  </si>
  <si>
    <t>Ross. Istor.</t>
  </si>
  <si>
    <t>10.31857/S086956870012932-6</t>
  </si>
  <si>
    <t>QT5QZ</t>
  </si>
  <si>
    <t>WOS:000626643300006</t>
  </si>
  <si>
    <t>Stepanowska, K; Nedzarek, A</t>
  </si>
  <si>
    <t>Stepanowska, K.; Nedzarek, A.</t>
  </si>
  <si>
    <t>Changes in the body chemical composition and the excretion of nitrogen and phosphorus during long-term starvation of Antarctic fishNotothenia coriicepsandNotothenia rossii</t>
  </si>
  <si>
    <t>EUROPEAN ZOOLOGICAL JOURNAL</t>
  </si>
  <si>
    <t>Admiralty Bay; fish lipids; protein; ammonium; nitrogen; trophochemoreception</t>
  </si>
  <si>
    <t>BEHAVIORAL-RESPONSES; NOTOTHENIOID FISHES; ODONTASTER-VALIDUS; ADMIRALTY BAY; PHOTOPERIOD; METABOLISM; TELEOST; BLOOD</t>
  </si>
  <si>
    <t>This study examined the effect- of starvation on the chemical composition (total protein, crude fat, dry matter, ash) and the excretion of nitrogen (N) and phosphorus (P) of the Antarctic fishNotothenia coriicepsandNotothenia rossii. Starvation resulted in a decrease in lipid content in both species. InNotothenia coriicepsthe body fat content decreased from 2.3% to 1.88% and inNotothenia rossiifrom 0.82% to 0.6%. Excretion rates of N and P were highest on the first day of starvation, then gradually decreased. Average excretion rates (in mu mol N or P h(-1)100 g(-1)) of ammonium nitrogen, organic nitrogen, reactive phosphorus, and organic phosphorus respectively were higher forN. coriiceps(8.71, 2.93, 1.09, 0.46) thanN. rossii(6.28, 4.94, 0.54, 0.13). During starvation, the proportion of TON in the total excreted nitrogen was on average 43.5% forN. rossiand 24.1% forN. coriiceps, and remained at a relatively stable level. The study confirmed the natural adaptation of the studied fish to the long-term lack of food, and that the excreted loads of N and P may be a source of biogens for autotrophs and serve as a chemical signal in trophochemoreception. The inter-species differences in the excretion of N and P could be due to the differences in fish size, gonad stage of maturity, and nutritional preferences.</t>
  </si>
  <si>
    <t>[Stepanowska, K.; Nedzarek, A.] West Pomeranian Univ Technol Szczecin, Fac Food Sci &amp; Fisheries, Dept Aquat Bioengn &amp; Aquaculture, PL-71550 Szczecin, Poland</t>
  </si>
  <si>
    <t>West Pomeranian University of Technology</t>
  </si>
  <si>
    <t>Stepanowska, K (corresponding author), West Pomeranian Univ Technol Szczecin, Fac Food Sci &amp; Fisheries, Dept Aquat Bioengn &amp; Aquaculture, PL-71550 Szczecin, Poland.</t>
  </si>
  <si>
    <t>anedzarek@zut.edu.pl</t>
  </si>
  <si>
    <t>Stepanowska, Katarzyna Ewa/AAI-4470-2021; Nędzarek, Arkadiusz/F-3959-2016</t>
  </si>
  <si>
    <t>Stepanowska, Katarzyna Ewa/0000-0003-2359-4844; Nędzarek, Arkadiusz/0000-0002-6094-3647</t>
  </si>
  <si>
    <t>Department of Antarctic Biology at the Polish Academy of Sciences; West Pomeranian University of Technology in Szczecin (Poland)</t>
  </si>
  <si>
    <t>This research was supported by the Department of Antarctic Biology at the Polish Academy of Sciences and the West Pomeranian University of Technology in Szczecin (Poland).</t>
  </si>
  <si>
    <t>2475-0263</t>
  </si>
  <si>
    <t>EUR ZOOL J</t>
  </si>
  <si>
    <t>Eur. Zool. J.</t>
  </si>
  <si>
    <t>10.1080/24750263.2020.1822451</t>
  </si>
  <si>
    <t>NY0RI</t>
  </si>
  <si>
    <t>WOS:000576106700001</t>
  </si>
  <si>
    <t>Slavin, J</t>
  </si>
  <si>
    <t>Zank, GP</t>
  </si>
  <si>
    <t>Slavin, Jonathan</t>
  </si>
  <si>
    <t>Interstellar Dust and Gas in the Heliosphere</t>
  </si>
  <si>
    <t>19TH ANNUAL INTERNATIONAL ASTROPHYSICS CONFERENCE</t>
  </si>
  <si>
    <t>19th Annual International Astrophysics Conference (AIAC)) - From the Sun's Atmosphere to the Edge of the Galaxy - A Story of Connections</t>
  </si>
  <si>
    <t>MAR 09-13, 2020</t>
  </si>
  <si>
    <t>Santa Fe, NM</t>
  </si>
  <si>
    <t>Interstellar dust and gas that enter the heliosphere provide us with important clues about both the heliosphere and the local interstellar medium (LISM). The picture we have of the LIC from both in situ detections and absorption line data presents questions that have important implications for the origins and evolution of the cloud. New detections of Fe-60 on Earth in deep sea crusts and Antarctic snow cores provide evidence for the role of supernovae in shaping the LISM. We discuss our models for the evolution of the LIC inside the Local Bubble and possible explanations for the source of the supernova produced dust.</t>
  </si>
  <si>
    <t>[Slavin, Jonathan] Harvard &amp; Smithsonian, Ctr Astrophys, 60 Garden St, Cambridge, MA 02138 USA</t>
  </si>
  <si>
    <t>Smithsonian Institution</t>
  </si>
  <si>
    <t>Slavin, J (corresponding author), Harvard &amp; Smithsonian, Ctr Astrophys, 60 Garden St, Cambridge, MA 02138 USA.</t>
  </si>
  <si>
    <t>jslavin@cfa.harvard.edu</t>
  </si>
  <si>
    <t>NASA Astrophysics Theory Program [NNX17AH80G]; Smithsonian Institution Scholarly Studies grant</t>
  </si>
  <si>
    <t>NASA Astrophysics Theory Program(National Aeronautics &amp; Space Administration (NASA)); Smithsonian Institution Scholarly Studies grant</t>
  </si>
  <si>
    <t>This research was supported by NASA Astrophysics Theory Program grant no. NNX17AH80G and a Smithsonian Institution Scholarly Studies grant. We thank Priscilla Frisch for helpful conversations.</t>
  </si>
  <si>
    <t>10.1088/1742-6596/1620/1/012019</t>
  </si>
  <si>
    <t>BR0TX</t>
  </si>
  <si>
    <t>WOS:000630894000019</t>
  </si>
  <si>
    <t>Angulo-Preckler, C; García-Lopez, E; Figuerola, B; Avila, C; Cid, C</t>
  </si>
  <si>
    <t>Angulo-Preckler, Carlos; Garcia-Lopez, Eva; Figuerola, Blanca; Avila, Conxita; Cid, Cristina</t>
  </si>
  <si>
    <t>Natural chemical control of marine associated microbial communities by sessile Antarctic invertebrates</t>
  </si>
  <si>
    <t>AQUATIC MICROBIAL ECOLOGY</t>
  </si>
  <si>
    <t>Marine benthos; Porifera; Bryozoa; Bacteria; Eukaryotes; Antifouling; Antimicrobial activity</t>
  </si>
  <si>
    <t>ANTIFOULING ACTIVITY; FEEDING REPELLENCE; OPTIMAL DEFENSE; METABOLITES; EXTRACTS; COLONIZATION; PALATABILITY; BACTERIA; SPONGES; SETTLEMENT</t>
  </si>
  <si>
    <t>Organisms living in the sea are exposed to fouling by other organisms. Many benthic marine invertebrates, including sponges and bryozoans, contain natural products with antimicrobial properties, since microbes usually constitute the first stages of fouling. Extracts from 4 Antarctic sponges (Myxilla (Myxilla) mollis, Mycale tylotornota, Rossella nuda, and Anoxycalyx (Scolymastra) joubini) and 2 bryozoan species (Cornucopina pectogemma and Nematoflustra flagellata) were tested separately for antifouling properties in field experiments. The different crude extracts from these invertebrates were incorporated into a substratum gel at natural concentrations for an ecological approach. Treatments were tested by submerging plates covered by these substratum gels under water in situ during 1 lunar cycle (28 d) at Deception Island (South Shetland Islands, Antarctica). Remarkably, the butanolic extracts of M. tylotornota and C. pectogemma showed complete growth inhibition of microscopic eukaryotic organisms, one of the succession stages involved in biofouling. Our results suggest that different chemical strategies may exist to avoid fouling, although the role of chemical defenses is often species-specific. Thus, the high specificity of the microbial community attached to the coated plates seems to be modulated by the chemical cues of the crude extracts of the invertebrates tested.</t>
  </si>
  <si>
    <t>[Angulo-Preckler, Carlos; Avila, Conxita] Univ Barcelona, Fac Biol, Dept Evolutionary Biol Ecol &amp; Environm Sci, Barcelona 08028, Catalonia, Spain; [Angulo-Preckler, Carlos; Avila, Conxita] Biodivers Res Inst IrBIO, Barcelona 08028, Catalonia, Spain; [Garcia-Lopez, Eva; Cid, Cristina] Ctr Astrobiol CSIC INTA, Microbial Evolut Lab, Madrid 28850, Spain; [Figuerola, Blanca] CSIC, Inst Marine Sci ICM, Pg Maritim Barceloneta 37-49, Barcelona 08003, Catalonia, Spain</t>
  </si>
  <si>
    <t>University of Barcelona; Consejo Superior de Investigaciones Cientificas (CSIC); CSIC - Centro de Astrobiologia (INTA); Consejo Superior de Investigaciones Cientificas (CSIC); CSIC - Centro Mediterraneo de Investigaciones Marinas y Ambientales (CMIMA); CSIC - Instituto de Ciencias del Mar (ICM)</t>
  </si>
  <si>
    <t>Angulo-Preckler, C (corresponding author), Univ Barcelona, Fac Biol, Dept Evolutionary Biol Ecol &amp; Environm Sci, Barcelona 08028, Catalonia, Spain.;Angulo-Preckler, C (corresponding author), Biodivers Res Inst IrBIO, Barcelona 08028, Catalonia, Spain.</t>
  </si>
  <si>
    <t>carlospreckler@hotmail.com</t>
  </si>
  <si>
    <t>Cid, Cristina/R-6821-2018; Angulo_Preckler, Carlos/A-6456-2011; Figuerola, Blanca/C-6252-2015; Lopez, Eva Garcia/AAC-4057-2021</t>
  </si>
  <si>
    <t>Cid, Cristina/0000-0001-5128-4558; Angulo_Preckler, Carlos/0000-0001-9028-274X; Figuerola, Blanca/0000-0003-4731-9337; Lopez, Eva Garcia/0000-0003-1086-3056</t>
  </si>
  <si>
    <t>Spanish Government [CTM2010-17415/ANT, CTM2013-42667/ANT]; FPU [AP2009-2081]; Juan de la Cierva-Incorporacion [IJCI-2017-31478]; PTA [PTA2016-12325-I]; [CTM2010-12134-E/ANT]; [CTM2011-16003-E]</t>
  </si>
  <si>
    <t>Spanish Government(Spanish Government); FPU(Spanish Government); Juan de la Cierva-Incorporacion; PTA; ;</t>
  </si>
  <si>
    <t>Thanks are due to F. J. Cristobo, L. Nunez-Pons, and J. Moles for their support in the lab and during the Antarctic cruises, as well as to E. Balleste for statistical input. Thanks are also due to the crew of BAE Gabriel de Castilla for their logistic support during the dives. This research was developed in the frame of ACTIQUIM-II (CTM2010-17415/ANT) and DISTANTCOM (CTM2013-42667/ANT) projects from the Spanish Government. C.A.P. and B.F. were recipients of FPU (AP2009-2081) and Juan de la Cierva-Incorporacion (IJCI-2017-31478) fellowships, respectively. Furthermore, genetic analyses were supported by grants CTM2010-12134-E/ANT and CTM2011-16003-E, with E.G.L. as recipient of a PTA fellowship (PTA2016-12325-I). Also, we thank the anonymous reviewers and the editor for providing very helpful comments on the manuscript. This is an AntECO (SCAR) contribution.</t>
  </si>
  <si>
    <t>0948-3055</t>
  </si>
  <si>
    <t>1616-1564</t>
  </si>
  <si>
    <t>AQUAT MICROB ECOL</t>
  </si>
  <si>
    <t>Aquat. Microb. Ecol.</t>
  </si>
  <si>
    <t>10.3354/ame01948</t>
  </si>
  <si>
    <t>QL6ZT</t>
  </si>
  <si>
    <t>WOS:000621233800015</t>
  </si>
  <si>
    <t>Ottoni, JR; Silva, TRE; de Oliveira, VM; Passarini, MRZ</t>
  </si>
  <si>
    <t>Ottoni, Julia Ronzella; e Silva, Tiago Rodrigues; de Oliveira, Valeria Maia; Zambrano Passarini, Michel Rodrigo</t>
  </si>
  <si>
    <t>Characterization of amylase produced by cold-adapted bacteria from Antarctic samples</t>
  </si>
  <si>
    <t>BIOCATALYSIS AND AGRICULTURAL BIOTECHNOLOGY</t>
  </si>
  <si>
    <t>Extremotolerant; Extremozyme; Biotechnology; Cold environment; Industrial application</t>
  </si>
  <si>
    <t>ALPHA-AMYLASE; SP-NOV.; ENZYMES; DIVERSITY; PURIFICATION; ADAPTATION; SEQUENCE; STARCH</t>
  </si>
  <si>
    <t>The Antarctic continent is characterized by extreme conditions and encompasses peculiar environments which represent promising habitats for the recovery of well-adapted microorganisms with unique metabolic capabilities. Enzymatic activity combined to salinity and pH tolerance of bacteria that thrive in low temperature environment have attracted attention of researchers in recent years and, as scarce information on that topic is available, the aim of this study was to prospect bacteria isolated from Antarctic samples for extracellular amylase activity and to determine their salinity and pH tolerances. Ninety-one bacteria isolated from Antarctic environmental samples, including marine sponges and invertebrates, sediments and soil biofilm, were screened. Fourty-two isolates were selected as putative amylase producers based on their ability to produce clearing zones in agar plates. Eighty-six and forty-four isolates were able to grow at 5 and 10% NaCl concentrations, respectively. The best enzymatic activities for isolates 226 and 227 were 768.5 U dL 1 (20 degrees C) and 1410,16 U dL 1 (20 degrees C), respectively, both influenced by the temperature. All variables assayed showed statistically significant differences for isolates 227 and 226, demonstrating that enzyme activities respond differently to the applied conditions. This is the first report that describes the amylase activity from Carnobacterium and Psychrobacter strains isolated from Antarctic samples. These results encourage subsequent investigations of enzymes produced by microorganisms adapted to low temperatures and high osmolarity conditions, aiming future biotechnological application in pharmaceutical, textile or food industries.</t>
  </si>
  <si>
    <t>[Ottoni, Julia Ronzella] UDC Ctr Univ Dinam Cataratas, Rua Castelo Branco 349, Foz Do Iguacu, PR, Brazil; [e Silva, Tiago Rodrigues; de Oliveira, Valeria Maia] CPQBA UNICAMP Div Recursos Microbianos, Rua Alexandre Cazelatto 999,CP 6171, BR-13083970 Campinas, SP, Brazil; [Zambrano Passarini, Michel Rodrigo] UNILA Univ Fed Integracao Latino Amer, Av Tarquinio Joslin Dos Santos 1000, BR-85870650 Foz Do Iguacu, PR, Brazil</t>
  </si>
  <si>
    <t>Universidade Federal da Integracao Latino-Americana</t>
  </si>
  <si>
    <t>Passarini, MRZ (corresponding author), UNILA Univ Fed Integracao Latino Amer, Av Tarquinio Joslin Dos Santos 1000, BR-85870650 Foz Do Iguacu, PR, Brazil.</t>
  </si>
  <si>
    <t>tiago04@gmail.com; vmaia@cpqba.unicamp.br; michelpassarini@gmail.com</t>
  </si>
  <si>
    <t>Ottoni, Júlia R/N-2728-2016; Oliveira, Valéria Maia/L-2422-2014; Passarimi, Michel/AAD-5806-2022; Silva, Tiago R/I-1326-2017</t>
  </si>
  <si>
    <t>Ottoni, Júlia R/0000-0003-1229-7676; Oliveira, Valéria Maia/0000-0001-8817-4758; Silva, Tiago R/0000-0002-2269-9321</t>
  </si>
  <si>
    <t>Sao Paulo Research Foundation FAPESP [2016/05640-6]; Proantar -Brazilian Antarctic Program</t>
  </si>
  <si>
    <t>Sao Paulo Research Foundation FAPESP(Fundacao de Amparo a Pesquisa do Estado de Sao Paulo (FAPESP)); Proantar -Brazilian Antarctic Program</t>
  </si>
  <si>
    <t>The authors are grateful to the Sao Paulo Research Foundation FAPESP (Process no. 2016/05640-6), the Project MycoAntar -diversity and bioprospecting of Antarctic fungi, and the Proantar -Brazilian Antarctic Program.</t>
  </si>
  <si>
    <t>1878-8181</t>
  </si>
  <si>
    <t>BIOCATAL AGR BIOTECH</t>
  </si>
  <si>
    <t>Biocatal. Agric. Biotechnol.</t>
  </si>
  <si>
    <t>10.1016/j.bcab.2019.101452</t>
  </si>
  <si>
    <t>QM5HP</t>
  </si>
  <si>
    <t>WOS:000621810600011</t>
  </si>
  <si>
    <t>Kilifarska, NA; Bakhmutov, VG; Melnyk, GV</t>
  </si>
  <si>
    <t>Tema, E; DiChiara, A; HerreroBervera, E</t>
  </si>
  <si>
    <t>Kilifarska, N. A.; Bakhmutov, V. G.; Melnyk, G. V.</t>
  </si>
  <si>
    <t>The geomagnetic field's imprint on the twentieth century's climate variability</t>
  </si>
  <si>
    <t>GEOMAGNETIC FIELD VARIATIONS IN THE PAST: NEW DATA, APPLICATIONS AND RECENT ADVANCES</t>
  </si>
  <si>
    <t>Geological Society Special Publication</t>
  </si>
  <si>
    <t>EARTHS MAGNETIC-FIELD; GALACTIC COSMIC-RAYS; VERTICAL CUTOFF RIGIDITIES; SECULAR VARIATION; LATEST PLEISTOCENE; LOWER ATMOSPHERE; TIME-INTERVAL; SOLAR; INTENSITY; LINK</t>
  </si>
  <si>
    <t>The existing controversy regarding the climatic response to given changes in the geomagnetic field intensity (e.g. climate cooling or warming in periods of geomagnetic field strengthening) raises scepticism about the existence of any relationship between both variables. The main shortcomings of the recent understanding of the geomagnetic field-climate relationship are the expectations for: (i) its universal character over the globe; and (ii) the zonal homogeneity of this relationship. This paper offers a new conceptual framework aimed at resolving the existing controversy and explaining the mechanism for the appearance of geomagnetic footprints on climatic records. We show that particles trapped in the Earth's radiation belts are subject to geomagnetic lensing in the parts of their trajectories closest to the surface, being focused or defocused at different regions over the world. The irregularly distributed ionization, created in such a way near the tropopause, activates various ion-molecular reactionships which affect the atmospheric composition there. Thus, the regional changes in the ozone and water vapour are furthermore projected onto the surface temperature and pressure. Consequently, the geomagnetic field-climate relationship is not a rigid but, rather, a flexible one because it is mediated by the near-tropopause ionization, ozone and humidity, with each of them being subject to the other's influence.</t>
  </si>
  <si>
    <t>[Kilifarska, N. A.] Bulgarian Acad Sci, Natl Inst Geophys Geodesy &amp; Geog, Acad G Bonchev St,Block 3, BU-1113 Sofia, Bulgaria; [Bakhmutov, V. G.; Melnyk, G. V.] Natl Acad Sci Ukraine, Inst Geophys, 32 Palladin Ave, UA-03142 Kiev, Ukraine; [Bakhmutov, V. G.] Minist Educ &amp; Sci Ukraine, Natl Antarctic Sci Ctr, 16 Taras Shevchenko Blvd, UA-02000 Kiev, Ukraine</t>
  </si>
  <si>
    <t>Bulgarian Academy of Sciences; National Academy of Sciences Ukraine; Subbotin Institute of Geophysics, National Academy of Sciences of Ukraine; Ministry of Education &amp; Science of Ukraine; State Institution National Antarctic Scientific Center</t>
  </si>
  <si>
    <t>Kilifarska, NA (corresponding author), Bulgarian Acad Sci, Natl Inst Geophys Geodesy &amp; Geog, Acad G Bonchev St,Block 3, BU-1113 Sofia, Bulgaria.</t>
  </si>
  <si>
    <t>kilnata@geophys.bas.bg</t>
  </si>
  <si>
    <t>Galyna, Melnyk/A-9292-2019; Volodymyr, Bakhmutov/A-8508-2019; Kilifarska, Natalya/AFQ-8551-2022</t>
  </si>
  <si>
    <t>Galyna, Melnyk/0000-0002-3609-1181; Bakhmutov, Vladimir/0000-0003-3804-9953; Kilifarska, Natalya/0000-0002-1874-8610</t>
  </si>
  <si>
    <t>Bulgarian National Fund for Scientific Research [... 14-28]; Bulgarian Ministry of Education, Youth and Science [BG05M2OP001-1.001-0003]</t>
  </si>
  <si>
    <t>Bulgarian National Fund for Scientific Research(National Science Fund of Bulgaria); Bulgarian Ministry of Education, Youth and Science</t>
  </si>
  <si>
    <t>This research is partially supported by the Bulgarian National Fund for Scientific Research (project No... 14-28; grant awarded to N.A. Kilifarska) and the Bulgarian Ministry of Education, Youth and Science (grant BG05M2OP001-1.001-0003 awarded to N. A. Kilifarska).</t>
  </si>
  <si>
    <t>GEOLOGICAL SOC PUBLISHING HOUSE</t>
  </si>
  <si>
    <t>BATH</t>
  </si>
  <si>
    <t>UNIT 7, BRASSMILL ENTERPRISE CTR, BRASSMILL LANE, BATH BA1 3JN, AVON, ENGLAND</t>
  </si>
  <si>
    <t>0305-8719</t>
  </si>
  <si>
    <t>978-1-78620-473-8</t>
  </si>
  <si>
    <t>GEOL SOC SPEC PUBL</t>
  </si>
  <si>
    <t>Geol. Soc. Spec. Publ.</t>
  </si>
  <si>
    <t>10.1144/SP497-2019-38</t>
  </si>
  <si>
    <t>10.1144/SP497</t>
  </si>
  <si>
    <t>BQ8FS</t>
  </si>
  <si>
    <t>WOS:000620165800013</t>
  </si>
  <si>
    <t>Taylor, N; Human, C; Kruger, K; Bekker, A; Basson, A</t>
  </si>
  <si>
    <t>Borangiu, T; Trentesaux, D; Leitao, P; Boggino, AG; Botti, V</t>
  </si>
  <si>
    <t>Taylor, Nicole; Human, Carlo; Kruger, Karel; Bekker, Anriette; Basson, Anton</t>
  </si>
  <si>
    <t>Comparison of Digital Twin Development in Manufacturing and Maritime Domains</t>
  </si>
  <si>
    <t>SERVICE ORIENTED, HOLONIC AND MULTI-AGENT MANUFACTURING SYSTEMS FOR INDUSTRY OF THE FUTURE</t>
  </si>
  <si>
    <t>Studies in Computational Intelligence</t>
  </si>
  <si>
    <t>9th International Workshop on Service Oriented, Holonic and Multi-Agent Manufacturing Systems for the Industry of the Future (SOHOMA)</t>
  </si>
  <si>
    <t>OCT 03-04, 2019</t>
  </si>
  <si>
    <t>Valencia, SPAIN</t>
  </si>
  <si>
    <t>Digital twin; Digital transformation; Manufacturing; Maritime systems</t>
  </si>
  <si>
    <t>DESIGN</t>
  </si>
  <si>
    <t>The concept of the digital twin is developing as a key enabler for the Industry 4.0 vision. The digital twin - a virtual representation of a real-world entity to facilitate integration with digital systems - has sparked research and application in different domains. A cross-domain comparison is presented through the review of the development of digital twins in the manufacturing and maritime domains. The comparison focuses on the needs for digital twins, conceptual and implementation frameworks, platforms, and real-world implementations in these two domains.</t>
  </si>
  <si>
    <t>[Taylor, Nicole; Human, Carlo; Kruger, Karel; Bekker, Anriette; Basson, Anton] Stellenbosch Univ, Dept Mech &amp; Mechatron Engn, ZA-7600 Stellenbosch, South Africa</t>
  </si>
  <si>
    <t>Stellenbosch University</t>
  </si>
  <si>
    <t>Kruger, K (corresponding author), Stellenbosch Univ, Dept Mech &amp; Mechatron Engn, ZA-7600 Stellenbosch, South Africa.</t>
  </si>
  <si>
    <t>nctaylor@sun.ac.za; humanc@sun.ac.za; kkruger@sun.ac.za; annieb@sun.ac.za; ahb@sun.ac.za</t>
  </si>
  <si>
    <t>Kruger, Karel/0000-0003-0932-2850</t>
  </si>
  <si>
    <t>National Research Foundation (NRF) through the South African National Antarctic Programme (SANAP) [110737]</t>
  </si>
  <si>
    <t>National Research Foundation (NRF) through the South African National Antarctic Programme (SANAP)</t>
  </si>
  <si>
    <t>Funding from the National Research Foundation (NRF) through the South African National Antarctic Programme (SANAP Grant No.110737) is thankfully recognised.</t>
  </si>
  <si>
    <t>1860-949X</t>
  </si>
  <si>
    <t>1860-9503</t>
  </si>
  <si>
    <t>978-3-030-27477-1; 978-3-030-27476-4</t>
  </si>
  <si>
    <t>STUD COMPUT INTELL</t>
  </si>
  <si>
    <t>10.1007/978-3-030-27477-1_12</t>
  </si>
  <si>
    <t>Automation &amp; Control Systems; Engineering, Manufacturing</t>
  </si>
  <si>
    <t>Automation &amp; Control Systems; Engineering</t>
  </si>
  <si>
    <t>BQ8FC</t>
  </si>
  <si>
    <t>WOS:000620144800012</t>
  </si>
  <si>
    <t>Suparta, W</t>
  </si>
  <si>
    <t>Omar, H; Shariff, ARM; Sathyamoorthy, D; Mat, RC; Tarmidi, Z; Ismail, MH</t>
  </si>
  <si>
    <t>Suparta, Wayan</t>
  </si>
  <si>
    <t>The Development of Raspi-Met System with Raspberry Pi3 for Meteorological Monitoring in Remote Areas</t>
  </si>
  <si>
    <t>10TH IGRSM INTERNATIONAL CONFERENCE AND EXHIBITION ON GEOSPATIAL &amp; REMOTE SENSING</t>
  </si>
  <si>
    <t>10th Institution-of-Geospatial-and-Remote-Sensing-Malaysia(IGRSM) International Conference and Exhibition on Geospatial and Remote Sensing (IGRSM)</t>
  </si>
  <si>
    <t>OCT 20-21, 2020</t>
  </si>
  <si>
    <t>The development of autonomous weather station systems using Raspberry Pi3 as a new alternative, named as 'Raspi-Met' to enhance conventional meteorological systems is reported in this paper. Today, a weather station with a compact size is required due to limited space and cost involved. Thus, this paper aims to design an application system using Raspberry Pi3 which is connected to Vaisala PTU300 sensors as Automatic Weather Station (AWS). The Python language under LINUX has been employed to design a graphical user interface (GUI) for a real-time monitoring system, acquisition process, and displaying three meteorological parameters at desired intervals. Data storage management and daily file in a text (*.txt) format have been created to archive historical data. The RTC module has also been developed and connected to Raspberry Pi3 to synchronize and maintain the time and date of the measurement system after the power is on. The system was installed at Carlini Base, Antarctica and has the ability to measure the surface pressure (P), temperature (T), and relative humidity (H). The results have been tested and validated that the system is capable as an AWS in the Antarctic Peninsula. The development of Raspi-Met system exhibits remarkable measurements of meteorological parameters for remote areas and the database organization becomes more efficient and practical.</t>
  </si>
  <si>
    <t>[Suparta, Wayan] Univ Malaya, Inst Ocean &amp; Earth Sci, Kuala Lumpur 50603, Malaysia; [Suparta, Wayan] Bina Nusantara Univ, Dept Doctor Comp Sci, Jakarta 11480, Indonesia; [Suparta, Wayan] Inst Teknol &amp; Kesehatan Jakarta, Dept Elect Engn, Bekasi City 17411, West Java, Indonesia</t>
  </si>
  <si>
    <t>Universiti Malaya; Universitas Bina Nusantara</t>
  </si>
  <si>
    <t>Suparta, W (corresponding author), Univ Malaya, Inst Ocean &amp; Earth Sci, Kuala Lumpur 50603, Malaysia.;Suparta, W (corresponding author), Bina Nusantara Univ, Dept Doctor Comp Sci, Jakarta 11480, Indonesia.;Suparta, W (corresponding author), Inst Teknol &amp; Kesehatan Jakarta, Dept Elect Engn, Bekasi City 17411, West Java, Indonesia.</t>
  </si>
  <si>
    <t>drwaynesparta@gmail.com</t>
  </si>
  <si>
    <t>SUPARTA, WAYAN/K-3110-2013</t>
  </si>
  <si>
    <t>SUPARTA, WAYAN/0000-0002-6193-1867</t>
  </si>
  <si>
    <t>Ministry of Science, Technology and Innovation Malaysia under Flagship Fund [ZF-2014-016]</t>
  </si>
  <si>
    <t>Ministry of Science, Technology and Innovation Malaysia under Flagship Fund</t>
  </si>
  <si>
    <t>This work was partly supported by the Ministry of Science, Technology and Innovation Malaysia under Flagship Fund: ZF-2014-016. The author was formerly with Universiti Kebangsaan Malaysia (UKM). The author would like thank to A. M. Gulisano and H. A. Ochoa for the work collaboration in the Instituto Antartico Argentino, Argentina. Thanks also to W. S. Putro and K. M. Alhasa for their assistance in Python source code development and hardware setup.</t>
  </si>
  <si>
    <t>10.1088/1755-1315/540/1/012086</t>
  </si>
  <si>
    <t>Environmental Sciences; Geography, Physical; Remote Sensing</t>
  </si>
  <si>
    <t>Environmental Sciences &amp; Ecology; Physical Geography; Remote Sensing</t>
  </si>
  <si>
    <t>BQ7LZ</t>
  </si>
  <si>
    <t>WOS:000617132600086</t>
  </si>
  <si>
    <t>Leslie, MS; Perkins-Taylor, CM; Durban, JW; Moore, MJ; Miller, CA; Chanarat, P; Bahamonde, P; Chiang, G; Apprill, A</t>
  </si>
  <si>
    <t>Leslie, Matthew S.; Perkins-Taylor, Colin M.; Durban, John W.; Moore, Michael J.; Miller, Carolyn A.; Chanarat, Proud; Bahamonde, Paulina; Chiang, Gustavo; Apprill, Amy</t>
  </si>
  <si>
    <t>Body size data collected non-invasively fromdrone images indicate a morphologically distinct Chilean blue whale (Balaenopteramusculus) taxon</t>
  </si>
  <si>
    <t>ENDANGERED SPECIES RESEARCH</t>
  </si>
  <si>
    <t>Aerial photogrammetry; Taxonomy; Subspecies; Whaling; Systematics; Unoccupied aerial systems; UAS</t>
  </si>
  <si>
    <t>QUANTITATIVE STANDARDS; MULTIPLE COMPARISONS; SYMPATRIC AREA; PACIFIC; DELIMITATION; GUIDELINES; DISCOVERY; ABUNDANCE; SOUNDS; LENGTH</t>
  </si>
  <si>
    <t>The blue whale Balaenoptera musculus (Linnaeus, 1758) was the target of intense commercial whaling in the 20th century, and current populations remain drastically below prewhaling abundances. Reducing uncertainty in subspecific taxonomy would enable targeted conservation strategies for the recovery of unique intraspecific diversity. Currently, there are 2 named blue whale subspecies in the temperate to polar Southern Hemisphere: the Antarctic blue whale B. m. intermedia and the pygmy blue whale B. m. brevicauda. These subspecies have distinct morphologies, genetics, and acoustics. In 2019, the Society for Marine Mammalogy's Committee on Taxonomy agreed that evidence supports a third (and presently unnamed) subspecies of Southern Hemisphere blue whale subspecies, the Chilean blue whale. Whaling data indicate that the Chilean blue whale is intermediate in body length between pygmy and Antarctic blue whales. We collected body size data from blue whales in the Gulfo Corcovado, Chile, during the austral summers of 2015 and 2017 using aerial photogrammetry from a remotely controlled drone to test the hypothesis that the Chilean blue whale is morphologically distinct from other Southern Hemisphere blue whale subspecies. We found the Chilean whale to be morphologically intermediate in both overall body length and relative tail length, thereby joining other diverse data in supporting the Chilean blue whale as a unique subspecific taxon. Additional photogrammetry studies of Antarctic, pygmy, and Chilean blue whales will help examine unique morphological variation within this species of conservation concern. To our knowledge, this is the first non-invasive small drone study to test a hypothesis for systematic biology.</t>
  </si>
  <si>
    <t>[Leslie, Matthew S.; Perkins-Taylor, Colin M.] Swarthmore Coll, Dept Biol, 500 Coll Ave, Swarthmore, PA 19081 USA; [Durban, John W.] Southall Environm Associates Inc, 9099 Soquel Dr,Suite 8, Aptos, CA 95003 USA; [Moore, Michael J.] Woods Hole Oceanog Inst, Biol Dept, 266 Woods Hole Rd,MS 50, Woods Hole, MA 02543 USA; [Miller, Carolyn A.; Apprill, Amy] Woods Hole Oceanog Inst, Marine Chem &amp; Geochem Dept, 266 Woods Hole Rd,MS 4, Woods Hole, MA 02543 USA; [Chanarat, Proud] WWF Thailand, Level 3,9 Pra Dipat 10,Pra Dipat Rd, Bangkok 10400, Thailand; [Bahamonde, Paulina] Univ Playa Ancha, HUB AMBIENTAL UPLA Ctr Estudios Avanzado, Valparaiso 2340000, Chile; [Bahamonde, Paulina; Chiang, Gustavo] Melimoyu Ecosyst Res Inst, Ave Kennedy 5682, Santiago 7650720, Chile; [Chiang, Gustavo] Pontificia Univ Catolica Chile, Ctr Appl Ecol &amp; Sustainabil, CAPES UC, Santiago 8331150, Chile</t>
  </si>
  <si>
    <t>Swarthmore College; Woods Hole Oceanographic Institution; Woods Hole Oceanographic Institution; World Wildlife Fund; Universidad de Playa Ancha; Pontificia Universidad Catolica de Chile</t>
  </si>
  <si>
    <t>Leslie, MS (corresponding author), Swarthmore Coll, Dept Biol, 500 Coll Ave, Swarthmore, PA 19081 USA.</t>
  </si>
  <si>
    <t>mleslie2@swarthmore.edu</t>
  </si>
  <si>
    <t>Bahamonde, Paulina/JSK-9617-2023; Chiang, Gustavo/ABA-9349-2020</t>
  </si>
  <si>
    <t>Bahamonde, Paulina/0000-0002-8880-8463; Chiang, Gustavo/0000-0003-4504-355X</t>
  </si>
  <si>
    <t>Foundation MERI (Melimoyu Ecosystem Research Institute)</t>
  </si>
  <si>
    <t>We are thankful to Foundation MERI (Melimoyu Ecosystem Research Institute) for logistical and funding support. Cruise support in 2017 was provided by the Dalio Foundation (now `OceanX'). We also thank Thomas Rodney Montt, Felipe `The Juice' Jugo, Nadine Lysiak, Daniel Casado, the captain and crew of the R/V `Centinela', the staff of Pesquera Los Elefantes, and Pedro Montt. Don LeRoi and Aerial Imaging Solutions provided technical support. Uko Gorter (www.ukogorter.com/) provided blue whale illustrations for figures. We extend a special thanks to Wayne Perryman and Jim Gilpatrick for their advice and assistance. Drs. Steve Wang and Trevor Branch provided advice with statistics. We also thank Drs. Nick Pyenson and Jesus Maldonado at the Smithsonian Institution for their support.</t>
  </si>
  <si>
    <t>1863-5407</t>
  </si>
  <si>
    <t>1613-4796</t>
  </si>
  <si>
    <t>ENDANGER SPECIES RES</t>
  </si>
  <si>
    <t>Endanger. Species Res.</t>
  </si>
  <si>
    <t>10.3354/esr01066</t>
  </si>
  <si>
    <t>Biodiversity Conservation</t>
  </si>
  <si>
    <t>Biodiversity &amp; Conservation</t>
  </si>
  <si>
    <t>QJ2JK</t>
  </si>
  <si>
    <t>WOS:000619516900022</t>
  </si>
  <si>
    <t>Jackson, JA; Kennedy, A; Moore, M; Andriolo, A; Bamford, CCG; Calderan, S; Cheeseman, T; Gittins, G; Groch, K; Kelly, N; Leaper, R; Leslie, MS; Lurcock, S; Miller, BS; Richardson, J; Rowntree, V; Smith, P; Stepien, E; Stowasser, G; Trathan, P; Vermeulen, E; Zerbini, AN; Carroll, EL</t>
  </si>
  <si>
    <t>Jackson, Jennifer A.; Kennedy, Amy; Moore, Michael; Andriolo, Artur; Bamford, Connor C. G.; Calderan, Susannah; Cheeseman, Ted; Gittins, George; Groch, Karina; Kelly, Natalie; Leaper, Russell; Leslie, Matthew S.; Lurcock, Sarah; Miller, Brian S.; Richardson, Jessica; Rowntree, Vicky; Smith, Patrick; Stepien, Emilie; Stowasser, Gabriele; Trathan, Phil; Vermeulen, Els; Zerbini, Alexandre N.; Carroll, Emma L.</t>
  </si>
  <si>
    <t>Have whales returned to a historical hotspot of industrial whaling? The pattern of southern right whale Eubalaena australis recovery at South Georgia</t>
  </si>
  <si>
    <t>Eubalaena australis; Whale; Whaling; Antarctic; Recovery; Habitat use</t>
  </si>
  <si>
    <t>MEGAPTERA-NOVAEANGLIAE; RELATIVE ABUNDANCE; STABLE-ISOTOPES; BIOPSY SYSTEM; BALEEN WHALES; NORTH; SEA; POPULATION; MOVEMENTS; GLACIALIS</t>
  </si>
  <si>
    <t>Around 176 500 whales were killed in the sub-Antarctic waters off South Georgia (South Atlantic) between 1904 and 1965. In recent decades, whales have once again become summer visitors, with the southern right whale (SRW) the most commonly reported species until 2011. Here, we assess the distribution, temporal pattern, health status and likely prey of SRWs in these waters, combining observations from a summertime vessel-based expedition to South Georgia, stable isotope data collected from SRWs and putative prey and sightings reports collated by the South Georgia Museum. The expedition used directional acoustics and visual surveys to localise whales and collected skin biopsies and photo-IDs. During 76 h of visual observation effort over 19 expedition days, SRWs were encountered 15 times (similar to 31 individuals). Photo-IDs, combined with publicly contributed images from commercial vessels, were reconciled and quality-controlled to form a catalogue of 6 fully (i.e. both sides) identified SRWs and 26 SRWs identified by either left or right sides. No photo-ID matches were found with lower-latitude calving grounds, but 3 whales had gull lesions supporting a direct link with Peninsula Valdes, Argentina. The isotopic position of SRWs in the South Georgia food web suggests feeding on a combination of copepod and krill species. Opportunistic reports of SRW sightings and associated group sizes remain steady over time, while humpback whales provide a strong contrast, with increased sighting rates and group sizes seen since 2013. These data suggest a plateau in SRWs and an increasing humpback whale presence in South Georgia waters following the cessation of whaling.</t>
  </si>
  <si>
    <t>[Jackson, Jennifer A.; Bamford, Connor C. G.; Stowasser, Gabriele; Trathan, Phil] British Antarctic Survey, Cambridge CB3 0ET, England; [Kennedy, Amy; Zerbini, Alexandre N.] Univ Washington, Cooperat Inst Climate Ocean &amp; Ecosyst Studies, John M Wallace Hall,3737 Brooklyn Ave NE, Seattle, WA 98105 USA; [Moore, Michael] Woods Hole Oceanog Inst, Biol Dept, Woods Hole, MA 02543 USA; [Andriolo, Artur] Univ Fed Juiz de Fora, Inst Ciencias Biol, Dept Zool, Campus Univ, BR-36036900 Juiz De Fora, MG, Brazil; [Andriolo, Artur; Zerbini, Alexandre N.] Inst Aqualie, Av Dr Paulo Japiassu Coelho 714,Sala 202, BR-36033310 Juiz De Fora, MG, Brazil; [Bamford, Connor C. G.] Univ Southampton, Univ Rd, Southampton SO17 1BJ, Hants, England; [Calderan, Susannah] Scottish Assoc Marine Sci, Oban PA37 1QA, Argyll, Scotland; [Cheeseman, Ted] Happywhale, 904 Columbia St, Santa Cruz, CA 95060 USA; [Cheeseman, Ted] Southern Cross Univ, Marine Ecol Res Ctr, Lismore, NSW 2480, Australia; [Gittins, George; Smith, Patrick] Fishery Patrol Vessel Pharos SG, Edinburgh, Midlothian, Scotland; [Groch, Karina] Ctr Nacl Conservacao Baleia Franca, Projeto Franca Austral, Inst Australis, BR-88780000 Imbituba, Brazil; [Kelly, Natalie; Miller, Brian S.] Dept Agr Water &amp; Environm, Australian Antarctic Div, 203 Channel Highway, Kingston, Tas 7054, Australia; [Leaper, Russell] Int Fund Anim Welf, 209-215 Blackfriars Rd, London SE1 8NL, England; [Leslie, Matthew S.] Swarthmore Coll, Biol Dept, 500 Coll Ave, Swarthmore, PA 19081 USA; [Lurcock, Sarah] South Georgia Heritage Trust, Verdant Works, Dundee DD1 5BT, Scotland; [Richardson, Jessica] Duke Univ, Duke Univ Marine Lab, Nicholas Sch Environm, 135 Duke Marine Lab Rd, Beaufort, NC 28516 USA; [Rowntree, Vicky] Univ Utah, Dept Biol, Salt Lake City, UT 84112 USA; [Rowntree, Vicky] Inst Conservac Ballenas, OHiggins 4380, RA-1429 Buenos Aires, DF, Argentina; [Stepien, Emilie] Univ Southern Denmark, Inst Biol, DK-5230 Kerteminde, Denmark; [Vermeulen, Els] Univ Pretoria, Mammal Res Inst Whale Unit, Dept Zool &amp; Entomol, ZA-0028 Pretoria, South Africa; [Zerbini, Alexandre N.] Alaska Fisheries Sci Ctr, Marine Mammal Lab, 7600 Sand Point Way NE, Seattle, WA 98115 USA; [Zerbini, Alexandre N.] Marine Ecol &amp; Telemetry Res, 2468 Camp McKenzie Tr NW, Seabeck, WA 98380 USA; [Zerbini, Alexandre N.] Cascadia Res Collect, 218 1-2 W 4th Ave, Olympia, WA 98501 USA; [Carroll, Emma L.] Univ St Andrews, Scottish Oceans Inst, St Andrews KY16 9XL, Fife, Scotland; [Carroll, Emma L.] Univ St Andrews, Sea Mammal Res Unit, St Andrews KY16 9XL, Fife, Scotland; [Carroll, Emma L.] Univ Auckland, Sch Biol Sci, Auckland 1010, New Zealand</t>
  </si>
  <si>
    <t>UK Research &amp; Innovation (UKRI); Natural Environment Research Council (NERC); NERC British Antarctic Survey; University of Washington; University of Washington Seattle; Woods Hole Oceanographic Institution; Universidade Federal de Juiz de Fora; University of Southampton; UHI Millennium Institute; Southern Cross University; Australian Antarctic Division; Swarthmore College; Duke University; Utah System of Higher Education; University of Utah; University of Southern Denmark; University of Pretoria; National Oceanic Atmospheric Admin (NOAA) - USA; University of St Andrews; University of St Andrews; University of Auckland</t>
  </si>
  <si>
    <t>Jackson, JA (corresponding author), British Antarctic Survey, Cambridge CB3 0ET, England.</t>
  </si>
  <si>
    <t>jeck@bas.ac.uk</t>
  </si>
  <si>
    <t>Vermeulen, Els/AAW-2716-2020; Carroll, Emma/U-9133-2019; Kelly, Natalie/B-3481-2010; Jackson, Jennifer A/E-7997-2013</t>
  </si>
  <si>
    <t>Vermeulen, Els/0000-0002-3667-1290; Carroll, Emma/0000-0003-3193-7288; Cheeseman, Ted/0000-0002-5805-2431; Kelly, Nat/0000-0002-9664-354X; Stepien, Emilie Nicoline/0000-0002-5857-4301; Bamford, Connor/0000-0002-5732-7237; Miller, Brian/0000-0001-7615-3044; Jackson, Jennifer/0000-0003-4158-1924</t>
  </si>
  <si>
    <t>EU BEST 2.0 Medium [1594]; DARWIN PLUS award [DPLUS057]; World Wildlife Fund; Natural Environment Research Council; Government of South Georgia; South Sandwich Islands; Rutherford Discovery Fellowship from the Royal Society of New Zealand; NERC [bas0100035] Funding Source: UKRI</t>
  </si>
  <si>
    <t>EU BEST 2.0 Medium; DARWIN PLUS award; World Wildlife Fund; Natural Environment Research Council(UK Research &amp; Innovation (UKRI)Natural Environment Research Council (NERC)); Government of South Georgia; South Sandwich Islands; Rutherford Discovery Fellowship from the Royal Society of New Zealand(Royal Society of New Zealand); NERC(UK Research &amp; Innovation (UKRI)Natural Environment Research Council (NERC))</t>
  </si>
  <si>
    <t>This work was supported by funding from an EU BEST 2.0 Medium Grant 1594, with additional support provided by a DARWIN PLUS award DPLUS057 and additional funding from the World Wildlife Fund. This study forms part of the Ecosystems component of the British Antarctic Survey Polar Science for Planet Earth Programme, funded by The Natural Environment Research Council. We thank the Government of South Georgia and the South Sandwich Islands for providing support for this expedition, the photo-ID contributors to Happywhale, the volunteers at South Georgia Museum for compiling sightings data, Marie Shafi of South Georgia Heritage Trust, Flor Vilches for conducting photo-ID matching, Marine Conservation Research International for vessel charter support, Jonathan and Thom Gordon at Vanishing Point Marine, Jason Newton and Rona A. R. McGill at SUERC in East Kilbride, Paula Olson, Luciano Valenzuela, Norman Ratcliffe, Laura Gerrish, Steve Dent and the Veterinary Department in Stanley, and Heather Pettis for advice on right whale health analysis. E.L.C. was partially supported by a Rutherford Discovery Fellowship from the Royal Society of New Zealand.</t>
  </si>
  <si>
    <t>10.3354/esr01072</t>
  </si>
  <si>
    <t>WOS:000619516900024</t>
  </si>
  <si>
    <t>Hückstädt, LA; Schwarz, LK; Friedlaender, AS; Mate, BR; Zerbini, AN; Kennedy, A; Robbins, J; Gales, NJ; Costa, DP</t>
  </si>
  <si>
    <t>Huckstadt, Luis A.; Schwarz, Lisa K.; Friedlaender, Ari S.; Mate, Bruce R.; Zerbini, Alexandre N.; Kennedy, Amy; Robbins, Jooke; Gales, Nicolas J.; Costa, Daniel P.</t>
  </si>
  <si>
    <t>A dynamic approach to estimate the probability of exposure of marine predators to oil exploration seismic surveys over continental shelf waters</t>
  </si>
  <si>
    <t>Disturbance; Ocean noise; Blue whale; Humpback whale; Satellite tracking; Continental shelf</t>
  </si>
  <si>
    <t>WHALES MEGAPTERA-NOVAEANGLIAE; POPULATION CONSEQUENCES; PROTECTED AREAS; ELEPHANT SEALS; OCEAN NOISE; DISTURBANCE; CETACEANS; BEHAVIOR; MODEL; TIME</t>
  </si>
  <si>
    <t>The ever-increasing human demand for fossil fuels has resulted in the expansion of oil exploration efforts to waters over the continental shelf. These waters are largely utilized by a complex biological community. Large baleen whales, in particular, utilize continental shelf waters as breeding and calving grounds, foraging grounds, and also as migration corridors. We developed a dynamic approach to estimate the likelihood that individuals from different populations of blue whales Balaenoptera musculus and humpback whales Megaptera novaeangliae could be exposed to idealized, simulated seismic surveys as they move over the continental shelf. Animal tracking data for the different populations were filtered, and behaviors (transit and foraging) were inferred from the tracks using hidden Markov models. We simulated a range of conditions of exposure by having the source of noise affecting a circular area of different radii (5, 25, 50 and 100 km), moving along a gridded transect of 270 and 2500 km(2) at a constant speed of 9 km h(-1), and starting the simulated surveys every week of the year. Our approach allowed us to identify the temporal variability in the susceptibility of the different populations under study, as we ran the simulations for an entire year, allowing us to identify periods when the surveys would have an intensified effect on whales. Our results highlight the importance of understanding the behavior and ecology of individuals in a site-specific context when considering the likelihood of exposure to anthropogenic disturbances, as the habitat utilization patterns of each population are highly variable.</t>
  </si>
  <si>
    <t>[Huckstadt, Luis A.; Friedlaender, Ari S.; Costa, Daniel P.] Univ Calif Santa Cruz, Inst Marine Sci, Santa Cruz, CA 95060 USA; [Schwarz, Lisa K.] Univ Calif Santa Cruz, Dept Ocean Sci, Santa Cruz, CA 95064 USA; [Mate, Bruce R.] Oregon State Univ, Marine Mammal Inst, Newport, OR 97365 USA; [Zerbini, Alexandre N.; Kennedy, Amy] Univ Washington, Joint Inst Study Atmosphere &amp; Ocean JISAO, Seattle, WA 98112 USA; [Zerbini, Alexandre N.; Kennedy, Amy] NOAA, Marine Mammal Lab, Seattle, WA 98112 USA; [Zerbini, Alexandre N.] Marine Ecol &amp; Telemetry Res, Seabeck, WA 98380 USA; [Zerbini, Alexandre N.] Inst Aqualie, Juiz De Fora, MG, Brazil; [Robbins, Jooke] Ctr Coastal Studies, Provincetown, MA 02657 USA; [Gales, Nicolas J.] Australian Antarctic Div, Kingston, Tas 7050, Australia; [Costa, Daniel P.] Univ Calif Santa Cruz, Dept Ecol &amp; Evolutionary Biol, Santa Cruz, CA 95060 USA</t>
  </si>
  <si>
    <t>University of California System; University of California Santa Cruz; University of California System; University of California Santa Cruz; Oregon State University; University of Washington; University of Washington Seattle; National Oceanic Atmospheric Admin (NOAA) - USA; Australian Antarctic Division; University of California System; University of California Santa Cruz</t>
  </si>
  <si>
    <t>Hückstädt, LA (corresponding author), Univ Calif Santa Cruz, Inst Marine Sci, Santa Cruz, CA 95060 USA.</t>
  </si>
  <si>
    <t>lahuckst@gmail.com</t>
  </si>
  <si>
    <t>Huckstadt, Luis/JNR-7637-2023; Kennedy, Amy S./O-9947-2017; Zerbini, Alexandre/ABH-3916-2020; Huckstadt, Luis/A-5838-2018</t>
  </si>
  <si>
    <t>Zerbini, Alexandre/0000-0002-9776-6605; Huckstadt, Luis/0000-0002-2453-7350; Robbins, Jooke/0000-0002-6382-722X</t>
  </si>
  <si>
    <t>Office of Naval Research [N00014-08-1-1195]; E&amp;P Sound and Marine Life Joint Industry Project of the International Association of Oil and Gas Producers [JIP 00 07-23]; National Oceanographic and Atmospheric Administration; ExxonMobile Exploration Company via the National Fish and Wildlife Foundation; National Oceanographic Partnership Program; Tagging of Pacific Pelagics, Office of Naval Research [N00014-09-1-0453]; Shell Brasil; Bureau of Ocean Energy Management</t>
  </si>
  <si>
    <t>Office of Naval Research(Office of Naval Research); E&amp;P Sound and Marine Life Joint Industry Project of the International Association of Oil and Gas Producers; National Oceanographic and Atmospheric Administration(National Oceanic Atmospheric Admin (NOAA) - USA); ExxonMobile Exploration Company via the National Fish and Wildlife Foundation(Exxon Mobil Corporation); National Oceanographic Partnership Program; Tagging of Pacific Pelagics, Office of Naval Research(Office of Naval Research); Shell Brasil; Bureau of Ocean Energy Management</t>
  </si>
  <si>
    <t>This work was developed in association with the Office of Naval Research-supported PCAD/PCOD working group and was supported by Office of Naval Research grant N00014-08-1-1195, and the E&amp;P Sound and Marine Life Joint Industry Project of the International Association of Oil and Gas Producers (JIP 00 07-23). Tagging research in the Gulf of Maine was supported by the National Oceanographic and Atmospheric Administration and ExxonMobile Exploration Company via the National Fish and Wildlife Foundation and the National Oceanographic Partnership Program. Tagging research of blue and humpback whales in the California Current was supported in part by the Tagging of Pacific Pelagics, Office of Naval Research (grant N00014-09-1-0453) and donors to Oregon State University Endowments for Marine Mammal Research and the Marine Mammal Institute. Tagging in the western South Atlantic was funded by Shell Brasil with grants provided to Biodinamica and Instituto Aqualie. Tagging in the Bering Sea was funded by the former Minerals Management Service (now Bureau of Ocean Energy Management) with grants to the Marine Mammal Laboratory, Alaska Fisheries Science Center. The scientific results and conclusions, as well as any views or opinions expressed herein, are those of the author(s) and do not necessarily reflect those of NOAA or the US Department of Commerce.</t>
  </si>
  <si>
    <t>10.3354/esr01048</t>
  </si>
  <si>
    <t>QJ2IH</t>
  </si>
  <si>
    <t>WOS:000619513900013</t>
  </si>
  <si>
    <t>Sánchez-Sarmiento, AM; Ruoppolo, V; Muelbert, MMC; Neto, JSF; Catao-Dias, JL</t>
  </si>
  <si>
    <t>Sanchez-Sarmiento, Angelica Maria; Ruoppolo, Valeria; Costa Muelbert, Monica Mathias; Ferreira Neto, Jose Soares; Catao-Dias, Jose Luiz</t>
  </si>
  <si>
    <t>Serological screening for Brucella spp. and Leptospira spp. antibodies in southern elephant seals Mirounga leonina from Elephant Island, Antarctica, in 2003 and 2004</t>
  </si>
  <si>
    <t>DISEASES OF AQUATIC ORGANISMS</t>
  </si>
  <si>
    <t>Competitive ELISA; Brucellosis; Leptospirosis; Southern elephant seals; Phocidae; Serology</t>
  </si>
  <si>
    <t>LIONS ZALOPHUS-CALIFORNIANUS; PACIFIC HARBOR SEALS; PHOCA-VITULINA-RICHARDSI; CLIMATE-CHANGE; MARINE MAMMALS; FUR SEALS; ANTIBRUCELLA ANTIBODIES; LEPTONYCHOTES-WEDDELLII; INFECTIOUS-DISEASE; HABITAT LOSS</t>
  </si>
  <si>
    <t>Brucella spp. and Leptospira spp. antibodies were surveyed in 35 southern elephant seals (SESs) Mirounga leonina at Elephant Island (South Shetland Islands), western Antarctic peninsula, in the Austral summer of 2003 and 2004. The rose Bengal test and a commercial competitive ELISA (c-ELISA) were used to detect Brucella spp. exposure, and the microscopic agglutination test (MAT) with 22 live serovars was used to determine anti-Leptospira spp. antibodies. We found evidence of Brucella spp. exposure in 3 of 35 (8.6%) SESs tested via the c-ELISA displaying high percentage inhibition (PI), similar to other studies in pinnipeds in which Brucella spp. antibodies have been determined. Two of the 3 positives were pups (PI = 70.4 and 86.6%), while the third was an adult female (PI = 48.8%). The 3 c-ELISA positive SESs were additionally tested via the serumagglutination test but were found to be negative. All individuals were negative for antibodies against 22 Leptospira spp. serovars by MAT. These results contribute to the knowledge and monitoring of zoonotic pathogens with epizootic potential in Southern Ocean pinnipeds. Given the potential impact that pathogens may have on the abundance of wild (sometimes threatened and endangered) populations, constant monitoring and surveillance are required to prevent pathogen spread, particularly under forecast climate change scenarios.</t>
  </si>
  <si>
    <t>[Sanchez-Sarmiento, Angelica Maria; Ruoppolo, Valeria; Catao-Dias, Jose Luiz] Univ Sao Paulo, Fac Med Vet &amp; Zootecnia, Dept Patol, Lab Patol Comparada Anim Selvagens, BR-05508270 Sao Paulo, SP, Brazil; [Ruoppolo, Valeria] Int Fund Anim Welf IFAW, Yarmouth Port, MA 02675 USA; [Costa Muelbert, Monica Mathias] Univ Fed Sao Paulo IMar UNIFESP, Rua Dr Carvalho Mendonca 144, BR-11070100 Santos, SP, Brazil; [Costa Muelbert, Monica Mathias] Univ Tasmania, Inst Marine &amp; Antarctic Studies, Battery Point, Tas 7004, Australia; [Ferreira Neto, Jose Soares] Univ Sao Paulo, Lab Zoonoses Bacterianas, Fac Med Vet &amp; Zootecnia, BR-05508270 Sao Paulo, SP, Brazil</t>
  </si>
  <si>
    <t>Universidade de Sao Paulo; Universidade Federal de Sao Paulo (UNIFESP); University of Tasmania; Universidade de Sao Paulo</t>
  </si>
  <si>
    <t>Sánchez-Sarmiento, AM (corresponding author), Univ Sao Paulo, Fac Med Vet &amp; Zootecnia, Dept Patol, Lab Patol Comparada Anim Selvagens, BR-05508270 Sao Paulo, SP, Brazil.</t>
  </si>
  <si>
    <t>amssarmiento@yahoo.com.br</t>
  </si>
  <si>
    <t>Sanchez-Sarmiento, Angélica María/B-8764-2019; Catão-Dias, José Luiz/C-4897-2012</t>
  </si>
  <si>
    <t>Catão-Dias, José Luiz/0000-0003-2999-3395</t>
  </si>
  <si>
    <t>Coordenacao de Apoio a Pesquisa de nivel superior-CAPES; Conselho Nacional de Desenvolvimento Cientifico e Tecnologico-CNPq [305349/2015-5]; Brazilian Science, Technology and Innovation Ministry through the Brazilian National Research Council (CNPq) [520196/2006-6]; CAPES (Ministry of Education)</t>
  </si>
  <si>
    <t>Coordenacao de Apoio a Pesquisa de nivel superior-CAPES; Conselho Nacional de Desenvolvimento Cientifico e Tecnologico-CNPq(Conselho Nacional de Desenvolvimento Cientifico e Tecnologico (CNPQ)); Brazilian Science, Technology and Innovation Ministry through the Brazilian National Research Council (CNPq)(Conselho Nacional de Desenvolvimento Cientifico e Tecnologico (CNPQ)); CAPES (Ministry of Education)(Coordenacao de Aperfeicoamento de Pessoal de Nivel Superior (CAPES))</t>
  </si>
  <si>
    <t>We acknowledge Nicolle QueirozHazarbassanov, Gisele Oliveira and Antonio de Sousa for excellent technical assistance and Jacques Delbecque from INGENASA, Madrid, Spain, for kindly providing the c-ELISA KIT. We are grateful to Eric Woehler and Chris Gardiner for review of this manuscript, and to Pedro Navas Suarez for cartography. This study was conducted by A.M.S.S. as part of her PhD program at the Departamento de Patologia, Faculdade de Medicina Veterinaria e Zootecnia, Universidade de Sao Paulo, Brazil, with support from a scholarship from Coordenacao de Apoio a Pesquisa de nivel superior-CAPES and approved by the Ethics Committee for the Use of Animals in Research at USP (CEUA No. 3926161213), Faculdade de Medicina Veterinaria e Zootecnia, Universidade de Sao Paulo, Sao Paulo, Brazil. J.L.C.D. is the recipient of a professorship by Conselho Nacional de Desenvolvimento Cientifico e Tecnologico-CNPq (Grant No. 305349/2015-5). This research was conducted as part of the Brazilian Antarctic Program (PROANTAR) - Projeto Elefante Marinho do Sul (PEMS). We thank the Brazilian Navy (research vessels, the personnel from the Brazilian Antarctic Station 'Comandante Ferraz'-EACF), the Brazilian Antarctic Program (PROANTAR) and SECIRM for logistical support. We also thank the PEMS crew for field support, particularly Julio Jose Reynoso, Mateus Holtz Barbosa and Roberto Vilela. The Brazilian Science, Technology and Innovation Ministry through the Brazilian National Research Council (CNPq, Grant no. 520196/2006-6 to M.M.C.M.) provided funds for field work and CAPES (Ministry of Education) provided a post-graduate fellowship to M.M.C.M. This work was carried out under scientific permits awarded by the Brazilian Antarctic Programme manager and Environment Ministry representatives on behalf of SCAR. All procedures were performed in compliance with current international protocols established by SCAR and CCAMLR.</t>
  </si>
  <si>
    <t>0177-5103</t>
  </si>
  <si>
    <t>1616-1580</t>
  </si>
  <si>
    <t>DIS AQUAT ORGAN</t>
  </si>
  <si>
    <t>Dis. Aquat. Org.</t>
  </si>
  <si>
    <t>10.3354/dao03548</t>
  </si>
  <si>
    <t>Fisheries; Veterinary Sciences</t>
  </si>
  <si>
    <t>QB6AL</t>
  </si>
  <si>
    <t>WOS:000614220600017</t>
  </si>
  <si>
    <t>Wadhwa, M; McCoy, TJ; Schrader, DL</t>
  </si>
  <si>
    <t>Jeanloz, R; Freeman, KH</t>
  </si>
  <si>
    <t>Wadhwa, Meenakshi; McCoy, Timothy J.; Schrader, Devin L.</t>
  </si>
  <si>
    <t>Advances in Cosmochemistry Enabled by Antarctic Meteorites</t>
  </si>
  <si>
    <t>ANNUAL REVIEW OF EARTH AND PLANETARY SCIENCES, VOL 48, 2020</t>
  </si>
  <si>
    <t>Annual Review of Earth and Planetary Sciences</t>
  </si>
  <si>
    <t>Review; Book Chapter</t>
  </si>
  <si>
    <t>Antarctic meteorites; martian meteorites; lunar meteorites; chondrites; Solar System origin; Solar System evolution</t>
  </si>
  <si>
    <t>PROGRESSIVE AQUEOUS ALTERATION; EARLY SOLAR-SYSTEM; FE-NI METAL; OXYGEN-ISOTOPE; ORGANIC-MATTER; ALLAN-HILLS; CARBONACEOUS CHONDRITES; PRIMITIVE METEORITES; CHONDRULE FORMATION; LUNAR METEORITES</t>
  </si>
  <si>
    <t>At present, meteorites collected in Antarctica dominate the total number of the world's known meteorites. We focus here on the scientific advances in cosmochemistry and planetary science that have been enabled by access to, and investigations of, these Antarctic meteorites. A meteorite recovered during one of the earliest field seasons of systematic searches, Elephant Moraine (EET) A79001, was identified as having originated on Mars based on the composition of gases released from shock melt pockets in this rock. Subsequently, the first lunar meteorite, Allan Hills (ALH) 81005, was also recovered from the Antarctic. Since then, many more meteorites belonging to these two classes of planetary meteorites, as well as other previously rare or unknown classes of meteorites (particularly primitive chondrites and achondrites), have been recovered from Antarctica. Studies of these samples are providing unique insights into the origin and evolution of the Solar System and planetary bodies. Antarctic meteorites dominate the inventory of the world's known meteorites and provide access to new types of planetary and asteroidal materials. The first meteorites recognized to be of lunar and martian origin were collected from Antarctica and provided unique constraints on the evolution of the Moon and Mars. Previously rare or unknown classes of meteorites have been recovered from Antarctica and provide new insights into the origin and evolution of the Solar System.</t>
  </si>
  <si>
    <t>[Wadhwa, Meenakshi; Schrader, Devin L.] Arizona State Univ, Sch Earth &amp; Space Explorat, Tempe, AZ 85287 USA; [McCoy, Timothy J.] Smithsonian Inst, Natl Museum Nat Hist, Dept Mineral Sci, Washington, DC 20560 USA</t>
  </si>
  <si>
    <t>Arizona State University; Arizona State University-Tempe; Smithsonian Institution; Smithsonian National Museum of Natural History</t>
  </si>
  <si>
    <t>Wadhwa, M (corresponding author), Arizona State Univ, Sch Earth &amp; Space Explorat, Tempe, AZ 85287 USA.</t>
  </si>
  <si>
    <t>wadhwa@asu.edu</t>
  </si>
  <si>
    <t>Schrader, Devin L/H-6293-2012</t>
  </si>
  <si>
    <t>McCoy, Timothy/0000-0002-4573-3553; Schrader, Devin/0000-0001-5282-232X</t>
  </si>
  <si>
    <t>NASA [803628, NNX15AH41G] Funding Source: Federal RePORTER; NASA [NNX15AH41G] Funding Source: Medline</t>
  </si>
  <si>
    <t>NASA(National Aeronautics &amp; Space Administration (NASA)); NASA(National Aeronautics &amp; Space Administration (NASA))</t>
  </si>
  <si>
    <t>ANNUAL REVIEWS</t>
  </si>
  <si>
    <t>PALO ALTO</t>
  </si>
  <si>
    <t>4139 EL CAMINO WAY, PO BOX 10139, PALO ALTO, CA 94303-0897 USA</t>
  </si>
  <si>
    <t>0084-6597</t>
  </si>
  <si>
    <t>1545-4495</t>
  </si>
  <si>
    <t>978-0-8243-2048-5</t>
  </si>
  <si>
    <t>ANNU REV EARTH PL SC</t>
  </si>
  <si>
    <t>Annu. Rev. Earth Planet. Sci.</t>
  </si>
  <si>
    <t>10.1146/annurev-earth-082719-055815</t>
  </si>
  <si>
    <t>Book Citation Index – Science (BKCI-S); Science Citation Index Expanded (SCI-EXPANDED)</t>
  </si>
  <si>
    <t>BQ7AA</t>
  </si>
  <si>
    <t>WOS:000613951000011</t>
  </si>
  <si>
    <t>Lowery, CM; Bown, PR; Fraass, AJ; Hull, PM</t>
  </si>
  <si>
    <t>Lowery, Christopher M.; Bown, Paul R.; Fraass, Andrew J.; Hull, Pincelli M.</t>
  </si>
  <si>
    <t>Ecological Response of Plankton to Environmental Change: Thresholds for Extinction</t>
  </si>
  <si>
    <t>plankton; Triassic-Jurassic boundary; oceanic anoxic events; Cretaceous-Paleogene boundary; Paleocene-Eocene Thermal Maximum; Eocene-Oligocene boundary</t>
  </si>
  <si>
    <t>EOCENE THERMAL MAXIMUM; OCEANIC ANOXIC EVENTS; CRETACEOUS-TERTIARY BOUNDARY; CENOMANIAN-TURONIAN BOUNDARY; CALCAREOUS NANNOPLANKTON; MASS EXTINCTION; CARBON RELEASE; NORTH-ATLANTIC; FORAMINIFERAL ASSEMBLAGE; ANTARCTIC GLACIATION</t>
  </si>
  <si>
    <t>Severe climatic and environmental changes are far more prevalent in Earth history than major extinction events, and the relationship between environmental change and extinction severity has important implications for the outcome of the ongoing anthropogenic extinction event. The response of mineralized marine plankton to environmental change offers an interesting contrast to the overall record of marine biota, which is dominated by benthic invertebrates. Here, we summarize changes in the species diversity of planktic foraminifera and calcareous nannoplankton over the Mesozoic-Cenozoic and that of radiolarians and diatoms over the Cenozoic. We find that, aside from the Triassic-Jurassic and Cretaceous-Paleogene mass extinction events, extinction in the plankton is decoupled from that in the benthos. Extinction in the plankton appears to be driven primarily by major climatic shifts affecting water column stratification, temperature, and, perhaps, chemistry. Changes that strongly affect the benthos, such as acidification and anoxia, have little effect on the plankton or are associated with radiation. Fossilizing marine plankton provide some of the most highly temporally and taxonomically resolved records of biodiversity since the Mesozoic. The record of extinction and origination in the plankton differs from the overall marine biodiversity record in revealing ways. Changes to water column stratification and global circulation are the main drivers of plankton diversity. Anoxia, acidification, and eutrophication (which strongly influence total marine fossil diversity) are less important in the plankton.</t>
  </si>
  <si>
    <t>[Lowery, Christopher M.] Univ Texas Austin, Univ Texas Inst Geophys, Austin, TX 78758 USA; [Bown, Paul R.] UCL, Dept Earth Sci, London WC1E 6BT, England; [Fraass, Andrew J.] Univ Bristol, Sch Earth Sci, Bristol BS8 1RJ, Avon, England; [Hull, Pincelli M.] Yale Univ, Dept Geol &amp; Geophys, POB 6666, New Haven, CT 06520 USA</t>
  </si>
  <si>
    <t>University of Texas System; University of Texas Austin; University of London; University College London; University of Bristol; Yale University</t>
  </si>
  <si>
    <t>Lowery, CM (corresponding author), Univ Texas Austin, Univ Texas Inst Geophys, Austin, TX 78758 USA.</t>
  </si>
  <si>
    <t>cmlowery@utexas.edu</t>
  </si>
  <si>
    <t>Bown, Paul/C-5235-2011</t>
  </si>
  <si>
    <t>Bown, Paul/0000-0001-6777-4463; Fraass, Andrew/0000-0002-2007-3616</t>
  </si>
  <si>
    <t>NERC [NE/G004986/1, NE/H017291/1] Funding Source: UKRI</t>
  </si>
  <si>
    <t>10.1146/annurev-earth-081619-052818</t>
  </si>
  <si>
    <t>WOS:000613951000017</t>
  </si>
  <si>
    <t>Robinson, KP; Haskins, GN; Eisfeld-Pierantonio, SM; Sidiropoulos, T; Bamford, CCG</t>
  </si>
  <si>
    <t>Robinson, Kevin P.; Haskins, Gary N.; Eisfeld-Pierantonio, Sonja M.; Sidiropoulos, Theofilos; Bamford, Connor C. G.</t>
  </si>
  <si>
    <t>Presenting vertebral deformities in bottlenose dolphin Tursiops truncatus calves from a protected population in northeast Scotland</t>
  </si>
  <si>
    <t>Vertebral column deformity; Scoliosis; Kyphosis; Lordosis; Bottlenose dolphin; Tursiops truncatus</t>
  </si>
  <si>
    <t>VIOLENT INTERACTIONS; COLUMN; AGGRESSION</t>
  </si>
  <si>
    <t>Photographs collected during a 23 yr photo-identification study in the Moray Firth were examined to assess the prevalence, type and severity of vertebral deformations present in bottlenose dolphin Tursiops truncatus calves. Fifteen cases of presenting spinal anomalies (scoliosis, kyphosis, lordosis and combinations thereof) of variable severity were identified in 7.4% of all known calves from the population. Thirteen of the 15 anomalies were either manifest from birth or acquired from an early age, as ascertained from longitudinal sightings histories of their mothers. Most afflicted calves died during early development or shortly after maternal separation. However, 3 survived to adulthood and persist in the population to date, in addition to 2 dependent infants whose fate remains to be established. At 15+ yr of age, the oldest surviving individual was remarkably one of the most severe cases identified, highlighting the ability of these delphinids for adaptation to such gross structural deformities. The aetiology of the observed conditions could be attributed to a range of causative factors that may have implications for the well-being and health of this North Sea coastal dolphin population, a topic which merits further investigation.</t>
  </si>
  <si>
    <t>[Robinson, Kevin P.; Haskins, Gary N.; Eisfeld-Pierantonio, Sonja M.; Sidiropoulos, Theofilos; Bamford, Connor C. G.] Cetacean Res &amp; Rescue Unit CRRU, POB 11307, Banff AB45 3WB, Scotland; [Eisfeld-Pierantonio, Sonja M.] Whale &amp; Dolphin Conservat WDC, Brookfield House, Chippenham SN15 1LJ, England; [Bamford, Connor C. G.] Brilish Antarctic Survey, Madingley Rd, Cambridge CB3 0ET, England; [Bamford, Connor C. G.] Univ Southampton, Univ Rd, Southampton SO17 1BJ, Hants, England</t>
  </si>
  <si>
    <t>University of Southampton</t>
  </si>
  <si>
    <t>Robinson, KP (corresponding author), Cetacean Res &amp; Rescue Unit CRRU, POB 11307, Banff AB45 3WB, Scotland.</t>
  </si>
  <si>
    <t>kev.robinson@crru.org.uk</t>
  </si>
  <si>
    <t>Robinson, Kevin/H-3866-2019</t>
  </si>
  <si>
    <t>Bamford, Connor/0000-0002-5732-7237</t>
  </si>
  <si>
    <t>Born Free Foundation; NERC [bas0100035] Funding Source: UKRI</t>
  </si>
  <si>
    <t>Born Free Foundation; NERC(UK Research &amp; Innovation (UKRI)Natural Environment Research Council (NERC))</t>
  </si>
  <si>
    <t>All field work was carried out under licence from Scottish Natural Heritage. Thanks go to the numerous colleagues, interns, volunteers, supporters and funders who have made this long-term study possible. We thank the Born Free Foundation (formerly Care for the Wild International) for their long-standing support and our coworkers and collaborators from the University of Aberdeen, Scottish Marine Animal Strandings Scheme, University of St. Andrew's and Whale &amp; Dolphin Conservation. Thanks also to the 3 anonymous referees for their valuable comments and input.</t>
  </si>
  <si>
    <t>10.3354/dao03498</t>
  </si>
  <si>
    <t>QB5ZX</t>
  </si>
  <si>
    <t>WOS:000614219200011</t>
  </si>
  <si>
    <t>Spensberger, C; Reeder, MJ; Spengler, T; Patterson, M</t>
  </si>
  <si>
    <t>Spensberger, Clemens; Reeder, Michael J.; Spengler, Thomas; Patterson, Matthew</t>
  </si>
  <si>
    <t>The Connection between the Southern Annular Mode and a Feature-Based Perspective on Southern Hemisphere Midlatitude Winter Variability</t>
  </si>
  <si>
    <t>TRACKING CYCLONE CENTERS; NUMERICAL SCHEME; DIGITAL DATA; PART I; OSCILLATION; CIRCULATION; CLIMATE; ATMOSPHERE; PATTERN; ICE</t>
  </si>
  <si>
    <t>This article provides a reconciling perspective on the two main, but contradictory, interpretations of the southern annular mode (SAM). SAM was originally thought to characterize meridional shifts in the storm track across the entire hemisphere. This perspective was later questioned, and SAM was interpreted as a statistical artifact depending on the choice of base region for the principal component analysis. Neither perspective, however, fully describes SAM. We show that SAM cannot be interpreted in terms of midlatitude variability, as SAM merely modulates the most poleward part of the cyclone tracks and only marginally influences the distribution of other weather-related features of the storm track (e.g., position of jet axes and Rossby wave breaking). Instead, SAM emerges as the leading pattern of geopotential variability due to strong correlations of sea level pressure around the Antarctic continent. As SAM correlates strongly both with the pan-Antarctic mean temperature and the meridional heat flux through 658S, we hypothesize that SAM can be interpreted as a measure of the degree of the (de)coupling between Antarctica and the southern midlatitudes. As an alternative way of characterizing southern midlatitude variability, we seek domains in which the leading EOF patterns of both the geopotential and storm-track features yield a dynamically consistent picture. This approach is successful for the South Pacific. Here the leading variability patterns are closely related to the Pacific-South America pattern and point toward an NAO-like variability.</t>
  </si>
  <si>
    <t>[Spensberger, Clemens; Reeder, Michael J.; Spengler, Thomas] Univ Bergen, Geophys Inst, Bergen, Norway; [Spensberger, Clemens; Reeder, Michael J.; Spengler, Thomas] Bjerknes Ctr Climate Res, Bergen, Norway; [Spensberger, Clemens; Reeder, Michael J.] Monash Univ, ARC Ctr Climate Extremes, Melbourne, Vic, Australia; [Patterson, Matthew] Univ Oxford, Dept Phys, Oxford, England</t>
  </si>
  <si>
    <t>University of Bergen; Bjerknes Centre for Climate Research; Melbourne Genomics Health Alliance; Monash University; University of Oxford</t>
  </si>
  <si>
    <t>Spensberger, C (corresponding author), Univ Bergen, Geophys Inst, Bergen, Norway.;Spensberger, C (corresponding author), Bjerknes Ctr Climate Res, Bergen, Norway.;Spensberger, C (corresponding author), Monash Univ, ARC Ctr Climate Extremes, Melbourne, Vic, Australia.</t>
  </si>
  <si>
    <t>clemens.spensberger@uib.no</t>
  </si>
  <si>
    <t>Reeder, Michael J/G-2304-2011</t>
  </si>
  <si>
    <t>Reeder, Michael/0000-0002-4583-5875; Spensberger, Clemens/0000-0002-9649-6957</t>
  </si>
  <si>
    <t>10.1175/JCLI-D-19-0224.1</t>
  </si>
  <si>
    <t>QC8MU</t>
  </si>
  <si>
    <t>WOS:000615086300001</t>
  </si>
  <si>
    <t>Robinson, C; Adams, BJ</t>
  </si>
  <si>
    <t>Robinson, Colin; Adams, B. J.</t>
  </si>
  <si>
    <t>METABOLIC RESPONSE OF ANTARCTIC NEMATODES TO CHANGING CLIMATE AND LENGTHENING SUMMERS</t>
  </si>
  <si>
    <t>JOURNAL OF NEMATOLOGY</t>
  </si>
  <si>
    <t>[Robinson, Colin] 368 Wymount Terrace, Provo, UT 84604 USA; [Adams, B. J.] Brigham Young Univ, Dept Biol, Provo, UT 84602 USA</t>
  </si>
  <si>
    <t>Brigham Young University</t>
  </si>
  <si>
    <t>SOC NEMATOLOGISTS</t>
  </si>
  <si>
    <t>MARCELINE</t>
  </si>
  <si>
    <t>PO BOX 311, MARCELINE, MO 64658 USA</t>
  </si>
  <si>
    <t>0022-300X</t>
  </si>
  <si>
    <t>J NEMATOL</t>
  </si>
  <si>
    <t>J. Nematol.</t>
  </si>
  <si>
    <t>S-32</t>
  </si>
  <si>
    <t>QH0AP</t>
  </si>
  <si>
    <t>WOS:000617941100033</t>
  </si>
  <si>
    <t>Sáez, S; Jaramillo, R; Vargas-Chacoff, L</t>
  </si>
  <si>
    <t>Saez, Sylvia; Jaramillo, Roberto; Vargas-Chacoff, Luis</t>
  </si>
  <si>
    <t>Gross morphology of the cephalic sensory canal pores in Patagonian toothfish Dissostichus eleginoides Smitt, 1898 from southern Chile (Perciformes: Nototheniidae)</t>
  </si>
  <si>
    <t>LATIN AMERICAN JOURNAL OF AQUATIC RESEARCH</t>
  </si>
  <si>
    <t>Dissostichus eleginoides; Patagonian toothfish; Nototheniidae; head pores; lateral line; mechanosensory system; southern Chile</t>
  </si>
  <si>
    <t>LATERAL-LINE; ANTARCTIC FISH; ORGAN ANATOMY; HISTOLOGY; SYSTEM; BRAIN</t>
  </si>
  <si>
    <t>This study describes the cephalic sensory canal pores of the Patagonian toothfish's juvenile and adult specimens (Dissostichus eleginoides) from southern Chile. Specimens exhibited four supraorbital, eight infraorbital, and five mandibular pores, followed by six preoperculars, one coronal pore, one supratemporal pore, and four temporal pores. Juveniles exhibited circular pores in the mandibular, infraorbital, and preopercular region. The first two supraorbital pores are circular, the third is rectangular, and the fourth triangular. The coronal pore is circular with a bifurcation; the supratemporal pore is rectangular. In adults, the first mandibular canal pore is circular, and the last four are elongated. The preopercular canal pores are elongated. The two first supraorbital canal pores are circular, unlike the third and fourth, which are rectangular. The coronal pore is rectangular without bifurcation, and the supratemporal pore has a T-shape. The jaw of juveniles does not present all mandibular canal pores; in the infraorbital region, the first five pores extend as a thin canaliculus, while the adjacent pores appear as longer canaliculi in adults. The differences could be related to changes in spatial distribution during larval, juvenile, and adult stages. Adult cephalic sensory canal pores may have an important role in detecting vibratory waves allowing them to capture their prey and perceive potential predators. Our results provide information regarding the cephalic sensory canal pores of the Patagonian toothfish that may stimulate future studies of this species' mechanosensory system.</t>
  </si>
  <si>
    <t>[Saez, Sylvia; Jaramillo, Roberto; Vargas-Chacoff, Luis] Univ Austral Chile, Inst Ciencias Marinas &amp; Limnol, Valdivia, Chile; [Vargas-Chacoff, Luis] Univ Austral Chile, Ctr FONDAP Invest Altas Latitudes IDEAL, Valdivia, Chile</t>
  </si>
  <si>
    <t>Universidad Austral de Chile; Universidad Austral de Chile</t>
  </si>
  <si>
    <t>Vargas-Chacoff, L (corresponding author), Univ Austral Chile, Inst Ciencias Marinas &amp; Limnol, Valdivia, Chile.;Vargas-Chacoff, L (corresponding author), Univ Austral Chile, Ctr FONDAP Invest Altas Latitudes IDEAL, Valdivia, Chile.</t>
  </si>
  <si>
    <t>luis.vargas@uach.cl</t>
  </si>
  <si>
    <t>Vargas-Chacoff, Luis LVCh/A-5855-2012</t>
  </si>
  <si>
    <t>Universidad Austral de Chile [S-25-2017 DID]; FONDAP-IDEAL [15150003]</t>
  </si>
  <si>
    <t>Universidad Austral de Chile; FONDAP-IDEAL</t>
  </si>
  <si>
    <t>This work was supported by the S-25-2017 DID project of the Universidad Austral de Chile and FONDAP-IDEAL 15150003.</t>
  </si>
  <si>
    <t>UNIV CATOLICA DE VALPARAISO</t>
  </si>
  <si>
    <t>VALPARAISO</t>
  </si>
  <si>
    <t>AV BRASIL 2950, PO BOX 4059, VALPARAISO, CHILE</t>
  </si>
  <si>
    <t>0718-560X</t>
  </si>
  <si>
    <t>0717-7178</t>
  </si>
  <si>
    <t>LAT AM J AQUAT RES</t>
  </si>
  <si>
    <t>Lat. Am. J. Aquat. Res.</t>
  </si>
  <si>
    <t>10.3856/vol48-issue5-fulltext-2550</t>
  </si>
  <si>
    <t>PZ9UN</t>
  </si>
  <si>
    <t>WOS:000613093300012</t>
  </si>
  <si>
    <t>Espejo, W; Braz, BF; Santelli, R; Padilha, JD; Dorneles, P; Malm, O; Celis, CA; Celis, JE</t>
  </si>
  <si>
    <t>Espejo, Winfred; Braz, Bernardo Ferreira; Santelli, Ricardo; Padilha, Janeide de A.; Dorneles, Paulo; Malm, Olaf; Celis, Christopher A.; Celis, Jose E.</t>
  </si>
  <si>
    <t>Trace metal concentrations and body condition in adult Adelie penguins (Pygoscelis adeliae) from the western Antarctic Peninsula</t>
  </si>
  <si>
    <t>Pygoscelis adeliae; bioaccumulation; heavy metals; body condition; penguins; Antarctica</t>
  </si>
  <si>
    <t>DIFFERENT LOCATIONS; COMMON EIDERS; HEAVY-METALS; ELEMENTS; FEATHERS; CONTAMINATION; PATTERNS; SURVIVAL; MERCURY; STRESS</t>
  </si>
  <si>
    <t>Adelie penguins (Pygoscelis adeliae) are seabirds that live exclusively in Antarctica, one of the planet's last pristine areas. However, this remote region is experiencing a continuing expansion of human activities that may affect Antarctic fauna. Trace metals constitute a menace to seabirds because they can adversely affect their health. There is a lack of studies relating to metals' levels in feathers with morphological parameters of seabirds. Trace metal levels were measured in Adelie penguin feathers and their body condition through the relative condition factor (ReCF) in adult individuals from two South Shetland Islands locations and two from Graham Land. Consequently, we determined the levels of some metals in feathers to see any relationship with morphological parameters linked to the bird's health. Our results showed significant differences in metals among locations studied and a significant relationship between ReCF with Cu and Zn in one of the South Shetland Islands. Also, penguins exhibited a significantly lower weight. We found a positive correlation between non-essential with essential metals, indicating that Cu acts as a detoxifying agent for Cr, Cd, and Pb. In contrast, Se could be for V and Pb. Although the relationship between most metals with ReCF was not significant, some site-specific factors may be influencing it, whereas metals may be affecting the organisms at low biological levels. Molecular, biochemical, and genetic studies are required to elucidate this issue.Y</t>
  </si>
  <si>
    <t>[Espejo, Winfred; Celis, Jose E.] Univ Concepcion, Fac Ciencias Vet, Dept Ciencia Anim, Chillan, Chile; [Braz, Bernardo Ferreira; Santelli, Ricardo] Univ Fed Rio de Janeiro, Dept Quim Analit, Rio De Janeiro, Brazil; [Padilha, Janeide de A.; Dorneles, Paulo; Malm, Olaf] Univ Fed Rio de Janeiro, Inst Biofis, Radioisotopos Lab, Rio De Janeiro, Brazil; [Celis, Christopher A.] Comis Chilena Energia Nucl, Santiago, Chile</t>
  </si>
  <si>
    <t>Universidad de Concepcion; Universidade Federal do Rio de Janeiro; Universidade Federal do Rio de Janeiro</t>
  </si>
  <si>
    <t>Celis, JE (corresponding author), Univ Concepcion, Fac Ciencias Vet, Dept Ciencia Anim, Chillan, Chile.</t>
  </si>
  <si>
    <t>jcelis@udec.cl</t>
  </si>
  <si>
    <t>Ferreira Braz, Bernardo/JLH-9767-2023; Braz, bernardo Ferreira/AAZ-3101-2020; de Assis Padilha, Janeide/S-1115-2016; CELIS, JOSE/AAP-6048-2021</t>
  </si>
  <si>
    <t>Braz, bernardo Ferreira/0000-0001-8280-2047; de Assis Padilha, Janeide/0000-0002-1901-5822; Malm, Olaf/0000-0002-4116-7160; CELIS, JOSE E./0000-0002-2458-1239; Espejo, Winfred/0000-0002-3753-2006</t>
  </si>
  <si>
    <t>Instituto Antartico Chileno (INACH) [RG01-18]; Project Postdoc FONDECYT [3200302]</t>
  </si>
  <si>
    <t>Instituto Antartico Chileno (INACH); Project Postdoc FONDECYT</t>
  </si>
  <si>
    <t>This work was supported by the Instituto Antartico Chileno (INACH) through project RG01-18 (J. Celis), and by the Project Postdoc FONDECYT 3200302 (W. Espejo). Many thanks are given to Dr. Daniel Gonzalez Acuna for providing some useful data for assessing the body condition of the Adelie penguins.</t>
  </si>
  <si>
    <t>10.3856/vol48-issue5-fulltext-2455</t>
  </si>
  <si>
    <t>WOS:000613093300016</t>
  </si>
  <si>
    <t>Kochtitzky, W; Winski, D; McConnell, E; Kreutz, K; Campbell, S; Enderlin, EM; Copland, L; Williamson, S; Main, B; Jiskoot, H</t>
  </si>
  <si>
    <t>Kochtitzky, William; Winski, Dominic; McConnell, Erin; Kreutz, Karl; Campbell, Seth; Enderlin, Ellyn M.; Copland, Luke; Williamson, Scott; Main, Brittany; Jiskoot, Hester</t>
  </si>
  <si>
    <t>Climate and surging of Donjek Glacier, Yukon, Canada</t>
  </si>
  <si>
    <t>ARCTIC ANTARCTIC AND ALPINE RESEARCH</t>
  </si>
  <si>
    <t>Glacier surge; climate; ice cores; Donjek Glacier; Yukon</t>
  </si>
  <si>
    <t>ECLIPSE ICE CORE; VARIEGATED GLACIER; SNOW ACCUMULATION; MASS-BALANCE; QUIESCENT-PHASE; SURGES; ALASKA; SVALBARD; DYNAMICS; TERRITORY</t>
  </si>
  <si>
    <t>Links between climate and glacier surges are poorly understood but are required to enable prediction of surges and mitigation of associated hazards. Here, we investigate the role of snow accumulation, rain, and temperature on surge periodicity, area changes, and timing of surge initiation since the 1930s at Donjek Glacier, Yukon, Canada. Snow accumulation measured in three ice cores collected at Eclipse Icefield indicates that a cumulative accumulation of 15.5 +/- 1.46 or 16.6 +/- 2.0 m w.e. occurred in the ten to twelve years between each of its last eight surges, depending on ice motion spatiotemporal offset corrections. Although we find consistent snow accumulation between surges, the transient snow line has risen 10.3 m decade(-1) vertically since the 1950s, and Burwash Landing weather station records indicate a 0.5 degrees C decade(-1) increase in mean annual air temperature since the 1960s. Changes in surface mass balance are accompanied by a consistent surge interval but decreasing surge extent. The three recent surge events initiated in years with the rainiest summers on record. These findings highlight a complex interplay between external (i.e., climate) and internal glacier processes that control surging at Donjek Glacier, with climate having a more direct influence on surge extent than on recurrence interval.</t>
  </si>
  <si>
    <t>[Kochtitzky, William; Winski, Dominic; McConnell, Erin; Kreutz, Karl; Campbell, Seth; Enderlin, Ellyn M.] Univ Maine, Sch Earth &amp; Climate Sci, Orono, ME USA; [Kochtitzky, William; Winski, Dominic; McConnell, Erin; Kreutz, Karl; Campbell, Seth; Enderlin, Ellyn M.] Univ Maine, Climate Change Inst, Orono, ME USA; [Kochtitzky, William; Copland, Luke; Main, Brittany] Univ Ottawa, Dept Geog Environm &amp; Geomat, 60 Univ SMD043, Ottawa, ON K1N 6N5, Canada; [Enderlin, Ellyn M.] Boise State Univ, Dept Geosci, Boise, ID USA; [Williamson, Scott] Univ Northern British Columbia, Prince George, BC, Canada; [Jiskoot, Hester] Univ Lethbridge, Dept Geog &amp; Environm, Lethbridge, AB, Canada</t>
  </si>
  <si>
    <t>University of Maine System; University of Maine Orono; University of Maine System; University of Maine Orono; University of Ottawa; Idaho; Boise State University; University of Northern British Columbia; University of Lethbridge</t>
  </si>
  <si>
    <t>Kochtitzky, W (corresponding author), Univ Ottawa, Dept Geog Environm &amp; Geomat, 60 Univ SMD043, Ottawa, ON K1N 6N5, Canada.</t>
  </si>
  <si>
    <t>will.kochtitzky@uottawa.ca</t>
  </si>
  <si>
    <t>Will, Kochtitzky/AAW-8532-2021</t>
  </si>
  <si>
    <t>Kochtitzky, William/0000-0001-9487-1509; Williamson, Scott/0000-0002-5487-8762; Enderlin, Ellyn/0000-0002-8266-7719; Jiskoot, Hester/0000-0003-0849-5223; Campbell, Seth/0000-0002-9620-8329; Copland, Luke/0000-0001-5374-2145; Winski, Dominic/0000-0002-9868-7909</t>
  </si>
  <si>
    <t>National Science Foundation Graduate Research Fellowship [DGE-1144205]; Natural Sciences and Engineering Research Council of Canada Vanier Graduate Scholarship [201810CGV-416410-66257]; Dan and Betty Churchill; Geophysical Survey Systems, Inc.; Natural Sciences and Engineering Research Council of Canada; Polar Continental Shelf Program; NSF [AGS-1502783]; Polar Geospatial Center under NSF-OPP awards [1043681, 1559691, 1542736]; University of Ottawa</t>
  </si>
  <si>
    <t>National Science Foundation Graduate Research Fellowship(National Science Foundation (NSF)); Natural Sciences and Engineering Research Council of Canada Vanier Graduate Scholarship(Natural Sciences and Engineering Research Council of Canada (NSERC)); Dan and Betty Churchill; Geophysical Survey Systems, Inc.; Natural Sciences and Engineering Research Council of Canada(Natural Sciences and Engineering Research Council of Canada (NSERC)CGIAR); Polar Continental Shelf Program; NSF(National Science Foundation (NSF)); Polar Geospatial Center under NSF-OPP awards; University of Ottawa</t>
  </si>
  <si>
    <t>WK was supported by the National Science Foundation Graduate Research Fellowship under Grant No. DGE-1144205 and the Natural Sciences and Engineering Research Council of Canada Vanier Graduate Scholarship (201810CGV-416410-66257). WK thanks Dan and Betty Churchill for funding the 2017 field season and Geophysical Survey Systems, Inc., for funding the 2018 field season. LC thanks the Natural Sciences and Engineering Research Council of Canada, University of Ottawa, and Polar Continental Shelf Program for funding and field logistics. KK thanks the NSF for funding St. Elias research, NSF AGS-1502783. WorldView DEMs were provided by the Polar Geospatial Center under NSF-OPP awards 1043681, 1559691, and 1542736.</t>
  </si>
  <si>
    <t>1523-0430</t>
  </si>
  <si>
    <t>1938-4246</t>
  </si>
  <si>
    <t>ARCT ANTARCT ALP RES</t>
  </si>
  <si>
    <t>Arct. Antarct. Alp. Res.</t>
  </si>
  <si>
    <t>10.1080/15230430.2020.1744397</t>
  </si>
  <si>
    <t>Environmental Sciences; Geography, Physical</t>
  </si>
  <si>
    <t>QB9BA</t>
  </si>
  <si>
    <t>WOS:000614429500001</t>
  </si>
  <si>
    <t>Lyons, R; Lay, J; Ivey, J</t>
  </si>
  <si>
    <t>Lyons, Rebecca; Lay, Jonah; Ivey, Jack</t>
  </si>
  <si>
    <t>4-Nonylphenol in Sierra Nevada glaciers, California, USA</t>
  </si>
  <si>
    <t>Persistent organic pollutants; glacier reservoirs; 4-nonylphenol; Sierra Nevada mountains</t>
  </si>
  <si>
    <t>PERSISTENT ORGANIC POLLUTANTS; FIRN-DENSIFICATION; ENVIRONMENTAL FATE; MELTING GLACIERS; SNOW; ICE; DEPOSITION; LEGACY; BIODEGRADATION; ACCUMULATION</t>
  </si>
  <si>
    <t>Persistent organic pollutants are stored in environmental reservoirs globally. Tracking the mass and movement of these pollutants is critical for assessing environmental health for human and wildlife populations. Recently, glaciers have been identified as secondary reservoirs for persistent organic pollutants. Downstream lakes and rivers have increased risk of exposure with climate change and loss of glacier mass. Two glaciers, Palisade and Middle Palisade Glaciers, in the Sierra Nevada Mountains, California, United States, were modeled for total mass of the persistent organic pollutant, 4-nonylphenol (4NP). The model used LiDAR measurements of surface snow and geographic information systems (GIS) to extrapolate vertical and horizontal 4NP gradients. Concentrations of 4NP in surface snow were sampled in locations based on a range of topographical shielding indices and analyzed via gas chromatography-mass spectrometry. The Middle Palisade Glacier, the smaller and more shielded glacier, had a total mass of 1,677 +/- 560 kg 4NP/km(2). The Palisade Glacier, which is larger and more exposed to atmospheric deposition, held an estimated 3,456 +/- 843 kg 4NP/km(2). Meltwater concentrations for the Middle Palisade and Palisade Glaciers were 1.3 +/- 0.05 mu g/L and 6.1 +/- 1.3 mu g/L, respectively. These values demonstrate that both glaciers store a significant amount of 4NP and will act as secondary sources of 4NP for downstream water bodies.</t>
  </si>
  <si>
    <t>[Lyons, Rebecca; Ivey, Jack] Univ Redlands, Chem Dept, Redlands, CA 92373 USA; [Lay, Jonah] Univ Redlands, Dept Geog Informat Sci, Redlands, CA 92373 USA</t>
  </si>
  <si>
    <t>University Redlands; University Redlands</t>
  </si>
  <si>
    <t>Lyons, R (corresponding author), 1200 E Colton Ave, Redlands, CA 92373 USA.</t>
  </si>
  <si>
    <t>rebecca_lyons@redlands.edu</t>
  </si>
  <si>
    <t>Lyons, Rebecca/0000-0002-0485-1537</t>
  </si>
  <si>
    <t>Center for Spatial Studies at the University of Redlands</t>
  </si>
  <si>
    <t>This study was funded in part by a Spatial Inquiries Grant from the Center for Spatial Studies at the University of Redlands.</t>
  </si>
  <si>
    <t>10.1080/15230430.2020.1747758</t>
  </si>
  <si>
    <t>QB9AN</t>
  </si>
  <si>
    <t>WOS:000614428200001</t>
  </si>
  <si>
    <t>Mytrokhyn, O; Bakhmuto, V</t>
  </si>
  <si>
    <t>Mytrokhyn, O.; Bakhmuto, V</t>
  </si>
  <si>
    <t>GEOLOGY AND PETROGRAPHY OF THE VEDEL ISLANDS (WILHELM ARCHIPELAGO, WEST ANTARCTICA)</t>
  </si>
  <si>
    <t>VISNYK OF TARAS SHEVCHENKO NATIONAL UNIVERSITY OF KYIV-GEOLOGY</t>
  </si>
  <si>
    <t>Ukrainian</t>
  </si>
  <si>
    <t>Antarctic Peninsula; Graham Coast; Wilhelm archipelago; geology; petrography</t>
  </si>
  <si>
    <t>The Vedel Islands are a small island group that is part of the Wilhelm archipelago in the West Antarctica. They are located near the Graham Coast of the Antarctic Peninsula at a distance of 12 km from Akademik Vernadsky Ukrainian Antarctic Station. Until recently, the Vedel Islands were a white spot on all existing geological maps. In 2019, during the seasonal work of the 24th Ukrainian Antarctic expedition, the authors first carried out field geological researches on the Vedel Islands. The main goal of the geological survey was reconnaissance and large-scale geological mapping. The general ideas about the geological structure of the study area were developed by further processing of the collected materials. The preliminary data about the mode of occurrence, the geological ages, the petrographic peculiarities and the ore potential of the local rocks were also obtained. It was first established that multiple-aged intrusive-magmatic formations take part in the geological structure of the Vedel Islands. The intermediate compositions of the plutonic rocks namely the diorites and quartz diorites are the most common among them. The gabbroids and the tonalites are less common. The least common ones are hypabyssal and subvolcanic dike rocks namely microdiorites and diabases. The plutonic rocks were formed in at least three intrusive phases with a homodromous order of their intrusions. The most ancient among them are gabbroids. The Early Cretaceous age for their formation is assumed by analogy with the petrographically similar rocks of the Tuxen-Rasmussen layered gabbroid intrusion (TRGI). The tonilites are the youngest plutonic rocks on the Vedel Islands. It is assumed that their formation at a deep level took place in the Late Cretaceous, although their tectonic exhumation and the final erosion outcropping occurred in the Paleogene and ended in the Neogene. In the process of the exhumation, the plutonic rocks were intruded by hypabyssal dikes of microdiorites. The youngest subvolcanic diabase dykes intruded the tonalites supposedly after their complete erosion outcropping i. e. in Neogene or even Quaternary. Like TRGI and other layered gabbroid intrusions of the Wilhelm archipelago, the Vedel island gabbroids contain iron-titanium oxide-ore and copper-silicate mineralization, which requires further study. The additional researches are also needed to clarify the age, origin, petrography and mineralogy of the numerous veins of aplite-pegmatoid granite which intrude gabbroids and diorites on the Vedel Islands.</t>
  </si>
  <si>
    <t>[Mytrokhyn, O.] Taras Shevchenko Natl Univ Kyiv, Inst Geol, 90 Vasylkivska Str, UA-03022 Kiev, Ukraine; [Bakhmuto, V] Inst Geophys, NAS Ukraine, 32 Palladin Ave, UA-03680 Kiev, Ukraine; [Bakhmuto, V] Natl Antarctic Sci Ctr, Kiev, Ukraine</t>
  </si>
  <si>
    <t>Ministry of Education &amp; Science of Ukraine; Taras Shevchenko National University of Kyiv; National Academy of Sciences Ukraine; Institute of Geological Sciences, National Academy of Sciences of Ukraine; National Academy of Sciences Ukraine; Subbotin Institute of Geophysics, National Academy of Sciences of Ukraine; Ministry of Education &amp; Science of Ukraine; State Institution National Antarctic Scientific Center</t>
  </si>
  <si>
    <t>Mytrokhyn, O (corresponding author), Taras Shevchenko Natl Univ Kyiv, Inst Geol, 90 Vasylkivska Str, UA-03022 Kiev, Ukraine.</t>
  </si>
  <si>
    <t>mitrokhin.a.v@ukr.net; bakhmutovvg@gmail.com</t>
  </si>
  <si>
    <t>Mytrokhyn, Oleksandr/I-2020-2018; Volodymyr, Bakhmutov/A-8508-2019</t>
  </si>
  <si>
    <t>Mytrokhyn, Oleksandr/0000-0001-6269-0092;</t>
  </si>
  <si>
    <t>NATL TARAS SHEVCHENKO UNIV KYIV</t>
  </si>
  <si>
    <t>KYIV</t>
  </si>
  <si>
    <t>BULVAR TARASA SHEVCHENKO, 14, OFIS 43, KYIV, 01601, UKRAINE</t>
  </si>
  <si>
    <t>2079-9063</t>
  </si>
  <si>
    <t>VISNYK TARAS SHEVCHE</t>
  </si>
  <si>
    <t>Visnyk Taras Shevchenko Natl. Univ. Kyiv-Geol.</t>
  </si>
  <si>
    <t>10.17721/1728-2713.90.03</t>
  </si>
  <si>
    <t>PW7EP</t>
  </si>
  <si>
    <t>WOS:000610833900003</t>
  </si>
  <si>
    <t>Noh, HJ; Shin, SC; Park, Y; Choi, A; Baek, K; Hong, SG; Cho, YJ; Lee, H; Lee, YM</t>
  </si>
  <si>
    <t>Noh, Hyun-Ju; Shin, Seung Chul; Park, Yerin; Choi, Ahyoung; Baek, Kiwoon; Hong, Soon Gyu; Cho, Yong-Joon; Lee, Hyoungseok; Lee, Yung Mi</t>
  </si>
  <si>
    <t>Lichenicola cladoniae gen. nov., sp. nov., a member of the family Acetobacteraceae isolated from an Antarctic lichen</t>
  </si>
  <si>
    <t>INTERNATIONAL JOURNAL OF SYSTEMATIC AND EVOLUTIONARY MICROBIOLOGY</t>
  </si>
  <si>
    <t>Antarctica; Lichenicola cladoniae; new genus; polyphasic taxonomy; lichen</t>
  </si>
  <si>
    <t>ACETIC-ACID BACTERIUM; PROKARYOTIC GENOME ANNOTATION; COMMUNITIES; DIAZOTROPHICUS; DIVERSITY; PHOSPHATE; DNA</t>
  </si>
  <si>
    <t>Two Gram-stain-negative, facultative anaerobic, chemoheterotrophic, pink-coloured, rod-shaped and non-motile bacterial strains, PAMC 26568 and PAMC 26569(T), were isolated from an Antarctic lichen. Phylogenetic analysis based on 16S rRNA gene sequences revealed that strains PAMC 26568 and PAMC 26569(T) belong to the family Acetobacteraceae and the most closely related species are Gluconacetobacter takamatsuzukensis (96.1 %), Gluconacetobacter tumulisoli (95.9%) and Gluconacetobacter sacchari (95.7%). Phylogenomic and genomic relatedness analyses showed that strains PAMC 26568 and PAMC 26569(T) are clearly distinguished from other genera in the family Acetobacteraceae by average nucleotide identity values (&lt;72.8 %) and the genome-to-genome distance values (&lt;22.5%). Genomic analysis revealed that strains PAMC 26568 and PAMC 26569T do not contain genes involved in atmospheric nitrogen fixation and utilization of sole carbon compounds such as methane and methanol. Instead, strains PAMC 26568 and PAMC 26569(T) possess genes to utilize nitrate and nitrite and certain monosaccharides and disaccharides. The major fatty acids (&gt;10%) are summed feature 8 (C-18:1 omega 7c and/or C-18:1 omega 6c; 40.3-40.4 %), C-18:1 20H (22.7-23.7%) and summed feature 2 (C-14:0 30H and/or C-16:1 iso I; 12.0 % in PAMC 26568). The major respiratory quinone is Q-10. The genomic DNA G+C content of PAMC 26568 and PAMC 26569(T) is 64.6 %. Their distinct phylogenetic position and some physiological characteristics distinguish strains PAMC 26568 and PAMC 26569(T) from other genera in the family Acetobacteraceae supporting the proposal of Lichenicola gen. nov., with the type species Lichenicola cladoniae sp. nov. (type strain, PAMC 26569(T)=KCCM 43315(T)=JCM 33604(T)).</t>
  </si>
  <si>
    <t>[Noh, Hyun-Ju; Shin, Seung Chul; Park, Yerin; Hong, Soon Gyu; Lee, Hyoungseok; Lee, Yung Mi] Korea Polar Res Inst, Div Polar Life Sci, 26 Songdomirae Ro, Incheon 21990, South Korea; [Park, Yerin] Seoul Natl Univ, Sch Earth &amp; Environm Sci, Seoul 08826, South Korea; [Choi, Ahyoung; Baek, Kiwoon] Nakdonggang Natl Inst Biol Resources, Bioresources Collect &amp; Res Div, 137 Donam 2 Gil, Sangju 37242, South Korea; [Baek, Kiwoon] Inha Univ, Dept Biol Sci, Inharo 100, Incheon 22212, South Korea; [Cho, Yong-Joon] Seoul Natl Univ, Inst Basic Sci, Sch Biol Sci &amp; Res, Seoul 08826, South Korea</t>
  </si>
  <si>
    <t>Korea Polar Research Institute (KOPRI); Seoul National University (SNU); Inha University; Institute for Basic Science - Korea (IBS); Seoul National University (SNU)</t>
  </si>
  <si>
    <t>Lee, YM (corresponding author), Korea Polar Res Inst, Div Polar Life Sci, 26 Songdomirae Ro, Incheon 21990, South Korea.</t>
  </si>
  <si>
    <t>ymlee@kopri.re.kr</t>
  </si>
  <si>
    <t>Hong, Soon Gyu/0000-0002-8463-948X; Cho, Yong-Joon/0000-0003-3191-2670; Lee, Hyoungseok/0000-0002-5831-6345</t>
  </si>
  <si>
    <t>Korea Polar Research Institute [PE20170]</t>
  </si>
  <si>
    <t>This work was supported by the Korea Polar Research Institute (Grant PE20170).</t>
  </si>
  <si>
    <t>MICROBIOLOGY SOC</t>
  </si>
  <si>
    <t>14-16 MEREDITH ST, LONDON, ENGLAND</t>
  </si>
  <si>
    <t>1466-5026</t>
  </si>
  <si>
    <t>1466-5034</t>
  </si>
  <si>
    <t>INT J SYST EVOL MICR</t>
  </si>
  <si>
    <t>Int. J. Syst. Evol. Microbiol.</t>
  </si>
  <si>
    <t>10.1099/ijsem.0.004495</t>
  </si>
  <si>
    <t>PT1YB</t>
  </si>
  <si>
    <t>WOS:000608414600037</t>
  </si>
  <si>
    <t>Le Marshall, J; Norman, R; Howard, D; Rennie, S; Moore, M; Kaplon, J; Xiao, Y; Zhang, KF; Wang, C; Cate, A; Lehmann, P; Wang, XM; Steinle, P; Tingwell, C; Le, T; Rohm, W; Ren, DD</t>
  </si>
  <si>
    <t>Le Marshall, John; Norman, Robert; Howard, David; Rennie, Susan; Moore, Michael; Kaplon, Jan; Xiao, Yi; Zhang, Kefei; Wang, Carl; Cate, Ara; Lehmann, Paul; Wang, Xiaoming; Steinle, Peter; Tingwell, Chris; Le, Tan; Rohm, Witold; Ren, Diandong</t>
  </si>
  <si>
    <t>Using global navigation satellite system data for real-time moisture analysis and forecasting over the Australian region I. The system (vol 69, pg 161, 2019)</t>
  </si>
  <si>
    <t>JOURNAL OF SOUTHERN HEMISPHERE EARTH SYSTEMS SCIENCE</t>
  </si>
  <si>
    <t>VARIATIONAL DATA ASSIMILATION; GPS ZENITH DELAY; HIGH-RESOLUTION; IMPACT; PREDICTION; VERIFICATION; ZTD</t>
  </si>
  <si>
    <t>The use of high spatial and temporal resolution data assimilation and forecasting around Australia's capital cities and rural land provided an opportunity to improve moisture analysis and forecasting. To support this endeavour, RMIT University and Geoscience Australia worked with the Bureau of Meteorology (BoM) to provide real-time GNSS (global navigation satellite system) zenith total delay (ZTD) data over the Australian region, from which a high-resolution total water vapour field for SE Australia could be determined. The ZTD data could play an important role in high-resolution data assimilation by providing mesoscale moisture data coverage from existing GNSS surface stations over significant areas of the Australian continent. The data were used by the BoM's high-resolution ACCESS-C3 capital city numerical weather prediction (NWP) systems, the ACCESS-G3 Global system and had been used by the ACCESS-R2-Regional NWP model. A description of the data collection and analysis system is provided. An example of the application of these local GNSS data for a heavy rainfall event over SE Australia/Victoria is shown using the 1.5-km resolution ACCESS-C3 model, which was being prepared for operational use. The results from the test were assessed qualitatively, synoptically and also examined quantitatively using the Fractions Skills Score which showed the reasonableness of the forecasts and demonstrated the potential for improving rainfall forecasts over south-eastern Australia by the inclusion of ZTD data in constructing the moisture field. These data have been accepted for operational use in NWP.</t>
  </si>
  <si>
    <t>[Le Marshall, John; Howard, David; Rennie, Susan; Xiao, Yi; Lehmann, Paul; Steinle, Peter; Tingwell, Chris; Le, Tan; Ren, Diandong] Bur Meteorol, GPO Box 1289, Melbourne, Vic 3001, Australia; [Le Marshall, John; Norman, Robert; Zhang, Kefei; Cate, Ara; Wang, Xiaoming] RMIT Univ, Melbourne, Vic, Australia; [Moore, Michael; Wang, Carl] Geosci Australia, Canberra, ACT, Australia; [Kaplon, Jan; Rohm, Witold] Wroclaw Univ Environm &amp; Life Sci, Inst Geodesy &amp; Geoinformat, Grunwaldzka 53, PL-50357 Wroclaw, Poland</t>
  </si>
  <si>
    <t>Bureau of Meteorology - Australia; Royal Melbourne Institute of Technology (RMIT); Geoscience Australia; Wroclaw University of Environmental &amp; Life Sciences</t>
  </si>
  <si>
    <t>Le Marshall, J (corresponding author), Bur Meteorol, GPO Box 1289, Melbourne, Vic 3001, Australia.;Le Marshall, J (corresponding author), RMIT Univ, Melbourne, Vic, Australia.</t>
  </si>
  <si>
    <t>john.lemarshall@bom.gov.au</t>
  </si>
  <si>
    <t>Kapłon, Jan/AAF-6693-2019; Chen, Shuo/JEO-6350-2023; wang, xiao/HZI-9156-2023; Li, June/JEF-1173-2023</t>
  </si>
  <si>
    <t>Kapłon, Jan/0000-0002-0068-0865;</t>
  </si>
  <si>
    <t>Natural Disaster Resilience Grants Scheme (Victoria) - National Disaster Resilience Program (NDRP); Australian Antarctic Science [4469]</t>
  </si>
  <si>
    <t>Natural Disaster Resilience Grants Scheme (Victoria) - National Disaster Resilience Program (NDRP); Australian Antarctic Science</t>
  </si>
  <si>
    <t>We wish to acknowledge support through the Natural Disaster Resilience Grants Scheme (Victoria), funded by the National Disaster Resilience Program (NDRP) and the Australian Antarctic Science grant 4469. These grants have contributed to the efficient development and use of GNSS applications in meteorology inAustralia and theAntarctic region. Wewish to thank Ian Senior andQuangQuach of the Bureau ofMeteorology andDaveOffler, OwenLewis and Johnathon Jones of the UK Meteorological Office for their assistance in the establishment of this data collection, analysis and prediction system.</t>
  </si>
  <si>
    <t>CSIRO PUBLISHING</t>
  </si>
  <si>
    <t>CLAYTON</t>
  </si>
  <si>
    <t>UNIPARK, BLDG 1, LEVEL 1, 195 WELLINGTON RD, LOCKED BAG 10, CLAYTON, VIC 3168, AUSTRALIA</t>
  </si>
  <si>
    <t>2206-5865</t>
  </si>
  <si>
    <t>J SO HEMISPH EARTH</t>
  </si>
  <si>
    <t>J. South Hemisph. Earth Syst. Sci.</t>
  </si>
  <si>
    <t>10.1071/ES19009_CO</t>
  </si>
  <si>
    <t>PQ4JM</t>
  </si>
  <si>
    <t>WOS:000606511600029</t>
  </si>
  <si>
    <t>Ai, ST; Wang, SS; Li, YS; Liu, LB</t>
  </si>
  <si>
    <t>Ai, Songtao; Wang, Shansi; Li, Yuansheng; Liu, Leibao</t>
  </si>
  <si>
    <t>Multi-parameter adjustment for high-precision azimuthal intersection positioning</t>
  </si>
  <si>
    <t>METHODSX</t>
  </si>
  <si>
    <t>Space intersection; Parameter adjustment model; Earth curvature error correction; Atmospheric error correction</t>
  </si>
  <si>
    <t>The traditional azimuthal intersection method is viable for situations with only two control stations but a simple height averaging is not rigorous because the intersections vary in their distances from the two stations. In order to obtain the high-precision azimuthal intersections, this study presented a multi-parameter adjustment method, together with the Earth curvature correction and the atmospheric refraction correction models. This method is robust with varied distances between the control stations and the targeted intersections, without limitation of station quantity. Based on the traditional space intersection, a multi-parameter adjustment model is added into the data processing for high-precision 3D positioning. Both the Earth curvature error correction model and the atmospheric error correction model are included in the multi-parameter adjustment model, so the intersected points are more accurate than traditional intersections. (C) 2020 The Author(s). Published by Elsevier B.V.</t>
  </si>
  <si>
    <t>[Ai, Songtao; Wang, Shansi] Wuhan Univ, Chinese Antarctic Ctr Surveying &amp; Mapping, Wuhan 430079, Peoples R China; [Li, Yuansheng; Liu, Leibao] Polar Res Inst China, Shanghai 20036, Peoples R China</t>
  </si>
  <si>
    <t>Wuhan University; Polar Research Institute of China</t>
  </si>
  <si>
    <t>Ai, ST (corresponding author), Wuhan Univ, Chinese Antarctic Ctr Surveying &amp; Mapping, Wuhan 430079, Peoples R China.</t>
  </si>
  <si>
    <t>ast@whu.edu.cn</t>
  </si>
  <si>
    <t>Polar Science Collaborative Innovation Program of the Chinese Arctic and Antarctic Administration [CXPT2020001]; National Natural Science Foundation of China [41941010, 41476162]</t>
  </si>
  <si>
    <t>Polar Science Collaborative Innovation Program of the Chinese Arctic and Antarctic Administration; National Natural Science Foundation of China(National Natural Science Foundation of China (NSFC))</t>
  </si>
  <si>
    <t>The authors are very grateful for the support of all funds, the Polar Science Collaborative Innovation Program of the Chinese Arctic and Antarctic Administration (CXPT2020001), the National Natural Science Foundation of China (41941010,41476162).We greatly appreciate the sustaining support from the Chinese Arctic and Antarctic Administration, State Oceanic Administration, People's Republic of China.</t>
  </si>
  <si>
    <t>2215-0161</t>
  </si>
  <si>
    <t>MethodsX</t>
  </si>
  <si>
    <t>10.1016/j.mex.2020.100968</t>
  </si>
  <si>
    <t>PS8QE</t>
  </si>
  <si>
    <t>WOS:000608187800031</t>
  </si>
  <si>
    <t>Mytrokhyn, OV; Bakhmutov, V; Aleksieienko, AG; Mytrokhina, TV</t>
  </si>
  <si>
    <t>Mytrokhyn, O., V; Bakhmutov, Vg; Aleksieienko, A. G.; Mytrokhina, T., V</t>
  </si>
  <si>
    <t>THE PETROLOGY OF GABBROIDS OF THE ANAGRAM ISLANDS (WILHELM ARCHIPELAGO, WEST ANTARCTICA)</t>
  </si>
  <si>
    <t>MINERALOGICAL JOURNAL-UKRAINE</t>
  </si>
  <si>
    <t>petrology; gabbroids; layered intrusions; West Antarctica</t>
  </si>
  <si>
    <t>The Anagram Islands are located near the Graham Coast of West Antarctica not far from the Ukrainian Antarctic Station Akademik Vernadsky. Gabbroids that are probably Cretaceous in age predominate in the geological structure of the Anagram Islands. New data on the mode of occurrence of the Anagram gabbroids and their layering were obtained during the seasonal field works of the Ukrainian Antarctic Expeditions in 2017, 2019-2020 years. Samples of the gabbroids were examined by optical microscopy, electron microscopy and microprobe analysis as well as by measuring of anisotropy of magnetic susceptibility of rocks. The goal of the research was to clarify the geological position and petrographic features of the Anagram gabbroids, to determine the typomorphic features of rock-forming minerals, and to clarify the origin of the layering in gabbroids. It was determined that the bottom part of a large layered gabbroid intrusion is fragmentarily exposed on the Anagram Islands. The continuation of the intrusion is expected in the northeastern and southeastern directions. It was established that primary magmatic textures and mineral composition are preserved in the gabbroids despite the development of metamorphic amphibolization. The gabbroids show typical cumulative textures of magmatic origin. The main cumulative phases are plagioclase (An 70-95), clinopyroxene (Wo 41-49En 34-47), orthopyroxene (Wo 2-4En 49-71), olivine (Fo 67-69), Ti-magnetite and ilmenite. It is proved that the fine rhythmic-gradational layering in the gabbroids was formed by gravitational precipitation of the cumulative minerals on the bottom of the magma chamber and their further sorting by specific gravity due to convection currents. Cryptic layering is firstly discovered in the Anagram gabbroids and is explained by the processes of crystallization differentiation. The latter caused the accumulation of the most calcium plagioclases and the most magnesian mafic minerals in the layered gabbroids forming the bottom part of the intrusion. The present subvertical position of layering is explained by tectonic deformation that resulted in the tilting of the investigated section of the Anagram gabbroid intrusion. This confirmed by the studying of magnetic texture of the gabbroids (by the anisotropy of magnetic susceptibility data).</t>
  </si>
  <si>
    <t>[Mytrokhyn, O., V; Aleksieienko, A. G.; Mytrokhina, T., V] Kyiv Taras Shevchenko Natl Univ, Educ Sci Inst, Inst Geol, 90 Vasylkivska Str, UA-03022 Kiev, Ukraine; [Bakhmutov, Vg] NAS Ukraine, SI Subbotin Inst Geophys, 32 Acad Palladin Ave, UA-03142 Kiev, Ukraine; [Bakhmutov, Vg] Natl Antarctic Sci Ctr Ukraine, 16 Taras Schevchenko Boul, UA-01016 Kiev, Ukraine</t>
  </si>
  <si>
    <t>Ministry of Education &amp; Science of Ukraine; Banking University; Taras Shevchenko National University of Kyiv; National Academy of Sciences Ukraine; Institute of Geological Sciences, National Academy of Sciences of Ukraine; National Academy of Sciences Ukraine; Subbotin Institute of Geophysics, National Academy of Sciences of Ukraine; Ministry of Education &amp; Science of Ukraine; State Institution National Antarctic Scientific Center</t>
  </si>
  <si>
    <t>Mytrokhyn, OV (corresponding author), Kyiv Taras Shevchenko Natl Univ, Educ Sci Inst, Inst Geol, 90 Vasylkivska Str, UA-03022 Kiev, Ukraine.</t>
  </si>
  <si>
    <t>mitrokhin.a.v@ukr.net; bakhmutovvg@gmail.com; scr315@gmail.com; tanussa@ukr.net</t>
  </si>
  <si>
    <t>Алексеенко, Антон/W-7019-2018; Volodymyr, Bakhmutov/A-8508-2019; Mytrokhyn, Oleksandr/I-2020-2018</t>
  </si>
  <si>
    <t>Mytrokhyn, Oleksandr/0000-0001-6269-0092; Aleksieienko, Anton/0000-0002-4787-7542; Bakhmutov, Vladimir/0000-0003-3804-9953</t>
  </si>
  <si>
    <t>M P SEMENENKO INST GEOCHEMISTRY, MINERALOGY &amp; ORE FORMATION OF NAS UKRAINE</t>
  </si>
  <si>
    <t>34, AKAD PALLADIN AVE, 142, KYIV, 03142, UKRAINE</t>
  </si>
  <si>
    <t>2519-2396</t>
  </si>
  <si>
    <t>2519-447X</t>
  </si>
  <si>
    <t>MINER J-UKRAINE</t>
  </si>
  <si>
    <t>Miner. J.-Ukraine</t>
  </si>
  <si>
    <t>10.15407/mineraljournal.42.04.069</t>
  </si>
  <si>
    <t>PR9GJ</t>
  </si>
  <si>
    <t>WOS:000607538800006</t>
  </si>
  <si>
    <t>Golubev, SV</t>
  </si>
  <si>
    <t>Golubev, Sergey, V</t>
  </si>
  <si>
    <t>Aberrant and deformed Antarctic penguins and unusual eggs</t>
  </si>
  <si>
    <t>NOTORNIS</t>
  </si>
  <si>
    <t>colour aberrations; abnormalities; aberrant eggs; physical deformities; penguins</t>
  </si>
  <si>
    <t>FEATHER-LOSS DISORDER; APTENODYTES-PATAGONICUS; PYGOSCELIS-ADELIAE; AFRICAN; COLOR</t>
  </si>
  <si>
    <t>Nineteen cases of physical deformities, colour aberrations, and unusual eggs were recorded in emperor penguins (Aptenodytes forsteri) and Adelie penguins (Pygoscelis adeliae) from the Haswell archipelago in the Davis Sea, East Antarctica, during 1956-2016. Two very small eggs and one very large egg were recorded from emperor penguins, and two very small eggs from Adelie penguins. Physical deformities included beak deformities in two emperor penguin adults and two chicks, and two chicks had deformed spines. Colour aberrations included the ino mutation in a juvenile emperor penguin, and examples of dilution (two cases), progressive greying (two cases), and isabellinism in adult Adelie penguins. Feather-loss disorders were recorded in two downy emperor penguin chicks. Data on the occurrence of identified abnormalities and disorders are given. These cases provide a baseline for assessing changes in the frequency of physical abnormalities in these Antarctic penguin species.</t>
  </si>
  <si>
    <t>[Golubev, Sergey, V] Russian Antarctic Expedit, 38 Bering St, St Petersburg 199397, Russia</t>
  </si>
  <si>
    <t>Golubev, SV (corresponding author), Russian Antarctic Expedit, 38 Bering St, St Petersburg 199397, Russia.</t>
  </si>
  <si>
    <t>gol_arctic@mail.ru</t>
  </si>
  <si>
    <t>Golubev, Sergey/AAY-1262-2021</t>
  </si>
  <si>
    <t>ORNITHOLOGICAL SOC NEW ZEALAND</t>
  </si>
  <si>
    <t>NELSON</t>
  </si>
  <si>
    <t>PO BOX 834, NELSON, 7040, NEW ZEALAND</t>
  </si>
  <si>
    <t>0029-4470</t>
  </si>
  <si>
    <t>1177-7680</t>
  </si>
  <si>
    <t>PP2HK</t>
  </si>
  <si>
    <t>WOS:000605688300003</t>
  </si>
  <si>
    <t>Polyakov, VI; Abakumov, EV; Tembotov, RK</t>
  </si>
  <si>
    <t>Polyakov, Vyacheslav, I; Abakumov, Evgeny, V; Tembotov, Rustam Kh</t>
  </si>
  <si>
    <t>Black carbon as a factor in deglaciation in polar and mountain ecosystems: A Review</t>
  </si>
  <si>
    <t>VESTNIK TOMSKOGO GOSUDARSTVENNOGO UNIVERSITETA-BIOLOGIYA</t>
  </si>
  <si>
    <t>Organic carbon; Climate crisis; Central Caucasus; Arctic; Antarctic</t>
  </si>
  <si>
    <t>Black carbon is considered a product of the incomplete combustion of fossil fuels and materials that originated from volcanic eruptions or were emitted during wildfires. It is a strong light-absorbing component that has many atmospheric and surface effects in terrestrial and glacial ecosystems. Normally, black carbon is presented as a solid particle, consisting mainly of pure carbon, which absorbs solar radiation at all wavelengths. Some black carbon particles are amended by a mineral compound, though black carbon substances are normally dark or greyish dark. Black carbon is the most active part of suspended particles in the atmosphere and on glacial surfaces, absorbing solar radiation, the main component of ash, which consists of carbon particles with impurities in the form of mineral particles and also contains carbon of biogenic origin. In this paper, we have analyzed the literature on black carbon and its effect on deglaciation processes in the Earth's polar and mountainous regions. The physical, chemical, and microbiological composition of black carbon accumulations were studied using the examples of the Arctic, the Antarctic, and the Central Caucasus. Potential sources and conditions of the transportation of black carbon into the polar zone and their effect on ice and snow have also been discussed. The paper contains 7 Figures, 3 Tables and 110 References.</t>
  </si>
  <si>
    <t>[Polyakov, Vyacheslav, I; Abakumov, Evgeny, V] St Petersburg State Univ, Fac Biol, Dept Appl Ecol, 13B Univ Skaya Emb, St Petersburg 199034, Russia; [Tembotov, Rustam Kh] Russian Acad Sci, Fed State Budget Sci Inst Tembotov Inst Ecol Mt T, Lab Soil &amp; Ecol Res, 37-A I Armand Str, Nalchik 360051, Russia</t>
  </si>
  <si>
    <t>Saint Petersburg State University; Russian Academy of Sciences; Tembotov Institute of Ecology of Mountain Territories of Russian Academy of Sciences</t>
  </si>
  <si>
    <t>Polyakov, VI (corresponding author), St Petersburg State Univ, Fac Biol, Dept Appl Ecol, 13B Univ Skaya Emb, St Petersburg 199034, Russia.</t>
  </si>
  <si>
    <t>slavon6985@gmail.com; e_abakumov@mail.ru; tembotov.rustam@mail.ru</t>
  </si>
  <si>
    <t>Abakumov, Evgeny/AAO-8580-2020; Abakumov, Evgeny V/B-5291-2013; Polyakov, Vyacheslav/H-5483-2016; Tembotov, Rustam/AAH-4203-2020</t>
  </si>
  <si>
    <t>Abakumov, Evgeny/0000-0002-5248-9018;</t>
  </si>
  <si>
    <t>Russian Foundation for Basic Research [19-05-50107]</t>
  </si>
  <si>
    <t>This work was supported by the Grant of the Russian Foundation for Basic Research (Project No 19-05-50107).</t>
  </si>
  <si>
    <t>TOMSKIJ GOSUDARSTVENNYI UNIV</t>
  </si>
  <si>
    <t>TOMSK</t>
  </si>
  <si>
    <t>BIOL INST, 36 LENINA ST, TOMSK, 634050, RUSSIA</t>
  </si>
  <si>
    <t>1998-8591</t>
  </si>
  <si>
    <t>2311-2077</t>
  </si>
  <si>
    <t>VESTN TOMSK GOS U BI</t>
  </si>
  <si>
    <t>Vestn. Tomsk. Gos. Univ. Biol.</t>
  </si>
  <si>
    <t>10.17223/19988591/52/1</t>
  </si>
  <si>
    <t>Biology; Ecology</t>
  </si>
  <si>
    <t>PU3TT</t>
  </si>
  <si>
    <t>WOS:000609228400001</t>
  </si>
  <si>
    <t>Crego, RD; Jara, RF; Rozzi, R; Jiménez, JE</t>
  </si>
  <si>
    <t>Crego, Ramiro D.; Jara, Rocio F.; Rozzi, Ricardo; Jimenez, Jaime E.</t>
  </si>
  <si>
    <t>UNEXPECTED LACK OF EFFECT OF THE INVASIVE AMERICAN MINK ON THE NESTING SURVIVAL OF FOREST BIRDS</t>
  </si>
  <si>
    <t>ORNITOLOGIA NEOTROPICAL</t>
  </si>
  <si>
    <t>Bird nesting success; Cape Horn Biosphere Reserve; Invasive species; Nest predation</t>
  </si>
  <si>
    <t>HORN BIOSPHERE RESERVE; NAVARINO ISLAND; POTENTIAL IMPACT; MUSTELA-VISON; PREDATORS; BEHAVIOR; SIZE; COMPLEXITY; SONGBIRDS; WATERFOWL</t>
  </si>
  <si>
    <t>Nest predation by invasive mammalian predators can cause major impacts on native bird populations. The American Mink (Neovison vison) was recently introduced in Navarino Island, southern Chile, where it established itself as a new terrestrial mesopredator on the island, with documented impacts on waterfowls' breeding success. However, little is known about the effects of minks on forest birds' reproduction. Here, we investigated nest predation rates by native predators and the invasive mink on open-cup nesting forest birds by using artificial and natural nests. In six different plots, we deployed a grid of 14 (7 X 2) artificial nests spaced by 50 m and at random heights from the ground. We used camera traps in each nest to identify predators. At each plot, we estimated the relative abundance of predators using camera traps, Sherman traps, and bird point counts. We estimated nest survival probability as a function of nest age, concealment, distance to the river, and height. Additionally, we monitored 43 natural nests of five open-cup nesting bird species. Contrary to what was expected, the mink was not a main predator of the nests and preyed upon only one natural nest. The native raptor Chimango Caracara (Milvago chimango) was the main nest predator, preying on 39.8% of the artificial nests and 27% of the natural nests. We also found evidence that Chimango Caracaras learned to associate the artificial nests with the egg reward. We argue that the lower abundance of mink in the forest and a mismatch between mink peak activity patterns and bird breeding phenology can result in low depredation. Mink impacts may be more pervasive during summer months, on fledglings, or when mink activity peaks, and more research should be conducted to assess these questions. Our results are valuable to better understand mink impacts on biodiversity and to prioritize conservation actions on species more severely affected.</t>
  </si>
  <si>
    <t>[Crego, Ramiro D.] Natl Zool Pk, Conservat Ecol Ctr, Smithsonian Conservat Biol Inst, Front Royal, VA 22630 USA; [Crego, Ramiro D.; Jara, Rocio F.; Rozzi, Ricardo] Univ North Texas, Sub Antarctic Biocultural Conservat Program, Denton, TX 76203 USA; [Crego, Ramiro D.; Jara, Rocio F.; Rozzi, Ricardo] Fac Ciencias, Inst Ecol &amp; Biodiversidad, Dept Ciencias Ecol, Santiago, Chile; [Jara, Rocio F.] Univ North Texas, Dept Biol Sci, Denton, TX 76203 USA; [Rozzi, Ricardo] Univ Magallanes, Punta Arenas, Chile; [Rozzi, Ricardo] Univ North Texas, Dept Philosophy &amp; Relig, Denton, TX 76203 USA; [Jimenez, Jaime E.] Univ North Texas, Adv Environm Res Inst, Dept Biol Sci, Denton, TX 76203 USA</t>
  </si>
  <si>
    <t>Smithsonian Institution; Smithsonian National Zoological Park &amp; Conservation Biology Institute; University of North Texas System; University of North Texas Denton; University of North Texas System; University of North Texas Denton; Universidad de Magallanes; University of North Texas System; University of North Texas Denton; University of North Texas System; University of North Texas Denton</t>
  </si>
  <si>
    <t>Crego, RD (corresponding author), Natl Zool Pk, Conservat Ecol Ctr, Smithsonian Conservat Biol Inst, Front Royal, VA 22630 USA.;Crego, RD (corresponding author), Univ North Texas, Sub Antarctic Biocultural Conservat Program, Denton, TX 76203 USA.;Crego, RD (corresponding author), Fac Ciencias, Inst Ecol &amp; Biodiversidad, Dept Ciencias Ecol, Santiago, Chile.</t>
  </si>
  <si>
    <t>ramirocrego84@gmail.com</t>
  </si>
  <si>
    <t>Rozzi, Ricardo/G-1047-2012; Crego, Ramiro Daniel/I-3964-2019; Jara, Rocio Fernanda/GOK-0262-2022</t>
  </si>
  <si>
    <t>Rozzi, Ricardo/0000-0001-5265-8726; Crego, Ramiro Daniel/0000-0001-8583-5936;</t>
  </si>
  <si>
    <t>Toulouse Graduate School Program at the University of North Texas (UNT); Idea Wild; Rufford Foundation; Chilean National Commission for Scientific and Technological Research (CONICYT); Institute of Ecology and Biodiversity of Chile (IEB) [ICM P05-002, Basal-CONICYT PFB-23]; Toulouse Graduate School Program</t>
  </si>
  <si>
    <t>Toulouse Graduate School Program at the University of North Texas (UNT); Idea Wild; Rufford Foundation; Chilean National Commission for Scientific and Technological Research (CONICYT)(Comision Nacional de Investigacion Cientifica y Tecnologica (CONICYT)); Institute of Ecology and Biodiversity of Chile (IEB); Toulouse Graduate School Program</t>
  </si>
  <si>
    <t>We thank all the volunteers who provided invaluable help in the field. We also thank Emiliano Donadio, whose comments helped improve earlier versions of this manuscript. This study was funded by the Toulouse Graduate School Program at the University of North Texas (UNT), Idea Wild, the Rufford Foundation, the Chilean National Commission for Scientific and Technological Research (CONICYT) in the form of graduate scholarships for RFJ, and the Institute of Ecology and Biodiversity of Chile (IEB; grants ICM P05-002 and Basal-CONICYT PFB-23). This study is a contribution of the SubAntarctic Biocultural Conservation Program, jointly coordinated by the UNT in the USA, and by the IEB and the Universidad de Magallanes in Chile. Permits for rodent captures were issued by the Livestock and Agricultural Bureau, Chile (Servicio Agricola y Ganadero, Resolucion Exenta 1728/2015). We thank all the volunteers who provided invaluable help in the field. We also thank Emiliano Donadio, whose comments helped improve earlier versions of this manuscript. This study was funded by the Toulouse Graduate School Program</t>
  </si>
  <si>
    <t>NEOTROPICAL ORNITHOLOGICAL SOC, USGS PATUXENT WILDLIFE RESEARCH CTR</t>
  </si>
  <si>
    <t>ATHENS</t>
  </si>
  <si>
    <t>UNIV GEORGIA, WARNELL SCH FOREST RESOURCES, ATHENS, GA 30602-2152 USA</t>
  </si>
  <si>
    <t>1075-4377</t>
  </si>
  <si>
    <t>ORNITOL NEOTROP</t>
  </si>
  <si>
    <t>ORNITOL. NEOTROP.</t>
  </si>
  <si>
    <t>PQ2BI</t>
  </si>
  <si>
    <t>WOS:000606354600001</t>
  </si>
  <si>
    <t>Shin, Y; Lee, BH; Lee, KE; Park, W</t>
  </si>
  <si>
    <t>Shin, Yoonjae; Lee, Byoung-Hee; Lee, Ki-Eun; Park, Woojun</t>
  </si>
  <si>
    <t>Pseudarthrobacter psychrotolerans sp. nov., a cold-adapted bacterium isolated from Antarctic soil</t>
  </si>
  <si>
    <t>Actinobacteria; Arthrobacter; menaquinone 9; Micrococcaceae; psychrophilic; taxonomy</t>
  </si>
  <si>
    <t>SPECIES DEFINITION; ARTHROBACTER; EMENDATION; TAXONOMY; PROPOSAL; ENZYMES; ICE</t>
  </si>
  <si>
    <t>A novel cold-tolerant bacterium, designated strain YJ56(T), was isolated from Antarctic soil collected from the Cape Burk area. Phylogenetic analysis through 16S rRNA gene sequence similarity revealed that strain YJ56(T) was most closely related to the genus Pseudarthrobacter, including Pseudarthrobacter oxydans DSM 20119(T) (99.06% similarity), Pseudarthrobacter polychromogenes DSM 20136(T) (98.98%) and Pseudarthrobacter sulfonivorans ALL(T) (98.76 %). The genome size (5.2 Mbp) of strain YJ56(T) was the largest among all the published genomes of Pseudarthrobacter type strains (4.2-5.0 Mbp). The genomic G+C content of strain YJ56(T) (64.7mol%) was found to be consistent with those of other Pseudarthrobacter strains (62.0-71.0 mol%). The average nucleotide identity and average amino acid identity values between strain YJ56(T) and P. sulfonivorans ALL(T) were estimated at 84.1 and 84.2 %, respectively. The digital DNA-DNA hybridization value between the two strains was calculated to be 28.0 %. This rod-shaped and obligate aerobic strain exhibited no swimming or swarming motility. It had catalase activity but no oxidase activity. Cells grew at 4-28 degrees C (optimum, 13 degrees C) and pH 5.0-11.0 (optimum, pH 7.0) and with 0-6.0 % (w/v) NaCl (optimum, 0%) in Reasoner's 2A medium. MK-9 (H2) was the sole menaquinone. Two-dimensional TLC results revealed that the primary polar lipids were diphosphatidylglycerol, phosphatidylglycerol, two glycolipids and phosphatidylinositol. Fatty acid methyl ester analysis showed that anteiso-C-15:0, anteiso-C-17:0, iso-C-15:0, C-16:0 and iso-C-16:0 were the major cellular fatty acids in strain YJ56(T). Based on phenotypic and genotypic characteristics, strain YJ56(T) represents a novel species of the genus Pseudarthrobacter, and thus the name Pseudarthrobacter psychrotolerans sp. nov is proposed. The type strain is YJ56(T) (=JCM 33881(T)=KACC 21510(T)).</t>
  </si>
  <si>
    <t>[Shin, Yoonjae; Park, Woojun] Korea Univ, Dept Environm Sci &amp; Ecol Engn, Lab Mol Environm Microbiol, Seoul 02841, South Korea; [Lee, Byoung-Hee; Lee, Ki-Eun] Natl Inst Biol Resources, Incheon 22689, South Korea</t>
  </si>
  <si>
    <t>Korea University; National Institute of Biological Resources</t>
  </si>
  <si>
    <t>Park, W (corresponding author), Korea Univ, Dept Environm Sci &amp; Ecol Engn, Lab Mol Environm Microbiol, Seoul 02841, South Korea.</t>
  </si>
  <si>
    <t>wpark@korea.ac.kr</t>
  </si>
  <si>
    <t>Park, Woojun/0000-0002-3166-1528</t>
  </si>
  <si>
    <t>National Institute of Biological Resources (NIBR) - Ministry of Environment (MOE) of the Republic of Korea [NIBR202002108]</t>
  </si>
  <si>
    <t>National Institute of Biological Resources (NIBR) - Ministry of Environment (MOE) of the Republic of Korea</t>
  </si>
  <si>
    <t>This work was supported by a grant from the National Institute of Biological Resources (NIBR), funded by the Ministry of Environment (MOE) of the Republic of Korea (NIBR202002108).</t>
  </si>
  <si>
    <t>10.1099/ijsem.0.004505</t>
  </si>
  <si>
    <t>PT1ZL</t>
  </si>
  <si>
    <t>WOS:000608418900010</t>
  </si>
  <si>
    <t>Wu, SG; Wang, JJ; Wang, JN; Chen, Q; Sheng, DH; Li, YZ</t>
  </si>
  <si>
    <t>Wu, Shu-ge; Wang, Jing-jing; Wang, Jia-ning; Chen, Qi; Sheng, Duo-hong; Li, Yue-zhong</t>
  </si>
  <si>
    <t>Psychroflexus aurantiacus sp. nov., isolated from soil in the Yellow River Delta wetlands</t>
  </si>
  <si>
    <t>novel species; Psychroflexus aurantiacus; Psychroflexus; Polyphasic taxonomy</t>
  </si>
  <si>
    <t>PROPOSED MINIMAL STANDARDS; ANTARCTIC SEA-ICE; GEN. NOV.; BACTERIUM; TORQUIS; QUALITY</t>
  </si>
  <si>
    <t>A Gram-stain-negative, strictly aerobic, non-motile, orange-coloured bacterium, designated YR1-1(T), was isolated from a soil sample collected from the Yellow River Delta wetlands (PR China). Growth was observed at a salinity of 1.0-15.0% NaCl, 4-45 degrees C and pH 6.0-9.0. The results of phylogenetic analysis based on the 16S rRNA gene sequences indicated that YR1-1(T) represented a member of the genus Psychroflexus, with the highest sequence similarity to Psychroflexus sediminis YIM-C238(T) (97.9%), followed by Psychroflexus aestuariivivens (97.1%) and Psychroflexus torquis (96.4%). The average nucleotide identity and digital DNA-DNA hybridization values between YR1-1(T) and other closely related type strains of species of the genus Psychroflexus were 68.7-86.3% and 17.8-30.9%. The genome of the strain was 2 899374 bp in length with 39.8% DNA G+C content. The predominant fatty acids (&gt;10 %) were iso-C-15:0 and anteiso-C-15:0. The major respiratory quinone was menaquinone-6 (MK-6) and the major polar lipids were phosphatidylethanolamine, phospholipid, diphosphatidylglycerol, two unidentified aminolipids and four unidentified lipids. The combined genotypic and phenotypic data indicate that YR1-1(T) represents a novel species within the genus Psychroflexus, for which the name Psychroflexus aurantiacus sp. nov., is proposed. The type strain is YR1-1(T) (=KCTC 72794(T)=CGMCC 1.17458(T)).</t>
  </si>
  <si>
    <t>[Wu, Shu-ge; Wang, Jing-jing; Wang, Jia-ning; Chen, Qi; Sheng, Duo-hong; Li, Yue-zhong] Shandong Univ, Inst Microbiol Technol, State Key Lab Microbial Technol, Qingdao 266237, Shandong, Peoples R China</t>
  </si>
  <si>
    <t>Shandong University</t>
  </si>
  <si>
    <t>Li, YZ (corresponding author), Shandong Univ, Inst Microbiol Technol, State Key Lab Microbial Technol, Qingdao 266237, Shandong, Peoples R China.</t>
  </si>
  <si>
    <t>lilab@sdu.edu.cn</t>
  </si>
  <si>
    <t>wang, jing/GRS-7509-2022; Wang, Jianing/CAG-6132-2022; li, yue/HZL-3265-2023; Wang, Jin/GYA-2019-2022; li, yueyue/IVH-9846-2023; li, yue/HSF-7296-2023; wang, jiahui/IXD-1197-2023; wang, jing/HJA-5384-2022; wang, dan/JEF-0836-2023; WANG, JINGYI/GSJ-1241-2022; wang, jie/HTQ-4920-2023; wang, jing/GVT-8700-2022; li, yue/IXD-9935-2023; Li, Yuezhong/ACN-5179-2022</t>
  </si>
  <si>
    <t>Wang, Jianing/0000-0001-5752-9050; Li, Yuezhong/0000-0001-8336-6638; Wang, Jingjing/0000-0002-2422-4936</t>
  </si>
  <si>
    <t>special investigation on scientific and technological basic resources [2017FY100302]; special national project on investigation of basic resources of China [2019FY100700]; National Natural Science Foundation of China (NSFC) [31 670 076, 31471183]; Key Program of Shandong Natural Science Foundation [ZR2016QZ002]; National Key Research and Development Programs of China [2018YFA0900400, 2018YFA0901704]; National Natural Science Foundation of China [32070030]</t>
  </si>
  <si>
    <t>special investigation on scientific and technological basic resources; special national project on investigation of basic resources of China; National Natural Science Foundation of China (NSFC)(National Natural Science Foundation of China (NSFC)); Key Program of Shandong Natural Science Foundation; National Key Research and Development Programs of China; National Natural Science Foundation of China(National Natural Science Foundation of China (NSFC))</t>
  </si>
  <si>
    <t>This work was financially supported by special investigation on scientific and technological basic resources (No. 2017FY100302) to YZL; the special national project on investigation of basic resources of China (No. 2019FY100700) to DHS; the National Natural Science Foundation of China (NSFC) (Nos. 31 670 076 and 31471183) and the Key Program of Shandong Natural Science Foundation (No. ZR2016QZ002), the National Key Research and Development Programs of China (No. 2018YFA0900400 and No. 2018YFA0901704), and the National Natural Science Foundation of China (No. 32070030) to YZL.</t>
  </si>
  <si>
    <t>CHARLES DARWIN HOUSE, 12 ROGER ST, LONDON WC1N 2JU, ERKS, ENGLAND</t>
  </si>
  <si>
    <t>10.1099/ijsem.0.004527</t>
  </si>
  <si>
    <t>WOS:000608418900031</t>
  </si>
  <si>
    <t>Sun, J; Guo, JY; Lin, TH; Feng, XJ; Zhang, R</t>
  </si>
  <si>
    <t>Sun, Jia; Guo, Jiaying; Lin, Ta-Hui; Feng, Xuejin; Zhang, Rui</t>
  </si>
  <si>
    <t>Pseudopontixanthobacter vadosimaris gen. nov., sp. nov., isolated from shallow sea near Kueishan Island</t>
  </si>
  <si>
    <t>Kueishan Island; polyphasic taxonomy; Pseudopontixanthobacter</t>
  </si>
  <si>
    <t>EMENDED DESCRIPTION; BACTERIUM; SEQUENCE; SEDIMENT; MEMBER</t>
  </si>
  <si>
    <t>A Gram-stain-negative and aerobic bacterial strain, designated as JL3514(T), was isolated from surface water of the hydrothermal system around Kueishan Island. The isolate formed red colonies and cells were non-flagellated, rod-shaped and contained methanol-soluble pigments. Growth was observed at 10-50 degrees C (optimum, 30 degrees C), at pH 5.0-9.0 (optimum, pH 7.0) and in the presence of 0-9% (w/v) NaCl (optimum, 2 %). Strain JL3514(T) was positive for catalase and weakly positive for oxidase. Results of 16S rRNA gene sequence analyses showed highest similarities to species in the family Erythrobacteraceae, namely Croceibacterium atlanticum (96.1%), Pelagerythrobacter marensis (96.0%), Tsuneonella rigui (96.0%) and Altericroceibacterium xinjiangense (96.0%). Phylogenetic analysis based on core gene sequences revealed that the isolate formed a distinct branch with the related species and it had a lower average amino acid identity value than the suggested threshold for genera boundaries. The major fatty acids (&gt;5 %) were summed feature 8 (C-18:1 omega 7c and/or C-18:1 omega 6c), summed feature 3 (C-16:1 omega 7c and/or C-16:1 omega 6c), C-16:0, C-17:1 omega 6c, C-14:0 2-OH and C-12:0. The dominant polar lipids comprised diphosphatidylglycerol, sphingoglycolipid, phosphatidylethanolamine, phosphatidylglycerol, phosphatidylcholine, glycolipid, two unidentified lipids and one unidentified phospholipid. The main respiratory quinones were ubiquinone-10 (95.7%) and ubiquinone-9 (4.3 %). The DNA G+C content from the genome was 63.0mol%. Based on the presented data, we consider strain JL3514(T) to represent a novel genus of the family Erythrobacteraceae, with the name Pseudopontixanthobacter vadosimaris gen. nov., sp. nov. The type strain is JL3514(T) (=KCTC 62623(T)=MCCC 1K03561(T)).</t>
  </si>
  <si>
    <t>[Sun, Jia; Lin, Ta-Hui; Feng, Xuejin; Zhang, Rui] Xiamen Univ, Coll Ocean &amp; Earth Sci, State Key Lab Marine Environm Sci, Fujian Key Lab Marine Carbon Sequestrat, Xiamen 361102, Peoples R China; [Guo, Jiaying] Univ Tasmania, Inst Marine &amp; Antarctic Studies IMAS, Hobart, Tas 7001, Australia; [Zhang, Rui] Southern Marine Sci &amp; Engn Guangdong Lab Zhuhai, Zhuhai 519080, Peoples R China</t>
  </si>
  <si>
    <t>Xiamen University; University of Tasmania; Southern Marine Science &amp; Engineering Guangdong Laboratory; Southern Marine Science &amp; Engineering Guangdong Laboratory (Zhuhai)</t>
  </si>
  <si>
    <t>Sun, J (corresponding author), Xiamen Univ, Coll Ocean &amp; Earth Sci, State Key Lab Marine Environm Sci, Fujian Key Lab Marine Carbon Sequestrat, Xiamen 361102, Peoples R China.</t>
  </si>
  <si>
    <t>sunjia@xmu.edu.cn</t>
  </si>
  <si>
    <t>Lin, Ta-Hui/AAC-5067-2021</t>
  </si>
  <si>
    <t>Lin, Ta-Hui/0000-0001-7627-6095; Guo, Jiaying/0000-0002-0837-8951</t>
  </si>
  <si>
    <t>National Natural Science Foundation of China [41861144018, 91951209]; China Ocean Mineral Resources R and D Association [DY135--E2-1-04]; Strait Postdoctoral Exchange Funding Program of Fujian Province [K8318001]; Science and Technology Program of Guangzhou, China [201904020029]</t>
  </si>
  <si>
    <t>National Natural Science Foundation of China(National Natural Science Foundation of China (NSFC)); China Ocean Mineral Resources R and D Association; Strait Postdoctoral Exchange Funding Program of Fujian Province; Science and Technology Program of Guangzhou, China</t>
  </si>
  <si>
    <t>This work was supported by the National Natural Science Foundation of China (41861144018, 91951209), the China Ocean Mineral Resources R and D Association (DY135--E2-1-04) and Strait Postdoctoral Exchange Funding Program of Fujian Province (K8318001). Rui Zhang was partially supported by Science and Technology Program of Guangzhou, China (201904020029).; This work was supported by the National Natural Science Foundation of China (41861144018, 91951209), the China Ocean Mineral Resources R and D Association (DY135--E2-1-04) and the Strait Postdoctoral Exchange Funding Program of Fujian Province (K8318001). R.Z. was partially supported by the Science and Technology Program of Guangzhou, China (201904020029).</t>
  </si>
  <si>
    <t>10.1099/ijsem.0.004552</t>
  </si>
  <si>
    <t>WOS:000608418900052</t>
  </si>
  <si>
    <t>Giordano, D; Pesce, A; Vermeylen, S; Abbruzzetti, S; Nardini, M; Marchesani, F; Berghmans, H; Seira, C; Bruno, S; Luque, FJ; di Prisco, G; Ascenzi, P; Dewilde, S; Bolognesi, M; Viappiani, C; Verde, C</t>
  </si>
  <si>
    <t>Giordano, Daniela; Pesce, Alessandra; Vermeylen, Stijn; Abbruzzetti, Stefania; Nardini, Marco; Marchesani, Francesco; Berghmans, Herald; Seira, Constanti; Bruno, Stefano; Luque, F. Javier; di Prisco, Guido; Ascenzi, Paolo; Dewilde, Sylvia; Bolognesi, Martino; Viappiani, Cristiano; Verde, Cinzia</t>
  </si>
  <si>
    <t>Structural and functional properties of Antarctic fish cytoglobins-1: Cold-reactivity in multi-ligand reactions</t>
  </si>
  <si>
    <t>COMPUTATIONAL AND STRUCTURAL BIOTECHNOLOGY JOURNAL</t>
  </si>
  <si>
    <t>Cytoglobin; Cold-adaptation; Ligand properties; NO dioxygenase; X-ray structure</t>
  </si>
  <si>
    <t>NITRITE REDUCTASE-ACTIVITY; HUMAN NEUROGLOBIN; MIGRATION PATHWAYS; OXYGEN-BINDING; DISULFIDE BOND; HEME-PROTEINS; PEROXYNITRITE; HEMOGLOBIN; MYOGLOBIN; REVEALS</t>
  </si>
  <si>
    <t>While the functions of the recently discovered cytoglobin, ubiquitously expressed in vertebrate tissues, remain uncertain, Antarctic fish provide unparalleled models to study novel protein traits that may arise from cold adaptation. We report here the spectral, ligand-binding and enzymatic properties (peroxynitrite isomerization, nitrite-reductase activity) of cytoglobin-1 from two Antarctic fish, Chaenocephalus aceratus and Dissostichus mawsoni, and present the crystal structure of D. mawsoni cytoglobin-1. The Antarctic cytoglobins-1 display high O-2 affinity, scarcely compatible with an O-2-supply role, a slow rate constant for nitrite-reductase activity, and do not catalyze peroxynitrite isomerization. Compared with mesophilic orthologues, the cold-adapted cytoglobins favor binding of exogenous ligands to the hexa-coordinated bis-histidyl species, a trait related to their higher rate constant for distal-His/heme-Fe dissociation relative to human cytoglobin. At the light of a remarkable 3D-structure conservation, the observed differences in ligand-binding kinetics may reflect Antarctic fish cytoglobin-1 specific features in the dynamics of the heme distal region and of protein matrix cavities, suggesting adaptation to functional requirements posed by the cold environment. Taken together, the biochemical and biophysical data presented suggest that in Antarctic fish, as in humans, cytoglobin-1 unlikely plays a role in O-2 transport, rather it may be involved in processes such as NO detoxification. (C) 2020 The Authors. Published by Elsevier B.V. on behalf of Research Network of Computational and Structural Biotechnology.</t>
  </si>
  <si>
    <t>[Giordano, Daniela; di Prisco, Guido; Verde, Cinzia] CNR, Inst Biosci &amp; BioResources IBBR, Via Pietro Castellino 111, I-80131 Naples, Italy; [Giordano, Daniela; Verde, Cinzia] Stn Zool Anton Dohrn, Dept Biol &amp; Evolut Marine Organisms, I-80121 Naples, Italy; [Pesce, Alessandra] Univ Genoa, Dept Phys, Via Dodecaneso 33, I-16121 Genoa, Italy; [Vermeylen, Stijn; Berghmans, Herald; Dewilde, Sylvia] Univ Antwerp, Dept Biomed Sci, Univ Pl 1, B-2610 Antwerp, Belgium; [Abbruzzetti, Stefania; Viappiani, Cristiano] Univ Parma, Dept Math Phys &amp; Comp Sci, Parco Area Sci 7A, I-43124 Parma, Italy; [Nardini, Marco; Bolognesi, Martino] Univ Milan, Dept Biosci, Via Celoria 26, I-20133 Milan, Italy; [Marchesani, Francesco; Bruno, Stefano] Univ Parma, Dept Food &amp; Drug, Parco Area Sci 23A, I-43124 Parma, Italy; [Seira, Constanti; Luque, F. Javier] Univ Barcelona, Inst Biomed IBUB, Fac Pharm &amp; Food Sci, Dept Nutr Food Sci &amp; Gastron, Av Prat de la Riba 171, E-08921 Santa Coloma De Gramenet, Spain; [Seira, Constanti; Luque, F. Javier] Univ Barcelona, Inst Theoret &amp; Computat Chem IQTCUB, Av Prat de la Riba 171, E-08921 Santa Coloma De Gramenet, Spain; [Ascenzi, Paolo] Roma Tre Univ, Interdept Lab Electron Microscopy, Via Vasca Navale 79, I-00146 Rome, Italy</t>
  </si>
  <si>
    <t>Consiglio Nazionale delle Ricerche (CNR); Istituto di Bioscienze e Biorisorse (IBBR-CNR); Stazione Zoologica Anton Dohrn di Napoli; University of Genoa; University of Antwerp; University of Parma; University of Milan; University of Parma; University of Barcelona; University of Barcelona; Roma Tre University</t>
  </si>
  <si>
    <t>Verde, C (corresponding author), CNR, Inst Biosci &amp; BioResources IBBR, Via Pietro Castellino 111, I-80131 Naples, Italy.;Dewilde, S (corresponding author), Univ Antwerp, Dept Biomed Sci, Univ Pl 1, B-2610 Antwerp, Belgium.;Viappiani, C (corresponding author), Univ Parma, Dept Math Phys &amp; Comp Sci, Parco Area Sci 7A, I-43124 Parma, Italy.;Bolognesi, M (corresponding author), Univ Milan, Dept Biosci, Via Celoria 26, I-20133 Milan, Italy.</t>
  </si>
  <si>
    <t>cinzia.verde@ibbr.cnr.it</t>
  </si>
  <si>
    <t>Viappiani, Cristiano/AAC-7579-2019; Luque, F. Javier/L-9652-2014; abbruzzetti, stefania/AAE-5518-2020; Giordano, Daniela/AFK-7772-2022; Bolognesi, Martino/B-7924-2017; Bruno, Stefano/A-4582-2011</t>
  </si>
  <si>
    <t>Viappiani, Cristiano/0000-0001-7470-4770; Luque, F. Javier/0000-0002-8049-3567; abbruzzetti, stefania/0000-0001-7685-8554; Giordano, Daniela/0000-0002-8891-6245; Bruno, Stefano/0000-0002-7890-2472; VERDE, Cinzia/0000-0001-6185-282X; Berghmans, Herald/0000-0003-1871-6739; Marchesani, Francesco/0000-0003-4384-9015</t>
  </si>
  <si>
    <t>Italian National Programme for Antarctic Research (PNRA) [2016/AZ1.06, PNRA16_00043, 2016/AZ1.20, PNRA16_00128]; Fondazione di Piacenza e Vigevano; Azienda USL di Piacenza; Ministerio de Economia y Competitividad [SAF2017-88107-R]; Spanish Structures of Excellence Maria de Maeztu [MDM-20170767]; Generalitat de Catalunya [2017SGR1746]</t>
  </si>
  <si>
    <t>Italian National Programme for Antarctic Research (PNRA); Fondazione di Piacenza e Vigevano; Azienda USL di Piacenza; Ministerio de Economia y Competitividad(Spanish Government); Spanish Structures of Excellence Maria de Maeztu; Generalitat de Catalunya(Generalitat de Catalunya)</t>
  </si>
  <si>
    <t>This study was financially supported by the Italian National Programme for Antarctic Research (PNRA) (2016/AZ1.06-Project PNRA16_00043 and 2016/AZ1.20-Project PNRA16_00128). It was carried out in the framework of the SCAR Programmes Antarctic Thresholds-Ecosystem Resilience and Adaptation (AnT-ERA). SA and C Viappiani acknowledge support from Fondazione di Piacenza e Vigevano and Azienda USL di Piacenza. CS and FJL are grateful to the Ministerio de Economia y Competitividad (SAF2017-88107-R), Spanish Structures of Excellence Maria de Maeztu (MDM-20170767) and the Generalitat de Catalunya (2017SGR1746) for financial support, and the Barcelona Supercomputing Center (BCV2016-3-0015) for computational resources. We wish to thank Luc Moens (University of Antwerp) for critically reading the manuscript.</t>
  </si>
  <si>
    <t>2001-0370</t>
  </si>
  <si>
    <t>COMPUT STRUCT BIOTEC</t>
  </si>
  <si>
    <t>Comp. Struct. Biotechnol. J..</t>
  </si>
  <si>
    <t>10.1016/j.csbj.2020.08.007</t>
  </si>
  <si>
    <t>PR6MM</t>
  </si>
  <si>
    <t>WOS:000607348200013</t>
  </si>
  <si>
    <t>Kamrani, E; Daliri, M; Jentoft, S</t>
  </si>
  <si>
    <t>Kamrani, E.; Daliri, M.; Jentoft, S.</t>
  </si>
  <si>
    <t>Promoting governability in small-scale capture fisheries in the Persian Gulf: The case of Qeshm Island</t>
  </si>
  <si>
    <t>IRANIAN JOURNAL OF FISHERIES SCIENCES</t>
  </si>
  <si>
    <t>Capture fisheries; Fisheries governance; Governability; Small-scale fisheries; Persian Gulf</t>
  </si>
  <si>
    <t>COMMUNITIES; MANAGEMENT; GOVERNANCE; FUTURE</t>
  </si>
  <si>
    <t>The present study examines the fisheries governance status of small-scale capture fisheries in the northern Persian Gulf Qeshm Island, which is selected as case study, plays a prominent role in fisheries in the Persian Gulf and territorial waters of the country. The research methodology included in-depth and semi-structured interviews with heads of fisheries cooperatives and fishers to deepen our understanding of the cultural and technical characteristics of local fisheries communities. Subsequently, data was drawn from 322 questionnaires, using a random sampling technique. The analyses indicate that fisheries co-management is at an interstitial situation, while the fishers are willing to cooperate with the government. A finding is also showed that literacy has a significant effect on fishers' willingness to cooperate with government. There was also a considerable conflict of interest among the fisheries communities in the study area, which makes the implementation of rules difficult. Small-scale fishing communities are generally in a hard-pressed situation, which affects how fishers operate. Our study aims to contribute to improving the governance and governability of small-scale capture fisheries in the region.</t>
  </si>
  <si>
    <t>[Kamrani, E.; Daliri, M.] Univ Hormozgan, Fac Marine Sci &amp; Technol, Fisheries Dept, Bandar Abbas, Iran; [Kamrani, E.; Daliri, M.] Univ Hormozgan, Res Dept Fisheries Management &amp; Sustainable Dev M, Bandar Abbas, Iran; [Jentoft, S.] Univ Tromso, Norwegian Coll Fishery Sci, N-9037 Tromso, Norway</t>
  </si>
  <si>
    <t>University of Hormozgan; University of Hormozgan; UiT The Arctic University of Tromso</t>
  </si>
  <si>
    <t>Daliri, M (corresponding author), Univ Hormozgan, Fac Marine Sci &amp; Technol, Fisheries Dept, Bandar Abbas, Iran.;Daliri, M (corresponding author), Univ Hormozgan, Res Dept Fisheries Management &amp; Sustainable Dev M, Bandar Abbas, Iran.</t>
  </si>
  <si>
    <t>daliri.phd@hormozgan.ac.ir</t>
  </si>
  <si>
    <t>Kamrani, Ehsan/E-2307-2012; daliri, Moslem/AAI-5660-2021</t>
  </si>
  <si>
    <t>Kamrani, Ehsan/0000-0002-0919-1179;</t>
  </si>
  <si>
    <t>Research and Technology Office of the University of Hormozgan</t>
  </si>
  <si>
    <t>The authors wish to thank the Research and Technology Office of the University of Hormozgan for their supports and funds. We are also grateful artisanal fishers for participating in this project research. We express sincere gratitude to Dr. Andrew Fischer (from Institute for Marine and Antarctic Studies, University of Tasmania, Launceston, Australia) for their valuable comments that helped in improving the manuscript.</t>
  </si>
  <si>
    <t>IRANIAN FISHERIES SCIENCE RESEARCH INST-IFSRI</t>
  </si>
  <si>
    <t>TEHRAN</t>
  </si>
  <si>
    <t>IRANIAN FISH SCI RES INST,TEHRAN-KARAJ HWY, EXIT PAYKAN SHAHR, SARVENAZ AVE, SARVE AZAD AVE, W 8 ST, TEHRAN, 00000, IRAN</t>
  </si>
  <si>
    <t>1562-2916</t>
  </si>
  <si>
    <t>IRAN J FISH SCI</t>
  </si>
  <si>
    <t>Iran. J. Fish. Sci.</t>
  </si>
  <si>
    <t>10.22092/ijfs.2020.122926</t>
  </si>
  <si>
    <t>PH3VF</t>
  </si>
  <si>
    <t>WOS:000600344000016</t>
  </si>
  <si>
    <t>Hollis, CJ; Pascher, KM; Sanfilippo, A; Nishimura, A; Kamikuri, S; Shepherd, CL</t>
  </si>
  <si>
    <t>Hollis, Christopher J.; Pascher, Kristina M.; Sanfilippo, Annika; Nishimura, Akiko; Kamikuri, Shin-ichi; Shepherd, Claire L.</t>
  </si>
  <si>
    <t>An Austral radiolarian biozonation for the Paleogene</t>
  </si>
  <si>
    <t>STRATIGRAPHY</t>
  </si>
  <si>
    <t>Biostratigraphy; Paleogene; radiolarians; Austral; Tropical; Pacific Ocean; Indian Ocean; Southern Ocean; Atlantic Ocean</t>
  </si>
  <si>
    <t>SOUTHWEST PACIFIC-OCEAN; MEAD STREAM; CLARENCE VALLEY; MIDDLE EOCENE; NEW-ZEALAND; CRETACEOUS/TERTIARY BOUNDARY; PALEOENVIRONMENTAL CHANGES; FLAXBOURNE RIVER; EARLY MIOCENE; CODE NUMBERS</t>
  </si>
  <si>
    <t>We have integrated southern mid- and high-latitude (Austral) radiolarian biozonations with the well-established low-latitude (Tropical) biozonation using new biostratigraphic and magnetostratigraphic constraints on radiolarian bioevents in the Southwest (SW) Pacific, Southeast (SE) Indian and Northwest (NW) Atlantic Oceans. Our primary study sites include Mead Stream, New Zealand, and DSDP Sites 277 and 207 (SW Pacific; 45-54 degrees S at 50 Ma), ODP Site 752 and IODP Site U1514 (SE Indian; 50 degrees S at 50 Ma), and IODP Site U1403 (NW Atlantic; 30 degrees N at 50 Ma). The Austral and Tropical zonal schemes have been calibrated to GPTS2020. We introduce new zonal codes to rectify current confusion surrounding use of RP zones. Austral zones are codified as RPA zones and Tropical zones are codified as RPT. Our study finds that radiolarian datums are generally isochronous within the mid-latitude SW Pacific and SE Indian Oceans from Paleocene to middle Eocene and are also isochronous in the high-latitude Southern Ocean (&gt;60 degrees S paleolatitude) over the late middle Eocene to Oligocene interval of overlap. Older radiolarian assemblages are not known from the Southern Ocean. Early-middle Paleocene radiolarian assemblages in the SE Indian Ocean (zones RPA2-RPA5) differ from coeval SW Pacific assemblages by lacking significant numbers of Cretaceous survivors. The reasons for this difference are uncertain. Although the late Paleocene-Eocene radiolarian assemblages in the SW Pacific and SE Indian Ocean lack many low-latitude index species, the timing of Indian Ocean bioevents agrees better with low-latitude biozonations than the SW Pacific, suggesting a stronger connection with low-latitude watermasses. Assemblages from NW Atlantic IODP Site U1403 include numerous low-latitude index species and can be correlated with zones RPT6-RPT13. Many of the species transitions in biostratigraphically important Eocene lineages, however, occur later than in lower latitudes.</t>
  </si>
  <si>
    <t>[Hollis, Christopher J.; Pascher, Kristina M.; Shepherd, Claire L.] GNS Sci, Lower Hutt, New Zealand; [Sanfilippo, Annika] UCSD, Scripps Inst Oceanog, La Jolla, CA USA; [Nishimura, Akiko] 3212 Satoyamabe, Matsumoto, Nagano, Japan; [Kamikuri, Shin-ichi] Ibaraki Univ, Fac Educ, Mito, Ibaraki, Japan</t>
  </si>
  <si>
    <t>GNS Science - New Zealand; University of California System; University of California San Diego; Scripps Institution of Oceanography; Ibaraki University</t>
  </si>
  <si>
    <t>Hollis, CJ (corresponding author), GNS Sci, Lower Hutt, New Zealand.</t>
  </si>
  <si>
    <t>c.hollis@gns.cri.nz</t>
  </si>
  <si>
    <t>Hollis, Christopher John/0000-0001-8840-9852</t>
  </si>
  <si>
    <t>New Zealand Marsden Fund; GNS Science Strategic Science Investment Fund; Antarctic Research Centre, Victoria University of Wellington; Australian and New Zealand IODP Consortium (ANZIC)</t>
  </si>
  <si>
    <t>New Zealand Marsden Fund(Royal Society of New ZealandMarsden Fund (NZ)); GNS Science Strategic Science Investment Fund; Antarctic Research Centre, Victoria University of Wellington; Australian and New Zealand IODP Consortium (ANZIC)</t>
  </si>
  <si>
    <t>CJH, KMP and CLS acknowledge support from the New Zealand Marsden Fund and the GNS Science Strategic Science Investment Fund. KMP also acknowledges support from the Antarctic Research Centre, Victoria University of Wellington. CJH and KMP acknowledge support from the Australian and New Zealand IODP Consortium (ANZIC) to participate in IODP expeditions 342 and 371, respectively. Samples from DSDP sites 207 and 277, ODP Site 752 and IODP Sites U1403 and U1514 were provided by the International Ocean Discovery Program. CJH thanks the IODP Expedition 369 science party for encouraging radiolarian study of Site U1514. Samples were processed by Anita Nicholls, Michelle Dow and Sonja Bermudez. Text-figure 3 was prepared by Hannu Seebeck. The manuscript has benefitted from reviews by Giuseppe Cortese, C. Percy Strong, David Lazarus and Robert Speijer.</t>
  </si>
  <si>
    <t>MICRO PRESS</t>
  </si>
  <si>
    <t>FLUSHING</t>
  </si>
  <si>
    <t>6530 KISSENA BLVD, FLUSHING, NY 11367 USA</t>
  </si>
  <si>
    <t>1547-139X</t>
  </si>
  <si>
    <t>2331-656X</t>
  </si>
  <si>
    <t>Stratigraphy</t>
  </si>
  <si>
    <t>10.29041/strat.17.4.213-278</t>
  </si>
  <si>
    <t>PG0VK</t>
  </si>
  <si>
    <t>WOS:000599462200001</t>
  </si>
  <si>
    <t>Suganuma, Y; Ishiwa, T; Kawamata, M; Okuno, J; Katsuki, K; Itaki, T; Seki, O; Kaneda, H; Matsui, H; Haneda, Y; Fujii, M; Hirano, D</t>
  </si>
  <si>
    <t>Suganuma, Yusuke; Ishiwa, Takeshige; Kawamata, Moto; Okuno, Jun'chi; Katsuki, Kota; Itaki, Takuya; Seki, Osamu; Kaneda, Heitaro; Matsui, Hiroki; Haneda, Yuki; Fujii, Masakazu; Hirano, Daisuke</t>
  </si>
  <si>
    <t>Perspectives on a Seamless Marine-lake Sediment Coring Study in East Antarctica</t>
  </si>
  <si>
    <t>JOURNAL OF GEOGRAPHY-CHIGAKU ZASSHI</t>
  </si>
  <si>
    <t>Japanese</t>
  </si>
  <si>
    <t>East Antarctica; Antarctic Ice Sheet (AIS); sea-level change; seamless sediment coring; Glacial Isostatic Adjustment (GIA)</t>
  </si>
  <si>
    <t>LUTZOW-HOLM BAY; ICE-SHEET RETREAT; SEA-LEVEL RISE; SOR-RONDANE MOUNTAINS; LATE PLEISTOCENE; PRYDZ BAY; ISOSTATIC-ADJUSTMENT; MELTING HISTORY; HOLOCENE; SURFACE</t>
  </si>
  <si>
    <t>The Antarctic Ice Sheet (AIS) is one of the largest potential contributors to future sea-level changes. Recently, an acceleration of AIS volume loss through basal melting and iceberg calving has been reported based on several studies using satellite observations, including radar altimetry, interferometer, and gravity measurements. A recent model that couples ice sheet and climate dynamics and incorporates hydrofracturing mechanism of buttressing ice shelves predicts a higher sea-level rise scenario for the next 500 years. However, the calibration and reproducibility of the sea-level rise projection from these models relies on geological sea-level reconstructions of past warm intervals. This suggests that a highly reliable reconstruction of the past AIS is essential for evaluating its stability and anticipating its contribution to future sea-level rise. In particular, a relative sea-level reconstruction in East Antarctica is the key to solving the problems and refining future projections. The current understanding of sea-level change along the East Antarctic margin is reviewed, including Glacial Isostatic Adjustment (GIA) effects, and a new strategy is proposed to address this topic based on seamless sediment coring from marine to lake in the East Antarctic margin. This project will provide essential data on AIS change since the last interglacial period.</t>
  </si>
  <si>
    <t>[Suganuma, Yusuke; Ishiwa, Takeshige; Okuno, Jun'chi; Haneda, Yuki; Fujii, Masakazu] Natl Inst Polar Res, Tachikawa, Tokyo 1908518, Japan; [Suganuma, Yusuke; Kawamata, Moto; Okuno, Jun'chi; Fujii, Masakazu] Grad Univ Adv Studies SOKENDAI, Dept Polar Sci, Sch Multidisciplinary Sci, Tachikawa, Tokyo 1908518, Japan; [Katsuki, Kota] Shimane Univ, Estuary Res Ctr, Matsue, Shimane 6908504, Japan; [Itaki, Takuya; Haneda, Yuki] AIST, Geol Survey Japan, Tsukuba, Ibaraki 3058567, Japan; [Seki, Osamu; Hirano, Daisuke] Hokkaido Univ, Inst Low Temp Sci, Sapporo, Hokkaido 0600819, Japan; [Kaneda, Heitaro] Chuo Univ, Fac Sci &amp; Engn, Tokyo 1128551, Japan; [Matsui, Hiroki] Akita Univ, Grad Sch Int Resource Sci, Akita 0108502, Japan; [Matsui, Hiroki] Kochi Univ, Ctr Adv Marine Core Res, Nankoku, Kochi 7838502, Japan; [Hirano, Daisuke] Hokkaido Univ, Arctic Res Ctr, Sapporo, Hokkaido 0010021, Japan</t>
  </si>
  <si>
    <t>Research Organization of Information &amp; Systems (ROIS); National Institute of Polar Research (NIPR) - Japan; Graduate University for Advanced Studies - Japan; Shimane University; National Institute of Advanced Industrial Science &amp; Technology (AIST); Hokkaido University; Chuo University; Akita University; Kochi University; Hokkaido University</t>
  </si>
  <si>
    <t>Suganuma, Y (corresponding author), Natl Inst Polar Res, Tachikawa, Tokyo 1908518, Japan.;Suganuma, Y (corresponding author), Grad Univ Adv Studies SOKENDAI, Dept Polar Sci, Sch Multidisciplinary Sci, Tachikawa, Tokyo 1908518, Japan.</t>
  </si>
  <si>
    <t>Haneda, Yuki/AAZ-7415-2021; Hirano, Daisuke/P-3963-2019; Ishiwa, Takeshige/AAH-6406-2021; Matsui, Hiroki/Q-2041-2016</t>
  </si>
  <si>
    <t>Ishiwa, Takeshige/0000-0002-7566-4421; Matsui, Hiroki/0000-0002-6985-7083; Kawamata, Moto/0000-0002-0220-079X; suganuma, yusuke/0000-0003-3516-1317</t>
  </si>
  <si>
    <t>Grants-in-Aid for Scientific Research [20H04972] Funding Source: KAKEN</t>
  </si>
  <si>
    <t>Grants-in-Aid for Scientific Research(Ministry of Education, Culture, Sports, Science and Technology, Japan (MEXT)Japan Society for the Promotion of ScienceGrants-in-Aid for Scientific Research (KAKENHI))</t>
  </si>
  <si>
    <t>TOKYO GEOGRAPHICAL SOC</t>
  </si>
  <si>
    <t>12-2 NIBANCHO, CHIYODAKU-KU, TOKYO, 102-0084, JAPAN</t>
  </si>
  <si>
    <t>0022-135X</t>
  </si>
  <si>
    <t>1884-0884</t>
  </si>
  <si>
    <t>J GEOGR-TOKYO</t>
  </si>
  <si>
    <t>J. Geogr.</t>
  </si>
  <si>
    <t>10.5026/jgeography.129.591</t>
  </si>
  <si>
    <t>OT6PY</t>
  </si>
  <si>
    <t>WOS:000590967200001</t>
  </si>
  <si>
    <t>Nakazawa, T</t>
  </si>
  <si>
    <t>Nakazawa, Takakiyo</t>
  </si>
  <si>
    <t>Current understanding of the global cycling of carbon dioxide, methane, and nitrous oxide</t>
  </si>
  <si>
    <t>PROCEEDINGS OF THE JAPAN ACADEMY SERIES B-PHYSICAL AND BIOLOGICAL SCIENCES</t>
  </si>
  <si>
    <t>greenhouse gas; carbon dioxide; methane; nitrous oxide; global cycling; climate change</t>
  </si>
  <si>
    <t>ANTARCTIC SEA-ICE; ATMOSPHERIC CO2; ISOTOPIC RATIO; N2O EMISSIONS; MODEL; OCEAN; CH4; VARIABILITY; INCREASE; GROWTH</t>
  </si>
  <si>
    <t>To address the climate change caused by anthropogenic emissions of greenhouse gases into the atmosphere, it is essential to understand and quantitatively elucidate their cycling on the Earth's surface. This paper first presents an overview of the global cycling of three greenhouse gases, carbon dioxide (CO2), methane (CH4), and nitrous oxide (N2O), followed by a description of their variations in the atmosphere. This paper then presents the recent global budgets of these greenhouse gases estimated using two different approaches, top-down and bottom-up. Discussions on our current knowledge regarding the global cycling of the three gases are also presented.</t>
  </si>
  <si>
    <t>[Nakazawa, Takakiyo] Tohoku Univ, Fac Sci, Grad Sch Sci, Sendai, Miyagi, Japan</t>
  </si>
  <si>
    <t>Tohoku University</t>
  </si>
  <si>
    <t>Nakazawa, T (corresponding author), Tohoku Univ, Ctr Atmospher &amp; Ocean Studies, Grad Sch Sci, Sendai, Miyagi 9808578, Japan.</t>
  </si>
  <si>
    <t>nakazawa@tohoku.ac.jp</t>
  </si>
  <si>
    <t>JAPAN ACAD</t>
  </si>
  <si>
    <t>7-32, UENO PARK, TAITO-KU, TOKYO, 110-0007, JAPAN</t>
  </si>
  <si>
    <t>0386-2208</t>
  </si>
  <si>
    <t>1349-2896</t>
  </si>
  <si>
    <t>P JPN ACAD B-PHYS</t>
  </si>
  <si>
    <t>Proc. Jpn. Acad. Ser. B-Phys. Biol. Sci.</t>
  </si>
  <si>
    <t>10.2183/pjab.96.030</t>
  </si>
  <si>
    <t>PH3QQ</t>
  </si>
  <si>
    <t>WOS:000600332100002</t>
  </si>
  <si>
    <t>Krylov, AA; Matthiessen, J; Nam, SI; Stein, R; Bazhenova, EA; Mirolubova, ES; Gusev, EA; Malyshev, SA; Makarov, AS</t>
  </si>
  <si>
    <t>Krylov, Alexey A.; Matthiessen, Jens; Nam, Seung-Il; Stein, Ruediger; Bazhenova, Evgenia A.; Mirolubova, Elena S.; Gusev, Evgeny A.; Malyshev, Sergey A.; Makarov, Alexander S.</t>
  </si>
  <si>
    <t>Origin of the coarse-grained (&gt; 1 cm) clasts from the Mendeleev Ridge area (Central Arctic Ocean)</t>
  </si>
  <si>
    <t>VESTNIK OF SAINT PETERSBURG UNIVERSITY EARTH SCIENCES</t>
  </si>
  <si>
    <t>Mendeleev Ridge; Arctic Ocean; dropstones; iceberg rafting</t>
  </si>
  <si>
    <t>SEA-ICE; SEDIMENTS; CIRCULATION; RECORD; ENTRAINMENT; PROVENANCE; DYNAMICS; INSIGHTS; EXPORT; BASIN</t>
  </si>
  <si>
    <t>The morphometric and petrographic characteristics of the coarse-grained clasts (&gt; 1 cm) sampled from the sediments of the Amerasian Basin, Central Arctic Ocean, were studied. Most of the clasts are represented by dolomites (46,4%), sandstones (22,8%) and limestones (19,8%); the amount of other rocks fragments (chert, shale, igneous) is about 10%. A variety of lithological types were identified among the studied rock fragments. Limestones and dolomitic limestones often contain fragments of fauna. The majority of clasts is poorly rounded and characterized by a wide variety of shapes. More than half of the studied clasts have a size of 1-2 cm, a quarter - 2-3 cm, and larger clasts only occur in insignificant amounts. Geophysical surveys across the sampling sites showed a lack of bedrock outcrops, so the studied coarse-grained clasts are not of local origin. It is concluded that they were predominantly delivered from the Canadian Arctic Archipelago (likely from the platform area, e.g., Victoria Island), mainly due to iceberg rafting during deglaciation periods. The maximum possible contribution of the clasts from the Siberian sources is less than 23%. Distribution of the coarse-grained clasts argues for the existence of a quite stable ice drift path in the past, which is similar to the modern Beaufort Gyre.</t>
  </si>
  <si>
    <t>[Krylov, Alexey A.; Mirolubova, Elena S.; Gusev, Evgeny A.; Malyshev, Sergey A.] VNIIOkeangeologia, Angliyskiy Pr 1, St Petersburg 190121, Russia; [Krylov, Alexey A.; Bazhenova, Evgenia A.] St Petersburg State Univ, Univ Skaya Nab 7-9, St Petersburg 199034, Russia; [Krylov, Alexey A.; Malyshev, Sergey A.; Makarov, Alexander S.] Arctic &amp; Antarctic Res Inst, Bering Str 38, St Petersburg 199397, Russia; [Matthiessen, Jens; Stein, Ruediger] Alfred Wegener Inst AWI, Helmholtz Ctr Polar &amp; Marine Res, Handelshafen 12, D-27570 Bremerhaven, Germany; [Nam, Seung-Il] Korea Polar Res Inst KOPRI, Div Polar Paleoenvironm, Songdomirae Ro 26, Incheon 21990, South Korea; [Stein, Ruediger] Univ Bremen, MARUM Ctr Marine Environm Sci, Leobener Str 8, D-28359 Bremen, Germany; [Stein, Ruediger] Univ Bremen, Fac Geosci, Leobener Str 8, D-28359 Bremen, Germany</t>
  </si>
  <si>
    <t>Saint Petersburg State University; Arctic &amp; Antarctic Research Institute; Helmholtz Association; Alfred Wegener Institute, Helmholtz Centre for Polar &amp; Marine Research; Korea Polar Research Institute (KOPRI); University of Bremen; University of Bremen</t>
  </si>
  <si>
    <t>Krylov, AA (corresponding author), VNIIOkeangeologia, Angliyskiy Pr 1, St Petersburg 190121, Russia.</t>
  </si>
  <si>
    <t>akrylow@gmail.com; Jens.Matthiessen@awi.de; sinam@kopri.re.kr; Ruediger.Stein@awi.de; evgeniabazhenova@gmail.com; mirolubova@mail.ru; gus-evgeny@yandex.ru; serg.i-karamba@yandex.ru; makarov@aari.ru</t>
  </si>
  <si>
    <t>Makarov, Andrei Sergeevich/H-4156-2013; Krylov, Alexey/J-4174-2014; Gusev, Evgeny A/C-5156-2012; Bazhenova, Evgenia/G-1505-2015</t>
  </si>
  <si>
    <t>Gusev, Evgeny A/0000-0001-6045-0730; Bazhenova, Evgenia/0000-0002-8092-702X</t>
  </si>
  <si>
    <t>Russian Ministry of Education and Science [RFMEFI61619X0108]</t>
  </si>
  <si>
    <t>Russian Ministry of Education and Science(Ministry of Education and Science, Russian Federation)</t>
  </si>
  <si>
    <t>The research is supported by the Russian Ministry of Education and Science, project Arctic Transpolar System in Transitional Climatic Conditions (RFMEFI61619X0108). Comments from anonymous reviewers helped improving the manuscript.</t>
  </si>
  <si>
    <t>ST PETERSBURG UNIV PRESS</t>
  </si>
  <si>
    <t>ST PETERSBURG</t>
  </si>
  <si>
    <t>6TH LINE VO, 11, ST PETERSBURG, 199004, RUSSIA</t>
  </si>
  <si>
    <t>2541-9668</t>
  </si>
  <si>
    <t>2587-585X</t>
  </si>
  <si>
    <t>VESTN ST PETER U-EAR</t>
  </si>
  <si>
    <t>Vestn. St. Petersb. Univ. Earth Sci.</t>
  </si>
  <si>
    <t>10.21638/spbu07.2020.411</t>
  </si>
  <si>
    <t>PA2BF</t>
  </si>
  <si>
    <t>WOS:000595437000010</t>
  </si>
  <si>
    <t>McGee, J; Leane, E</t>
  </si>
  <si>
    <t>Leane, E; McGee, J</t>
  </si>
  <si>
    <t>McGee, Jeffrey; Leane, Elizabeth</t>
  </si>
  <si>
    <t>Antarctica looking forward Four themes</t>
  </si>
  <si>
    <t>ANTHROPOCENE ANTARCTICA: PERSPECTIVES FROM THE HUMANITIES, LAW AND SOCIAL SCIENCES</t>
  </si>
  <si>
    <t>Routledge Environmental Humanities</t>
  </si>
  <si>
    <t>[McGee, Jeffrey] Univ Tasmania, Fac Law, Climate Change Marine &amp; Antarctic Law, Hobart, Tas, Australia; [McGee, Jeffrey] Univ Tasmania, Inst Marine &amp; Antarctic Studies, Hobart, Tas, Australia; [McGee, Jeffrey] Univ Tasmania, Australian Forum Climate Intervent Governance, Hobart, Tas, Australia; [McGee, Jeffrey] Univ Tasmania, Ctr Marine Socioecol, Hobart, Tas, Australia; [McGee, Jeffrey] Amer Univ, Forum Climate Engn Assessment, Washington, DC 20016 USA; [Leane, Elizabeth] Univ Tasmania, English, Hobart, Tas, Australia</t>
  </si>
  <si>
    <t>University of Tasmania; University of Tasmania; University of Tasmania; University of Tasmania; American University; University of Tasmania</t>
  </si>
  <si>
    <t>McGee, J (corresponding author), Univ Tasmania, Fac Law, Climate Change Marine &amp; Antarctic Law, Hobart, Tas, Australia.;McGee, J (corresponding author), Univ Tasmania, Inst Marine &amp; Antarctic Studies, Hobart, Tas, Australia.;McGee, J (corresponding author), Univ Tasmania, Australian Forum Climate Intervent Governance, Hobart, Tas, Australia.;McGee, J (corresponding author), Univ Tasmania, Ctr Marine Socioecol, Hobart, Tas, Australia.;McGee, J (corresponding author), Amer Univ, Forum Climate Engn Assessment, Washington, DC 20016 USA.</t>
  </si>
  <si>
    <t>ROUTLEDGE</t>
  </si>
  <si>
    <t>2 PARK SQ, MILTON PARK, ABINGDON OX14 4RN, OXFORD, ENGLAND</t>
  </si>
  <si>
    <t>978-0-429-42970-5; 978-1-138-36759-3</t>
  </si>
  <si>
    <t>ROUT ENVIRON HUM</t>
  </si>
  <si>
    <t>Environmental Studies; Geography</t>
  </si>
  <si>
    <t>Environmental Sciences &amp; Ecology; Geography</t>
  </si>
  <si>
    <t>BO2UI</t>
  </si>
  <si>
    <t>WOS:000508916300013</t>
  </si>
  <si>
    <t>Gu, Q; Grogan, P</t>
  </si>
  <si>
    <t>Gu, Qian; Grogan, Paul</t>
  </si>
  <si>
    <t>Responses of low Arctic tundra plant species to experimental manipulations: differences between abiotic and biotic factors, and between short- and long-term effects (vol 52, pg 524, 2020)</t>
  </si>
  <si>
    <t>Grogan, Paul T/AAU-1504-2021</t>
  </si>
  <si>
    <t>Grogan, Paul T/0000-0001-8986-4806</t>
  </si>
  <si>
    <t>10.1080/15230430.2020.1844519</t>
  </si>
  <si>
    <t>PG5HU</t>
  </si>
  <si>
    <t>WOS:000599766500001</t>
  </si>
  <si>
    <t>Lo Giudice, A; Gugliandolo, C</t>
  </si>
  <si>
    <t>Lo Giudice, Angelina; Gugliandolo, Concetta</t>
  </si>
  <si>
    <t>A Special Issue on Microorganisms from Extreme Environments in Memory of Luigi Michaud (1974-2014)</t>
  </si>
  <si>
    <t>extremophiles; biotechnological potentialities; microbial life in extreme environments</t>
  </si>
  <si>
    <t>A special issue (SI) titled Microbial Diversity in Extreme Environments: Implications for Ecological and Applicative Perspectives has been launched with the aim of showcasing the diversity and biotechnological potential of extremophilic microorganisms. The issue includes 10 research papers and four reviews that mainly address prokaryotes inhabiting hyperarid, hypercold, hyperalkaline and hypersaline (or polyextreme) environments, spanning from deserts to meromictic and glacier lakes around the globe. Thermophilic prokaryotes from shallow hydrothermal vents and Antarctic geothermal soils are also treated. The ecology and biotechnological perspectives of eukaryotes are discussed in two review papers and one research paper. This special issue serves as a memorial to Dr. Luigi Michaud (1974-2014), who dramatically passed away in Antarctica during underwater sampling activities.</t>
  </si>
  <si>
    <t>[Lo Giudice, Angelina] CNR, ISP, Spianata San Raineri 86, I-98122 Messina, Italy; [Gugliandolo, Concetta] Univ Messina, Dept Chem Biol Pharmaceut &amp; Environm Sci ChiBioFa, Viale F Stagno Alcontres 31, I-98168 Messina, Italy</t>
  </si>
  <si>
    <t>Consiglio Nazionale delle Ricerche (CNR); Istituto di Scienze Polari (ISP-CNR); University of Messina</t>
  </si>
  <si>
    <t>Lo Giudice, A (corresponding author), CNR, ISP, Spianata San Raineri 86, I-98122 Messina, Italy.</t>
  </si>
  <si>
    <t>angelina.logiudice@cnr.it; cgugliandolo@unime.it</t>
  </si>
  <si>
    <t>Gugliandolo, Concetta/L-6855-2015</t>
  </si>
  <si>
    <t>Gugliandolo, Concetta/0000-0002-9125-3999</t>
  </si>
  <si>
    <t>10.3390/d12010002</t>
  </si>
  <si>
    <t>KK8XK</t>
  </si>
  <si>
    <t>WOS:000513019300036</t>
  </si>
  <si>
    <t>Basar, E</t>
  </si>
  <si>
    <t>Basar, Ersan</t>
  </si>
  <si>
    <t>Antarctic Research Strategy of Turkey</t>
  </si>
  <si>
    <t>JOURNAL OF ETA MARITIME SCIENCE</t>
  </si>
  <si>
    <t>[Basar, Ersan] Karadeniz Tech Univ, Fac Marine Sci, Trabzon, Turkey</t>
  </si>
  <si>
    <t>Karadeniz Technical University</t>
  </si>
  <si>
    <t>Basar, E (corresponding author), Karadeniz Tech Univ, Fac Marine Sci, Trabzon, Turkey.</t>
  </si>
  <si>
    <t>ebasar@ktu.edu.tr</t>
  </si>
  <si>
    <t>Basar, Ersan/AAG-4396-2019</t>
  </si>
  <si>
    <t>Basar, Ersan/0000-0002-1458-4102</t>
  </si>
  <si>
    <t>CHAMBER MARINE ENGINEERS</t>
  </si>
  <si>
    <t>SAHRAYICEDIT MAH HALK SK GOLDEN PLAZA NO 29 C BLOK KAT 3 D 6 KADIKOY, ISTANBUL, TURKEY</t>
  </si>
  <si>
    <t>2147-2955</t>
  </si>
  <si>
    <t>2148-9386</t>
  </si>
  <si>
    <t>J ETA MARIT SCI</t>
  </si>
  <si>
    <t>J. Eta Marit. Sci.</t>
  </si>
  <si>
    <t>10.5505/jems.2020.33254</t>
  </si>
  <si>
    <t>Engineering, Marine; Transportation; Transportation Science &amp; Technology</t>
  </si>
  <si>
    <t>Engineering; Transportation</t>
  </si>
  <si>
    <t>NZ0OR</t>
  </si>
  <si>
    <t>WOS:000576792000007</t>
  </si>
  <si>
    <t>Knight, K</t>
  </si>
  <si>
    <t>Knight, Kathryn</t>
  </si>
  <si>
    <t>Antarctic bald notothens use spleen scuba tank to keep down blood viscosity</t>
  </si>
  <si>
    <t>kathryn.knight@biologists.com</t>
  </si>
  <si>
    <t>jeb221549</t>
  </si>
  <si>
    <t>10.1242/jeb.221549</t>
  </si>
  <si>
    <t>MA2XB</t>
  </si>
  <si>
    <t>WOS:000541780500024</t>
  </si>
  <si>
    <t>Wood, GD</t>
  </si>
  <si>
    <t>Wood, Gillen D'Arcy</t>
  </si>
  <si>
    <t>Interlude: The Antarctic Convergence</t>
  </si>
  <si>
    <t>LAND OF WONDROUS COLD: THE RACE TO DISCOVER ANTARCTICA AND UNLOCK THE SECRETS OF ITS ICE</t>
  </si>
  <si>
    <t>PRINCETON UNIV PRESS</t>
  </si>
  <si>
    <t>PRINCETON</t>
  </si>
  <si>
    <t>41 WILLIAM ST, PRINCETON, NJ 08540 USA</t>
  </si>
  <si>
    <t>978-0-691-20168-9; 978-0-691-17220-0</t>
  </si>
  <si>
    <t>Environmental Studies; History &amp; Philosophy Of Science</t>
  </si>
  <si>
    <t>Environmental Sciences &amp; Ecology; History &amp; Philosophy of Science</t>
  </si>
  <si>
    <t>BO8RP</t>
  </si>
  <si>
    <t>WOS:000529162100015</t>
  </si>
  <si>
    <t>Ellwood, MJ; Boyd, PW; Cornwall, CE; Croot, P; Currie, KI; Frew, RD; Hurd, CL; Law, C; Liss, PS; McGraw, CM; Mosley, LM; Sander, SG; Stirling, C; Zitoun, R</t>
  </si>
  <si>
    <t>Ellwood, Michael J.; Boyd, Philip W.; Cornwall, Christopher E.; Croot, Peter; Currie, Kim I.; Frew, Russell D.; Hurd, Catriona L.; Law, Cliff; Liss, Peter S.; McGraw, Christina M.; Mosley, Luke M.; Sander, Sylvia G.; Stirling, Claudine; Zitoun, Rebecca</t>
  </si>
  <si>
    <t>Keith Hunter's legacy to Marine Science in New Zealand</t>
  </si>
  <si>
    <t>MARINE AND FRESHWATER RESEARCH</t>
  </si>
  <si>
    <t>[Ellwood, Michael J.] Australian Natl Univ, Res Sch Earth Sci, Canberra, ACT 2601, Australia; [Boyd, Philip W.; Hurd, Catriona L.] Univ Tasmania, Inst Marine &amp; Antarctic Studies, Hobart, Tas 7004, Australia; [Cornwall, Christopher E.] Victoria Univ Wellington, Sch Biol Sci, Wellington, New Zealand; [Croot, Peter] Natl Univ Ireland, Sch Nat Sci, Galway, Ireland; [Currie, Kim I.; McGraw, Christina M.] Univ Otago, Ctr Chem &amp; Phys Oceanog, Natl Inst Water &amp; Atmospher Res NIWA, Dunedin, New Zealand; [Frew, Russell D.; McGraw, Christina M.; Stirling, Claudine; Zitoun, Rebecca] Univ Otago, Dept Chem, Dunedin, New Zealand; [Law, Cliff] NIWA, Wellington, New Zealand; [Law, Cliff] Univ Otago, Dept Marine Sci, Dunedin, New Zealand; [Liss, Peter S.] Univ East Anglia, Sch Environm Sci, Norwich, Norfolk, England; [Mosley, Luke M.] Univ Adelaide, Ecol &amp; Evolutionary Biol, Adelaide, SA, Australia; [Sander, Sylvia G.] IAEA, Marine Environm Studies Lab, Monaco, Monaco; [Stirling, Claudine] Univ Otago, Ctr Trace Element Anal, Dunedin, New Zealand</t>
  </si>
  <si>
    <t>Australian National University; University of Tasmania; Victoria University Wellington; Ollscoil na Gaillimhe-University of Galway; University of Otago; University of Otago; National Institute of Water &amp; Atmospheric Research (NIWA) - New Zealand; University of Otago; University of East Anglia; University of Adelaide; University of Otago</t>
  </si>
  <si>
    <t>Ellwood, MJ (corresponding author), Australian Natl Univ, Res Sch Earth Sci, Canberra, ACT 2601, Australia.</t>
  </si>
  <si>
    <t>Sander, Sylvia/AAC-3559-2022; LISS, Peter S./A-8219-2013; Boyd, Philip W/J-7624-2014; Cornwall, Christopher Edward/J-3982-2012; Brophy, Deirdre/JQW-0281-2023; Frew, Russell/HDN-6138-2022; Ellwood, Michael J/G-7390-2011; Zitoun, Rebecca/ABH-2295-2020; Frew, Russell/I-5591-2012; Hurd, Catriona/J-2411-2013</t>
  </si>
  <si>
    <t>Sander, Sylvia/0000-0001-9581-9737; Cornwall, Christopher Edward/0000-0002-6154-4082; Ellwood, Michael/0000-0003-4288-8530; Frew, Russell/0000-0002-6138-2116; Zitoun, Rebecca/0000-0001-5539-7701; McGraw, Christina/0000-0001-5841-0748; Law, Cliff/0000-0002-7669-2475; Mosley, Luke/0000-0002-7446-8955; Hurd, Catriona/0000-0001-9965-4917</t>
  </si>
  <si>
    <t>1323-1650</t>
  </si>
  <si>
    <t>1448-6059</t>
  </si>
  <si>
    <t>MAR FRESHWATER RES</t>
  </si>
  <si>
    <t>Mar. Freshw. Res.</t>
  </si>
  <si>
    <t>I</t>
  </si>
  <si>
    <t>III</t>
  </si>
  <si>
    <t>10.1071/MFv71n3_ED</t>
  </si>
  <si>
    <t>Fisheries; Limnology; Marine &amp; Freshwater Biology; Oceanography</t>
  </si>
  <si>
    <t>KR4GQ</t>
  </si>
  <si>
    <t>WOS:000517577700001</t>
  </si>
  <si>
    <t>Silvano, A</t>
  </si>
  <si>
    <t>Silvano, Alessandro</t>
  </si>
  <si>
    <t>Changes in the Southern Ocean</t>
  </si>
  <si>
    <t>Strengthening and poleward movement of the Southern Westerlies, and increased melting of the Antarctic ice sheet play a primary role in changes observed in the Southern Ocean over the past few decades, according to measurements and modelling.</t>
  </si>
  <si>
    <t>[Silvano, Alessandro] CSIRO Oceans &amp; Atmosphere, Hobart, Tas, Australia; [Silvano, Alessandro] Univ Southampton, Ocean &amp; Earth Sci, Southampton, Hants, England</t>
  </si>
  <si>
    <t>Commonwealth Scientific &amp; Industrial Research Organisation (CSIRO); University of Southampton</t>
  </si>
  <si>
    <t>Silvano, A (corresponding author), CSIRO Oceans &amp; Atmosphere, Hobart, Tas, Australia.;Silvano, A (corresponding author), Univ Southampton, Ocean &amp; Earth Sci, Southampton, Hants, England.</t>
  </si>
  <si>
    <t>alessandro.silvano@utas.edu.au</t>
  </si>
  <si>
    <t>Silvano, Alessandro/0000-0002-6441-1496</t>
  </si>
  <si>
    <t>10.1038/s41561-019-0516-2</t>
  </si>
  <si>
    <t>KI8OX</t>
  </si>
  <si>
    <t>WOS:000511618700003</t>
  </si>
  <si>
    <t>Seag, M; Badhe, R; Choudhry, I</t>
  </si>
  <si>
    <t>Seag, M.; Badhe, R.; Choudhry, I.</t>
  </si>
  <si>
    <t>Intersectionality and international polar research</t>
  </si>
  <si>
    <t>POLAR RECORD</t>
  </si>
  <si>
    <t>Intersectionality; Polar research; Arctic; Antarctic; Women</t>
  </si>
  <si>
    <t>GENDER; SCIENCE; DIVERSITY</t>
  </si>
  <si>
    <t>Recent initiatives in polar research like Women in Polar Science and Women of the Arctic have shone a light on the strengths of female polar researchers and the struggles they have faced in their respective careers. These initiatives have started and contributed to ongoing conversations in the polar research community about increasing diversity and making the field more inclusive. In this commentary, we discuss the need to focus on intersectionality in diversity, equality and inclusion initiatives in polar research, and to address intersecting barriers faced by members and would-be members of our fields. These barriers are varied, often overlapping, and include, but are not limited to: gender identity; sexuality; socio-economic status; language; disability; and race. Polar research is poised to benefit from a tremendous diversity of ideas and approaches if we as a community can fully commit ourselves to understanding and addressing overlapping, interconnected barriers to equality and progress in polar research.</t>
  </si>
  <si>
    <t>[Seag, M.] Univ Cambridge, Scott Polar Res Inst, Dept Geog, Lensfield Rd, Cambridge CB2 1ER, England; [Badhe, R.] NWO, European Polar Board, Laan van Nieuw Oost Indie 300, NL-2593 CE The Hague, Netherlands; [Choudhry, I.] Univ Manchester, Ctr Hist Sci Technol &amp; Med, Simon Bldg,Brunswick St, Manchester M13 9PS, Lancs, England</t>
  </si>
  <si>
    <t>University of Cambridge; University of Manchester</t>
  </si>
  <si>
    <t>Seag, M (corresponding author), Univ Cambridge, Scott Polar Res Inst, Dept Geog, Lensfield Rd, Cambridge CB2 1ER, England.</t>
  </si>
  <si>
    <t>morgan.seag@gmail.com</t>
  </si>
  <si>
    <t>Badhe, Renuka/0000-0001-5255-744X; Choudhry, Iqra/0000-0001-9143-8224</t>
  </si>
  <si>
    <t>Gates Cambridge Trust; Economic and Social Research Council; Gates Cambridge Scholarship; ESRC Case Studentship [ES/P000665/1]; Scientific Committee on Antarctic Research; ESRC [1912096] Funding Source: UKRI</t>
  </si>
  <si>
    <t>Gates Cambridge Trust; Economic and Social Research Council(UK Research &amp; Innovation (UKRI)Economic &amp; Social Research Council (ESRC)); Gates Cambridge Scholarship; ESRC Case Studentship(UK Research &amp; Innovation (UKRI)Economic &amp; Social Research Council (ESRC)); Scientific Committee on Antarctic Research; ESRC(UK Research &amp; Innovation (UKRI)Economic &amp; Social Research Council (ESRC))</t>
  </si>
  <si>
    <t>This work was supported by the Gates Cambridge Trust (M.S.) and the Economic and Social Research Council (I.C.). MS's PhD research is supported by a Gates Cambridge Scholarship. IC's PhD research is supported by an ESRC Case Studentship, Grant Number ES/P000665/1, in partnership with the Scientific Committee on Antarctic Research.</t>
  </si>
  <si>
    <t>0032-2474</t>
  </si>
  <si>
    <t>1475-3057</t>
  </si>
  <si>
    <t>POLAR REC</t>
  </si>
  <si>
    <t>POLAR REC.</t>
  </si>
  <si>
    <t>e14</t>
  </si>
  <si>
    <t>10.1017/S0032247419000585</t>
  </si>
  <si>
    <t>NL6GY</t>
  </si>
  <si>
    <t>WOS:000567512900001</t>
  </si>
  <si>
    <t>Bo, HZ; Zhang, ZC</t>
  </si>
  <si>
    <t>Bo HongZe; Zhang ZhaoChong</t>
  </si>
  <si>
    <t>Genesis of Silicic Large Igneous Provinces and effects of resources and environment</t>
  </si>
  <si>
    <t>ACTA PETROLOGICA SINICA</t>
  </si>
  <si>
    <t>Chinese</t>
  </si>
  <si>
    <t>Silicic Large Igneous Provinces; magma underplating; crustal remelting</t>
  </si>
  <si>
    <t>TAUPO VOLCANIC ZONE; CENTRAL QUEENSLAND; EPITHERMAL MINERALIZATION; ANTARCTIC PENINSULA; MAGMATIC SYSTEM; MANTLE PLUME; LARGE-VOLUME; NEW-ZEALAND; BREAK-UP; EVOLUTION</t>
  </si>
  <si>
    <t>Silicic Large Igneous Provinces (S-LIPs) are magmatic formations with areal extents greater than 10(5)km(2), volumes greater than 2. 5 x 10(5)km(3), and more than 80vol. % are composed of rhyolitic ignimbrites. Most of the S-LIPs are located along the continental margins, which may be related to the breakup of super-continent and adjacent Mafic Large Igneous Provinces (M-LIPs). Their life span is relatively long (similar to 40Myr) compared with M-LIPs. The igneous rocks from S-LIPs usually belong to calc-alkaline series, and contain hydrous phenocrysts such as biotite and amphibole, and they show transitional geochemical features from I-type to A-type granitoids. Based on previous studies, we compile whole-rock geochemical data from five S-LIPs, and propose that the remelting of the subduction-related hydrous lower crust triggered by magma underplating (or mantle plume) and followed different degrees of fractional crystallization is the possible main mechanism for the formation of S-LIPs. Because the upper silicic magmas act like density barrier and the magma conduit cannot be easily formed in hydrous crust, these mafic magmas are unable to erupt through the crust. However, they do transfer large amounts of SO2 gas upward. Thus, the S-LIPs can also be considered as the presence of hidden M-LIPs. On the one hand, the large-scale silicic magmatism could inject these SO2 aerosols into the stratosphere, on the other hand, it could prompt the photosynthetic conversion of CO2 to organic carbon by iron fertilization of ocean, and both of them could cause global cooling. Furthermore, S-LIPs could also be considered as one large-scale hydrothermal mineralization system, forming extensive low-sulfur epithermal precious metal deposits, which are of great economic significance.</t>
  </si>
  <si>
    <t>[Bo HongZe; Zhang ZhaoChong] China Univ Geosci, Sch Earth Sci &amp; Resources, Beijing 100083, Peoples R China</t>
  </si>
  <si>
    <t>China University of Geosciences</t>
  </si>
  <si>
    <t>Zhang, ZC (corresponding author), China Univ Geosci, Sch Earth Sci &amp; Resources, Beijing 100083, Peoples R China.</t>
  </si>
  <si>
    <t>bohongze@qq.com; zczhang@cugb.edu.cn</t>
  </si>
  <si>
    <t>1000-0569</t>
  </si>
  <si>
    <t>2095-8927</t>
  </si>
  <si>
    <t>ACTA PETROL SIN</t>
  </si>
  <si>
    <t>Acta Petrol. Sin.</t>
  </si>
  <si>
    <t>10.18654/1000-0569/2020.07.03</t>
  </si>
  <si>
    <t>PB7DK</t>
  </si>
  <si>
    <t>WOS:000596477200003</t>
  </si>
  <si>
    <t>Chuan, CH; Gallagher, JB; Chew, ST; Binti, MZN</t>
  </si>
  <si>
    <t>Chuan, Chee Hoe; Gallagher, John Barry; Chew, Swee Theng; Binti, M. Zanuri Norlaila</t>
  </si>
  <si>
    <t>Blue carbon sequestration dynamics within tropical seagrass sediments: long-term incubations for changes over climatic scales</t>
  </si>
  <si>
    <t>carbonate; diagenesis; methane; pyrogenic carbon; sediment geochemistry; sediment isotope tomography</t>
  </si>
  <si>
    <t>DISSOLVED ORGANIC-CARBON; MARINE-SEDIMENTS; MANGROVE SEDIMENTS; SULFATE REDUCTION; MATTER; DECOMPOSITION; CONTINUUM; MODEL; FATE; LAKE</t>
  </si>
  <si>
    <t>Determination of blue carbon sequestration in seagrass sediments over climatic time scales (&gt;100 years) relies on several assumptions, including no loss of particulate organic carbon (POC) after 1-2 years, tight coupling between POC loss and CO2 emissions, no dissolution of carbonates, and removal of the recalcitrant black carbon (BC) contribution. We tested these assumptions via 500-day anoxic decomposition and mineralisation experiments to capture centennial parameter decay dynamics from two sediment horizons robustly dated as 2 and 18 years old. No loss of BC was detected, and decay of POC was best described for both horizons by near-identical reactivity continuum models. The models predicted average losses of 49 and 51% after 100 years of burial for the surface and 20-22-cm horizons respectively. However, the loss rate of POC was far greater than the release rate of CO2, even after accounting for CO2 from particulate inorganic carbon (PIC) production, possibly as siderite. The deficit could not be attributed to dissolved organic carbon or dark CO2 fixation. Instead, evidence based on delta(CO2)-C-13, acidity and lack of sulfate reduction suggested methanogenesis. The results indicated the importance of centennial losses of POC and PIC precipitation and possibly methanogenesis in estimating carbon sequestration rates.</t>
  </si>
  <si>
    <t>[Chuan, Chee Hoe; Chew, Swee Theng] Univ Malaysia Sabah, Borneo Marine Res Inst, Kota Kinabalu 88400, Sabah, Malaysia; [Gallagher, John Barry] Univ Tasmania, Inst Marine &amp; Antarctic Studies, 20 Castray Esplanade, Battery Point, Tas 7004, Australia; [Binti, M. Zanuri Norlaila] Univ Sains Malaysia, Ctr Marine &amp; Coastal Studies, George Town 11800, Malaysia</t>
  </si>
  <si>
    <t>Universiti Malaysia Sabah; University of Tasmania; Universiti Sains Malaysia</t>
  </si>
  <si>
    <t>Gallagher, JB (corresponding author), Univ Tasmania, Inst Marine &amp; Antarctic Studies, 20 Castray Esplanade, Battery Point, Tas 7004, Australia.</t>
  </si>
  <si>
    <t>john.barry@usm.my</t>
  </si>
  <si>
    <t>Gallagher, John/JVP-1711-2024; mohd zanuri, norlaila/B-3269-2018</t>
  </si>
  <si>
    <t>mohd zanuri, norlaila/0000-0003-4813-7236</t>
  </si>
  <si>
    <t>10.1071/MF19119</t>
  </si>
  <si>
    <t>OZ3EQ</t>
  </si>
  <si>
    <t>WOS:000594813800004</t>
  </si>
  <si>
    <t>Crawford, C; Edgar, G; Gillies, CL; Heller-Wagner, G</t>
  </si>
  <si>
    <t>Crawford, C.; Edgar, G.; Gillies, C. L.; Heller-Wagner, G.</t>
  </si>
  <si>
    <t>Relationship of biological communities to habitat structure on the largest remnant flat oyster reef (Ostrea angasi) in Australia</t>
  </si>
  <si>
    <t>ecosystem services; habitat complexity; reef restoration; shellfish reefs</t>
  </si>
  <si>
    <t>SIZE-STRUCTURE; RESTORATION; ECOSYSTEM; ASSEMBLAGES; FISHES; SUBSTRATE; TASMANIA; RATES</t>
  </si>
  <si>
    <t>Oyster reef restoration is a growing field in Australia, yet formal descriptions of associated biological communities for reefs created by native flat oysters (Ostrea angasi) do not currently exist. Native flat oysters once formed extensive and complex three-dimensional habitats in bays and estuaries across southern Australia until indiscriminate fishing, sedimentation and disease led to their near disappearance. To determine the diversity and abundance on naturally occurring oyster reefs, we sampled four sites on the last known naturally occurring oyster reef ecosystem, which resides in north-eastern Tasmania, and compared them to the surrounding soft sediment regions. Assemblages were related to environmental variables to determine whether consistent patterns were present. Oyster reef sites contained three times the faunal abundance of the surrounding soft sediment regions. Abundance among echinoderms, arthropods, molluscs and fish was much elevated, whereas annelids showed similar levels of abundance but differed in terms of species composition. These results show that oyster reefs do support abundant and diverse assemblages, emphasising the probable loss of community-level biodiversity associated with their historical decline around southern Australia.</t>
  </si>
  <si>
    <t>[Crawford, C.; Edgar, G.; Heller-Wagner, G.] Univ Tasmania, Inst Marine &amp; Antarctic Studies, Private Bag 49, Hobart, Tas 7001, Australia; [Gillies, C. L.] Nature Conservancy, POB 57, Carlton, Vic 3053, Australia; [Gillies, C. L.] James Cook Univ, TropWATER Ctr Trop Water &amp; Aquat Ecosyst Res, Townsville, Qld 4811, Australia</t>
  </si>
  <si>
    <t>University of Tasmania; Nature Conservancy; James Cook University</t>
  </si>
  <si>
    <t>Crawford, C (corresponding author), Univ Tasmania, Inst Marine &amp; Antarctic Studies, Private Bag 49, Hobart, Tas 7001, Australia.</t>
  </si>
  <si>
    <t>christine.crawford@utas.edu.au</t>
  </si>
  <si>
    <t>Edgar, Graham/AAY-3797-2020</t>
  </si>
  <si>
    <t>Edgar, Graham/0000-0003-0833-9001</t>
  </si>
  <si>
    <t>10.1071/MF19171</t>
  </si>
  <si>
    <t>WOS:000594813800013</t>
  </si>
  <si>
    <t>Barros-Delben, P; Cruz, RM; Cardoso, GD; de Wit, PA</t>
  </si>
  <si>
    <t>Barros-Delben, Paola; Cruz, Roberto Moraes; Cardoso, Gabriel de Melo; de Wit, Paulus Arnoldus</t>
  </si>
  <si>
    <t>Challenges and Perspectives of Research and Psychological Intervention in the Antarctic Environment</t>
  </si>
  <si>
    <t>AVANCES EN PSICOLOGIA LATINOAMERICANA</t>
  </si>
  <si>
    <t>Portuguese</t>
  </si>
  <si>
    <t>Antarctic; methodology; polar psychology; psychological intervention</t>
  </si>
  <si>
    <t>COPING STRATEGIES; ADAPTATION; OUTCOMES</t>
  </si>
  <si>
    <t>Isolated, confined, and extreme environments are natural laboratories for behavioral studies. Antarctica provides one of the most hostile environments in the world for human psychophysiology and survival. The objective of this study is to identify the challenges and perspectives for research and psychological intervention in the Antarctic environment. The method was an exploratory-descriptive ethnographical study based on (a) evidence from literature related to research and psychological intervention in Antarctica and (b) an empirical qualitative study of the interaction of expeditionary members with the Antarctic environment, using interviews and a welcoming attitude of positive attention, at the beginning and end of a summer mission to Antarctica. Civilians and military personnel from two ships, as well as the Brazilian Antarctic station participated. Results: The main challenges encountered in the research include the limitations of the setting and the unpredictability of the context. The study identified that exposure to the Antarctic environment influences the emergence of interpersonal conflicts, alcohol consumption, harassment behaviors, and negative feelings of affection. Conclusion: The insertion of psychologists in Antarctica shows a concrete opportunity for research and intervention, with expected repercussions on the health and professional performance of expeditionary members.</t>
  </si>
  <si>
    <t>[Barros-Delben, Paola; Cruz, Roberto Moraes; Cardoso, Gabriel de Melo; de Wit, Paulus Arnoldus] Univ Fed Santa Catarina, Florianopolis, SC, Brazil</t>
  </si>
  <si>
    <t>Universidade Federal de Santa Catarina (UFSC)</t>
  </si>
  <si>
    <t>Barros-Delben, P (corresponding author), Univ Fed Santa Catarina, Florianopolis, SC, Brazil.</t>
  </si>
  <si>
    <t>p.barros.delben@gmail.com</t>
  </si>
  <si>
    <t>Cardoso, Gabriel/HGB-4220-2022</t>
  </si>
  <si>
    <t>de Wit, Paulus A J M/0000-0001-6385-4597; Barros-Delben, Paola/0000-0002-4248-2904</t>
  </si>
  <si>
    <t>UNIV ROSARIO</t>
  </si>
  <si>
    <t>BOGOTA</t>
  </si>
  <si>
    <t>PROGRAMA PSICOLOGIA, FAC MED, CARRERA 24 63 C-69 QUINTA DE MUTIS, BOGOTA, 00000, COLOMBIA</t>
  </si>
  <si>
    <t>1794-4724</t>
  </si>
  <si>
    <t>2145-4515</t>
  </si>
  <si>
    <t>AV PSICOL LATINOAM</t>
  </si>
  <si>
    <t>Av. Psicol. Latinoam.</t>
  </si>
  <si>
    <t>10.12804/revistas.urosario.edu.co/apl/a.7030</t>
  </si>
  <si>
    <t>PC7WG</t>
  </si>
  <si>
    <t>WOS:000597206200003</t>
  </si>
  <si>
    <t>Fair, H; Smiley, PC; Qiao, L</t>
  </si>
  <si>
    <t>Fair, Heather; Smiley, Peter C., Jr.; Qiao, Liu</t>
  </si>
  <si>
    <t>Physical, chemical, and biological characteristics of supraglacial pools on a debris-covered glacier in Mt. Gongga, Tibetan Plateau</t>
  </si>
  <si>
    <t>Debris-covered glacier; macroinvertebrates; macroinvertebrate– habitat relationships; Isotomidae; conductivity</t>
  </si>
  <si>
    <t>CRYOCONITE HOLES; HAILUOGOU GLACIER; DIVERSITY; VALLEY; INVERTEBRATES; TARDIGRADA; COLLEMBOLA; ECOLOGY; WATER</t>
  </si>
  <si>
    <t>Meltwater habitats are found on glacier surfaces worldwide, but much of the current understanding of these habitats comes from clean glaciers sprinkled with cryoconite. Cryoconite is windblown dust particles covered with biological material that form small meltwater holes due to difference in the albedo of cryoconite compared to clean ice. However, no information is available on the physical, chemical, and biological characteristics of supraglacial pools on debris-covered glaciers. We measured physical and chemical variables and sampled macroinvertebrates from forty-six supraglacial pools during the summers of 2018 and 2019 on the debris-covered Hailuogou Glacier in southeastern Tibet. Our physical and chemical results indicated that the sampled supraglacial pools exhibited a greater diversity of shapes, were larger, contained larger substrate sizes, and had greater substrate diversity than cryoconite holes. The sampled supraglacial pools frequently contained Chironomidae (Diptera) and Isotomidae (Collembola), which are macroinvertebrate taxa that are uncommon in cryoconite holes. Chironomidae occurrence and abundance was not correlated with any measured environmental variable. The best predictors of Isotomidae and macroinvertebrate occurrence and abundance were conductivity, ice to water surface depth, and number of supraglacial pools within 5 m. Our results highlight the uniqueness of supraglacial pools on a debris-covered glacier in southeastern Tibet.</t>
  </si>
  <si>
    <t>[Fair, Heather] Kenyon Coll, Dept Biol, 108 Higley Hall, Gambier, OH 43022 USA; [Smiley, Peter C., Jr.] ARS, Soil Drainage Res Unit, USDA, Columbus, OH USA; [Qiao, Liu] Chinese Acad Sci, Inst Mt Hazards &amp; Environm, Chengdu, Peoples R China</t>
  </si>
  <si>
    <t>University System of Ohio; Kenyon College; United States Department of Agriculture (USDA); Chinese Academy of Sciences; Institute of Mountain Hazards &amp; Environment, CAS</t>
  </si>
  <si>
    <t>Fair, H (corresponding author), Kenyon Coll, Dept Biol, 108 Higley Hall, Gambier, OH 43022 USA.</t>
  </si>
  <si>
    <t>hebfair@yahoo.com</t>
  </si>
  <si>
    <t>; Liu, Qiao/H-6525-2011</t>
  </si>
  <si>
    <t>Smiley, Peter/0000-0002-8772-4102; Liu, Qiao/0000-0002-7285-5425; Fair, Heather/0000-0002-1085-0311</t>
  </si>
  <si>
    <t>Columbus Zoo Biodiversity Conservation Fund; National Natural Science Foundation of China [NSFC 41871069]</t>
  </si>
  <si>
    <t>Columbus Zoo Biodiversity Conservation Fund; National Natural Science Foundation of China(National Natural Science Foundation of China (NSFC))</t>
  </si>
  <si>
    <t>This study was funded by the Columbus Zoo Biodiversity Conservation Fund and the National Natural Science Foundation of China (NSFC 41871069).</t>
  </si>
  <si>
    <t>10.1080/15230430.2020.1839165</t>
  </si>
  <si>
    <t>PA9ZS</t>
  </si>
  <si>
    <t>WOS:000595988200001</t>
  </si>
  <si>
    <t>Noga, T; Kochman-Kedziora, N; Olech, M; Van de Vijver, B</t>
  </si>
  <si>
    <t>Noga, Teresa; Kochman-Kedziora, Natalia; Olech, Maria; Van de Vijver, Bart</t>
  </si>
  <si>
    <t>Limno-terrestrial diatom flora in two stream valleys near Arctowski Station, King George Island, Antarctica</t>
  </si>
  <si>
    <t>POLISH POLAR RESEARCH</t>
  </si>
  <si>
    <t>Antarctic; South Shetland Islands; soil diatoms; sediments; diversity; Ornithologist Creek; Petrified Forest Creek</t>
  </si>
  <si>
    <t>JAMES-ROSS-ISLAND; SP. NOV. BACILLARIOPHYTA; SOUTH SHETLAND ISLANDS; FRESH-WATER DIATOMS; MICROALGAL COMMUNITIES; DECEPTION ISLAND; CIERVA POINT; ECOLOGY; CRYOSOLS</t>
  </si>
  <si>
    <t>Diatom communities sampled in the vicinity of the Polish Antarctic Arctowski Station (King George Island, South Shetland Islands) have been investigated. Soil and sediment samples were collected from Petrified Forest Creek and Ornithologist Creek valleys. A total of 98 diatom taxa belonging to 30 different genera were recorded in the counts. Nine taxa have a marine origin but all together constitute only 0.14% of all counted valves. Three species: Staurosira pottiezii, Psammothidium germainioides and Sellaphora jamesrossensis dominated the flora. Some differences in the diatom assemblages were observed between soil samples from two stream valleys and between soil and sediments from the same catchment area. The highest species diversity was recorded in samples from the dried-up bed of the Ornithologist Creek, where both freshwater and terrestrial species were found. The soil samples from both investigated valleys showed a comparable number of species, but a different species composition. Based on the PCA analysis a clear separation of the assemblages from both creeks could be observed.</t>
  </si>
  <si>
    <t>[Noga, Teresa] Univ Rzeszow, Fac Biol &amp; Agr, Dept Soil Studies Environm Chem &amp; Hydrol, Zelwerowicza 8B, PL-35601 Rzeszow, Poland; [Kochman-Kedziora, Natalia] Univ Rzeszow, Dept Ecol &amp; Environm Protect, Zelwerowicza 4, PL-35601 Rzeszow, Poland; [Kochman-Kedziora, Natalia] Univ Rzeszow, Podkarpackie Innovat Res Ctr Environm, Zelwerowicza 8B, PL-35601 Rzeszow, Poland; [Olech, Maria] Jagiellonian Univ, Inst Bot, Dept Polar Res &amp; Documentat, Kopernika 27, PL-31501 Krakow, Poland; [Olech, Maria] Polish Acad Sci, Inst Biochem &amp; Biophys, Pawinskiego 5a, PL-02106 Warsaw, Poland; [Van de Vijver, Bart] Meise Bot Garden, Res Dept, Nieuwelaan 38, B-1860 Meise, Belgium; [Van de Vijver, Bart] Univ Antwerp, Dept Biol, ECOBE, Univ Pl 1, B-2610 Antwerp, Belgium</t>
  </si>
  <si>
    <t>University of Rzeszow; University of Rzeszow; University of Rzeszow; Jagiellonian University; Polish Academy of Sciences; Institute of Biochemistry &amp; Biophysics - Polish Academy of Sciences; University of Antwerp</t>
  </si>
  <si>
    <t>Kochman-Kedziora, N (corresponding author), Univ Rzeszow, Dept Ecol &amp; Environm Protect, Zelwerowicza 4, PL-35601 Rzeszow, Poland.;Kochman-Kedziora, N (corresponding author), Univ Rzeszow, Podkarpackie Innovat Res Ctr Environm, Zelwerowicza 8B, PL-35601 Rzeszow, Poland.</t>
  </si>
  <si>
    <t>nkochman@ur.edu.pl</t>
  </si>
  <si>
    <t>Kochman-Kedziora, Natalia/0000-0003-1006-1715; Noga, Teresa/0000-0002-4864-5620</t>
  </si>
  <si>
    <t>Faculty of Biology and Agriculture, University of Rzeszow [DBR-35/2018]</t>
  </si>
  <si>
    <t>Faculty of Biology and Agriculture, University of Rzeszow</t>
  </si>
  <si>
    <t>This work has been partially financially supported by the Young Scientists Grant (DBR-35/2018) for Natalia Kochman-Kedziora awarded by Faculty of Biology and Agriculture, University of Rzeszow.</t>
  </si>
  <si>
    <t>POLSKA AKAD NAUK, POLISH ACAD SCIENCES</t>
  </si>
  <si>
    <t>WARSZAWA</t>
  </si>
  <si>
    <t>PL DEFILAD 1, WARSZAWA, 00-901, POLAND</t>
  </si>
  <si>
    <t>0138-0338</t>
  </si>
  <si>
    <t>2081-8262</t>
  </si>
  <si>
    <t>POL POLAR RES</t>
  </si>
  <si>
    <t>Pol. Polar. Res.</t>
  </si>
  <si>
    <t>10.24425/ppr.2020.134793</t>
  </si>
  <si>
    <t>OY1DS</t>
  </si>
  <si>
    <t>WOS:000593994200002</t>
  </si>
  <si>
    <t>Zhang, S; Liu, WX; Liu, NH; He, XY; Su, HN; Li, CY; Zhang, YZ; Song, XY; Zhang, XY</t>
  </si>
  <si>
    <t>Zhang, Shan; Liu, Wei-Xiong; Liu, Ning-Hua; He, Xiao-Yan; Su, Hai-Nan; Li, Chun-Yang; Zhang, Yu-Zhong; Song, Xiao-Yan; Zhang, Xi-Ying</t>
  </si>
  <si>
    <t>Antarcticimicrobium sediminis gen. nov., sp. nov., isolated from Antarctic intertidal sediment, transfer of Ruegeria lutea to Antarcticimicrobium gen. nov. as Antarcticimicrobium luteum comb. nov.</t>
  </si>
  <si>
    <t>Rhodobacteraceae; gen. nov.; intertidal sediment; Antarctic</t>
  </si>
  <si>
    <t>EAST SEA; EMENDED DESCRIPTION; TIDAL FLAT; SULFITOBACTER; ROSEOBACTER; DATABASE; SEAWATER; ALPHAPROTEOBACTERIUM; RECLASSIFICATION; PHYLOGENIES</t>
  </si>
  <si>
    <t>A Gram-stain-negative, aerobic, non-flagellated and rod- or ovoid-shaped bacterium, designated as strain S4J41(T). was isolated from Antarctic intertidal sediment. The isolate grew at 0-37 degrees C and with 0.5-10% (w/v) NaCl. It reduced nitrate to nitrite and hydrolysed Tween 80 and gelatin. Phylogenetic analysis based on 16S rRNA gene sequences revealed that strain S4J41(T) constituted a distinct phylogenetic line within the family Rhodobacteraceae and was closely related with some species in the genera Ruegeria, Phaeobacter, Pseudopuniceibacterium. Sulfitobacter. Puniceibacterium and Poseidonocella with 98.6-95.7% 16S rRNA gene sequence similarities. The major cellular fatty acids were C-16:0, summed feature 8 (C-18:1 omega 7c and/or C-18:1 omega 6c) and C-1(8:)0 and the major polar lipids were phosphatidylglycerol, phosphatidylcholine, diphosphatidylglycerol, phosphatidylethanolamine and one unidentified aminolipid. The sole respiratory quinone was 0-10. The genomic DNA G+C content of strain S4J41(T) was 60.3 mol%. Based on the phylogenetic, chemotaxonomic and phenotypic data obtained in this study, strain S4J41(T) is considered to represent a novel species in a new genus within the family Rhodobacteraceae, for which the name Antarcticimicrobium sediminis gen. nov., sp. nov. is proposed. The type strain is S4J41(T) (=MCCC 1K03508(T)=KCTC 62793(T)). Moreover, the transfer of Ruegeria lutea Kim et al. 2019 to Antarcticimicrobium gen. nov. as Antarcticimicrobium luteum comb. nov. (type strain 318-1(T)=JCM 30927(T)=KCTC 72105(T)) is also proposed.</t>
  </si>
  <si>
    <t>[Zhang, Shan; Liu, Wei-Xiong; Liu, Ning-Hua; He, Xiao-Yan; Su, Hai-Nan; Li, Chun-Yang; Zhang, Yu-Zhong; Song, Xiao-Yan; Zhang, Xi-Ying] Shandong Univ, Marine Biotechnol Res Ctr, State Key Lab Microbial Technol, Qingdao 266237, Peoples R China; [Li, Chun-Yang; Zhang, Yu-Zhong; Zhang, Xi-Ying] Pilot Natl Lab Marine Sci &amp; Technol Qingdao, Lab Marine Biol &amp; Biotechnol, Qingdao 266237, Peoples R China; [Li, Chun-Yang; Zhang, Yu-Zhong] Ocean Univ China, Coll Marine Life Sci, Inst Adv Ocean Study, Qingdao 266003, Peoples R China</t>
  </si>
  <si>
    <t>Shandong University; Laoshan Laboratory; Ocean University of China</t>
  </si>
  <si>
    <t>Zhang, XY (corresponding author), Shandong Univ, Marine Biotechnol Res Ctr, State Key Lab Microbial Technol, Qingdao 266237, Peoples R China.;Zhang, XY (corresponding author), Pilot Natl Lab Marine Sci &amp; Technol Qingdao, Lab Marine Biol &amp; Biotechnol, Qingdao 266237, Peoples R China.</t>
  </si>
  <si>
    <t>zhangxiying@sdu.edu.cn</t>
  </si>
  <si>
    <t>Zhang, Xi/HJH-1211-2023; Li, Chun-Yang/JBS-2194-2023</t>
  </si>
  <si>
    <t>Li, Chun-Yang/0000-0002-1151-4897</t>
  </si>
  <si>
    <t>National Key R and D Program of China [2018YFC1406504, 2018YFC1406701, 2018YFC1406703, 2018YFC1406704]; AoShan Talents Cultivation Program - Qingdao National Laboratory for Marine Science and Technology [2017ASTCP-OS14]; National Science Foundation of China [31670063]; Taishan Scholars Program of Shandong Province [tspd20181203]; Science and Technology Basic Resources Investigation Program of China [2017FY100804]; China Scholarship Council [201906225012]</t>
  </si>
  <si>
    <t>National Key R and D Program of China; AoShan Talents Cultivation Program - Qingdao National Laboratory for Marine Science and Technology; National Science Foundation of China(National Natural Science Foundation of China (NSFC)); Taishan Scholars Program of Shandong Province; Science and Technology Basic Resources Investigation Program of China; China Scholarship Council(China Scholarship Council)</t>
  </si>
  <si>
    <t>The work was supported by the National Key R and D Program of China (2018YFC1406504, 2018YFC1406701, 2018YFC1406703 and 2018YFC1406704, awarded to X.-Y. S., H.-N. S., Y.-Z. Z. and X.-Y. Z., respectively), the AoShan Talents Cultivation Program Supported by Qingdao National Laboratory for Marine Science and Technology (2017ASTCP--OS14, awarded to Y.-Z. Z.), the National Science Foundation of China (31670063, awarded to X.-Y. Z.), the Taishan Scholars Program of Shandong Province (tspd20181203, awarded to Y.-Z. Z.), and the Science and Technology Basic Resources Investigation Program of China (2017FY100804, awarded to X.-Y. Z.), and the scholarship under the State Scholarship Fund issued by China Scholarship Council (file No. 201906225012, awarded to X.-Y. Z.). Persons employed by the funders had no role in the study or in the preparation of the article or decision to publish.</t>
  </si>
  <si>
    <t>10.1099/ijsem.0.004083</t>
  </si>
  <si>
    <t>OK2SW</t>
  </si>
  <si>
    <t>WOS:000584502400059</t>
  </si>
  <si>
    <t>Maraldo, DR</t>
  </si>
  <si>
    <t>Maraldo, Dean R.</t>
  </si>
  <si>
    <t>Accelerated retreat of coastal glaciers in the Western Prince William Sound, Alaska</t>
  </si>
  <si>
    <t>Alaska glaciers; tidewater glaciers; glacier fluctuation; climate change; rising sea level</t>
  </si>
  <si>
    <t>Analyzing historical maps and Landsat imagery indicates that coastal glaciers in the western Prince William Sound (PWS) have retreated since the end of the Little Ice Age, exhibiting accelerated retreat after the mid-2000s. A multitemporal inventory of 43 glaciers was developed using historical field observations, topographic maps, and Landsat imagery. Area and length measurements are derived from digitized outlines, and center lines are derived from a semi-automatic, geographic information systems (GIS)-based algorithm. Land-based glaciers retreated at a peak rate of 48 m a(-1) from the mid-2000s to 2018, more than doubling the average rate of retreat (22 m a(-1)) for the preceding fifty-year period. From similar to 1950 to 2018, the total area of land-based glaciers decreased by 228 km(2), with 36 percent of the glacier loss occurring after the mid-2000s. Simple upscaling of area and volume changes to unmeasured glaciers across the entire PWS resulted in an estimated aggregate glacier mass loss of 379 Gt, equivalent to a 1.047 mm rise in sea level from the 1950s to 2018. Tidewater glaciers respond asynchronously with differing periods of peak area and length loss and lower average rate of retreat compared to land-based glaciers. Glacier retreat correlates with increased summer and winter temperatures and decreased winter precipitation.</t>
  </si>
  <si>
    <t>[Maraldo, Dean R.] Univ Illinois, Dept Nat Resources &amp; Environm Sci, Champaign, IL 61820 USA</t>
  </si>
  <si>
    <t>University of Illinois System; University of Illinois Urbana-Champaign</t>
  </si>
  <si>
    <t>Maraldo, DR (corresponding author), Univ Illinois, Dept Nat Resources &amp; Environm Sci, Champaign, IL 61820 USA.</t>
  </si>
  <si>
    <t>maraldo.dean@gmail.com</t>
  </si>
  <si>
    <t>Maraldo, Dean/0000-0002-0704-786X</t>
  </si>
  <si>
    <t>10.1080/15230430.2020.1837715</t>
  </si>
  <si>
    <t>OV7VX</t>
  </si>
  <si>
    <t>WOS:000592413600001</t>
  </si>
  <si>
    <t>Pineda-Metz, SEA</t>
  </si>
  <si>
    <t>Jungblut, S; Liebich, V; BodeDalby, M</t>
  </si>
  <si>
    <t>Pineda-Metz, Santiago E. A.</t>
  </si>
  <si>
    <t>Benthos-Pelagos Interconnectivity: Antarctic Shelf Examples</t>
  </si>
  <si>
    <t>YOUMARES 9 - THE OCEANS: OUR RESEARCH, OUR FUTURE</t>
  </si>
  <si>
    <t>9th YOUng MArine RESearcher Conference (YOUMARES)</t>
  </si>
  <si>
    <t>SEP 12-14, 2018</t>
  </si>
  <si>
    <t>Oldenburg, GERMANY</t>
  </si>
  <si>
    <t>Bentho-pelagic coupling; Pelago-benthic coupling; Carbon flux; Weddell Sea Shelf; Antarctic Peninsula shelf</t>
  </si>
  <si>
    <t>EASTERN WEDDELL SEA; DOWNWARD PARTICLE FLUXES; ROSS SEA; WATER-COLUMN; COMMUNITY STRUCTURE; SEDIMENT TRANSPORT; EUPHAUSIA-SUPERBA; PLANKTON BIOMASS; MCMURDO SOUND; ICE-EDGE</t>
  </si>
  <si>
    <t>This review focuses on studies dealing with the coupling between the benthic and pelagic realms on Antarctic shelves and on factors that regulate these processes. Such studies in Antarctic waters are scarce, especially on the shelves, where flux studies via moorings are highly endangered by drifting icebergs. Nevertheless, such studies are essential to understand these processes and functioning of the cold water ecosystem and how energy is transported through its different compartments. Different abiotic (e.g., currents, sea ice, water depth, topography of the sea-floor, seasonality) and biotic (e.g., composition and structure of the benthic and pelagic flora and fauna, primary production, vertical migrations) factors are presented as parameters regulating the coupling between benthos and pelagos, here defined as benthos-pelagos interconnectivity. Regional variability in these parameters may result in delayed or even different coupling and/or decoupling of these realms. This is exemplarily discussed comparing the West Antarctic Peninsula (WAP) and Eastern Weddell Sea Shelf (EWSS). While in the WAP both compartments appear decoupled, on the EWSS both compartments appear tightly connected. The development of the benthos in the Larsen embayments after the shelf ice disintegration is described as an example of how changes in the pelagic realm affect and modify also the benthic realm.</t>
  </si>
  <si>
    <t>[Pineda-Metz, Santiago E. A.] Helmholtz Zentrum Polar &amp; Meeresforsch, Alfred Wegener Inst, Bremerhaven, Germany; [Pineda-Metz, Santiago E. A.] Univ Bremen, Fachbereich 2 Biol Chem, Bremen, Germany</t>
  </si>
  <si>
    <t>Pineda-Metz, SEA (corresponding author), Helmholtz Zentrum Polar &amp; Meeresforsch, Alfred Wegener Inst, Bremerhaven, Germany.;Pineda-Metz, SEA (corresponding author), Univ Bremen, Fachbereich 2 Biol Chem, Bremen, Germany.</t>
  </si>
  <si>
    <t>santiago.pineda.metz@awi.de</t>
  </si>
  <si>
    <t>Pineda Metz, Santiago Esteban Agustin/AAB-4814-2022</t>
  </si>
  <si>
    <t>Pineda Metz, Santiago Esteban Agustin/0000-0001-7780-6449</t>
  </si>
  <si>
    <t>978-3-030-20389-4; 978-3-030-20388-7</t>
  </si>
  <si>
    <t>10.1007/978-3-030-20389-4_11</t>
  </si>
  <si>
    <t>Biodiversity Conservation; Ecology; Marine &amp; Freshwater Biology</t>
  </si>
  <si>
    <t>Biodiversity &amp; Conservation; Environmental Sciences &amp; Ecology; Marine &amp; Freshwater Biology</t>
  </si>
  <si>
    <t>BQ2MU</t>
  </si>
  <si>
    <t>WOS:000582468900011</t>
  </si>
  <si>
    <t>Balakin, VI</t>
  </si>
  <si>
    <t>Safronova, EI</t>
  </si>
  <si>
    <t>Balakin, V. I.</t>
  </si>
  <si>
    <t>China's Advancement to the Antarctic in the 21st Century</t>
  </si>
  <si>
    <t>KITAY V MIROVOY I RYEGIONAL'NOY POLITIKYE: ISTORIYA I SOVRYEMYENNOST', VIPOOSK XXV</t>
  </si>
  <si>
    <t>Kitaj v Mirovoj i Regional noj Politike Istoria i Sovremennost</t>
  </si>
  <si>
    <t>China; Antarctica; resources; oil reserves; freshwater depot; competition; infrastructure</t>
  </si>
  <si>
    <t>In recent years, in almost all regions of the world China has been showing increasing activity including scientific research of Antarctica and adjacent sections of Atlantic, Indian and Pacific oceans, as well as islands lying in subantarctic waters. The Chinese authorities' interest towards Antarctica is based today on purely pragmatic considerations, since this continent in reality remains the only undeveloped and uninhabited space on Earth, which possesses huge resources, i.e. oil reserves, reaching, according to international estimates, 200 bln barrels. In addition, Antarctica is a natural repository for approximately 89 % of the world's freshwater, which in the foreseeable future can become a powerful and valuable resource inducing fierce competition for the access to it. China began to explore Antarctica in 1984, when the first expedition was organized there, and in 1986, the first national polar station Changcheng was established in Antarctica. Today, the leading role in the study of Antarctica belongs to the Center for polar research of the People's Republic of China with headquarters in Shanghai. The Center efficiently coordinates a variety of research activities of Chinese specialists and is fully responsible for the infrastructure located in Antarctica. China intends to eliminate its existing backlog in the development of Antarctica in the near future by building up the infrastructure there, as well as expanding the program of scientific research conducted on the continent. China's interests in Antarctica are, according to official statements, in the study of the environment, the acquisition of knowledge in the field of meteorology and the development of global environmental processes. China intends to equip all its scientific stations in Antarctica with special sensors to improve the accuracy of signal transmission, which will certainly and significantly improve the quality of their receipt by the Chinese space satellite group. In the Antarctic region, the PRC is determined to conduct specialized scientific research in advanced areas of biology and, in addition, to increase the number of projects related to the use of new materials of increased strength, weight and flexibility.</t>
  </si>
  <si>
    <t>[Balakin, V. I.] Russian Acad Sci, Inst Far Eastern Studies, Moscow, Russia</t>
  </si>
  <si>
    <t>Institute of China &amp; Contemporary Asia of the Russian Academy of Sciences; Russian Academy of Sciences</t>
  </si>
  <si>
    <t>Balakin, VI (corresponding author), Russian Acad Sci, Inst Far Eastern Studies, Moscow, Russia.</t>
  </si>
  <si>
    <t>viacheslavbalakin@rambler.ru</t>
  </si>
  <si>
    <t>RUSSIAN ACAD SCIENCES, INST FAR EASTERN STUDIES</t>
  </si>
  <si>
    <t>NAKHIMOVSKY AV, 32,, MOSCOW, 117997, RUSSIA</t>
  </si>
  <si>
    <t>2618-6888</t>
  </si>
  <si>
    <t>978-5-8381-0376-5</t>
  </si>
  <si>
    <t>KIT MIR REG POL IST</t>
  </si>
  <si>
    <t>10.24411/2618-6888-2020-10011</t>
  </si>
  <si>
    <t>Area Studies; International Relations</t>
  </si>
  <si>
    <t>BQ4HX</t>
  </si>
  <si>
    <t>WOS:000589886300011</t>
  </si>
  <si>
    <t>Takeuchi, N; Hori, Y; Furukawa, N; Yoshida, M; Fujii, Y</t>
  </si>
  <si>
    <t>Takeuchi, Nozomu; Hori, Yoichiro; Furukawa, Noboru; Yoshida, Minoru; Fujii, Yoshiyuki</t>
  </si>
  <si>
    <t>Glacio-environmental aspects recorded in two shallow ice cores drilled in 1980 at accumulation area of Khumbu Glacier of Mt. Everest in Nepal Himalayas</t>
  </si>
  <si>
    <t>Himalayas; Khumbu Glacier; debris-covered glacier; ice core; avalanche</t>
  </si>
  <si>
    <t>DEBRIS-COVERED GLACIER; CHEMICAL-COMPOSITION; MASS-BALANCE; SURFACE; REGION; SNOW; TEMPERATURE; ABLATION; ALTITUDE; VALLEY</t>
  </si>
  <si>
    <t>The physical and geochemical characteristics of shallow ice cores drilled in the accumulation area (Western Cwm) of Khumbu Glacier in the Nepal Himalayas in 1980 were analyzed. The two ice cores from different elevations (cores 1 and 2 from 6,100 and 6,400 m a.s.l., respectively) showed distinct stratigraphy: Core 1 consisted of stratified firn layers with a few ice and dust layers, whereas core 2 consisted of unstratified refrozen ice with abundant debris. The mean oxygen-stable isotope was significantly lower in core 2 than in core 1, and the composition of major soluble ions also differed between the ice cores. The mineralogical characteristics of debris in core 2 were in accordance with the geology of the south face of Mt. Everest, indicating that it was supplied from above 7,000 m a.s.l. by avalanches. The distinct stratigraphy and geochemistry suggest that the snow accumulation process differed between the two drilling sites; snow was supplied by precipitation in core 1, whereas in core 2 it was supplied by avalanche with rock debris from the higher site of the south face of Mt. Everest. The two distinct snow accumulation processes are likely to characterize the mass balance and formation of debris covers of the lower ablation area of Khumbu Glacier.</t>
  </si>
  <si>
    <t>[Takeuchi, Nozomu; Hori, Yoichiro; Furukawa, Noboru] Chiba Univ, Grad Sch Sci, Dept Earth Sci, Chiba 2638522, Japan; [Yoshida, Minoru] Hakusan Corp, Tokyo, Japan; [Fujii, Yoshiyuki] Res Org Informat &amp; Syst, Natl Inst Polar Res, Tokyo, Japan</t>
  </si>
  <si>
    <t>Chiba University; Research Organization of Information &amp; Systems (ROIS); National Institute of Polar Research (NIPR) - Japan</t>
  </si>
  <si>
    <t>Takeuchi, N (corresponding author), Chiba Univ, Grad Sch Sci, Dept Earth Sci, Chiba 2638522, Japan.</t>
  </si>
  <si>
    <t>ntakeuch@faculty.chiba-u.jp</t>
  </si>
  <si>
    <t>Takeuchi, Nozomu/Q-7869-2016</t>
  </si>
  <si>
    <t>Takeuchi, Nozomu/0000-0002-3267-5534</t>
  </si>
  <si>
    <t>Mainichi Newspapers Co., Ltd.; Mainichi Broadcasting System, Inc.; KAKENHI of the Japan Society of the Promotion of Science [19H01143, 20H00196, 20H04305]; Grants-in-Aid for Scientific Research [20H00196, 20H04305, 19H01143] Funding Source: KAKEN</t>
  </si>
  <si>
    <t>Mainichi Newspapers Co., Ltd.; Mainichi Broadcasting System, Inc.; KAKENHI of the Japan Society of the Promotion of Science; Grants-in-Aid for Scientific Research(Ministry of Education, Culture, Sports, Science and Technology, Japan (MEXT)Japan Society for the Promotion of ScienceGrants-in-Aid for Scientific Research (KAKENHI))</t>
  </si>
  <si>
    <t>The ice core drilling operation by Japan Winter Everest Expedition in 1980 was financially supported by Mainichi Newspapers Co., Ltd. and Mainichi Broadcasting System, Inc. Ice core analyses were financially supported by KAKENHI of the Japan Society of the Promotion of Science (19H01143, 20H00196, 20H04305).</t>
  </si>
  <si>
    <t>10.1080/15230430.2020.1833681</t>
  </si>
  <si>
    <t>OS6DC</t>
  </si>
  <si>
    <t>WOS:000590251100001</t>
  </si>
  <si>
    <t>Simon, M; Brent, K; McDonald, J; McGee, J</t>
  </si>
  <si>
    <t>Simon, Manon; Brent, Kerryn; McDonald, Jan; McGee, Jeff</t>
  </si>
  <si>
    <t>Enhancing the Weather: Governance of Weather Modification Activities in Australia</t>
  </si>
  <si>
    <t>ENVIRONMENTAL AND PLANNING LAW JOURNAL</t>
  </si>
  <si>
    <t>LAW</t>
  </si>
  <si>
    <t>Weather modification by cloud seeding refers to technologies intended to manipulate the weather at a local scale. Over the last 70 years, Australia has played a leading role in cloud seeding research and development. Australian States have developed frameworks to promote opportunities and manage risks from cloud seeding. Weather modification governance was studied in the United States context, but there has been little consideration to date for Australian frameworks. This article provides a contemporary analysis of the weather modification governance in Australia and assesses the extent to which legal and policy frameworks meet future governance challenges. We analyse the cloud seeding experience in Victoria, New South Wales and Tasmania, and identify common features in their governance arrangements. We then point out gaps in current regulatory frameworks and call for a reconsideration of cloud seeding governance in Australia.</t>
  </si>
  <si>
    <t>[Simon, Manon; McDonald, Jan; McGee, Jeff] Univ Tasmania, Fac Law, Hobart, Tas, Australia; [Brent, Kerryn] Univ Adelaide, Sch Law, Adelaide, SA, Australia; [McDonald, Jan] Univ Tasmania, Ctr Marine Socioecol, Hobart, Tas, Australia; [McGee, Jeff] Univ Tasmania, Inst Marine &amp; Antarctic Studies, Hobart, Tas, Australia</t>
  </si>
  <si>
    <t>University of Tasmania; University of Adelaide; University of Tasmania; University of Tasmania</t>
  </si>
  <si>
    <t>Simon, M (corresponding author), Univ Tasmania, Fac Law, Hobart, Tas, Australia.</t>
  </si>
  <si>
    <t>; McDonald, Jan/J-7204-2014</t>
  </si>
  <si>
    <t>Brent, Kerryn/0000-0003-0983-2906; McDonald, Jan/0000-0002-7953-1458; Simon, Manon Auria Alizee/0000-0002-9220-3969</t>
  </si>
  <si>
    <t>LAWBOOK CO LTD</t>
  </si>
  <si>
    <t>PYRMONT</t>
  </si>
  <si>
    <t>LEVEL 6, 19 HARRIS ST, PYRMONT, NSW 2009, AUSTRALIA</t>
  </si>
  <si>
    <t>0813-300X</t>
  </si>
  <si>
    <t>ENVIRON PLAN LAW J</t>
  </si>
  <si>
    <t>Environ. Plan. Law J.</t>
  </si>
  <si>
    <t>OR1KJ</t>
  </si>
  <si>
    <t>WOS:000589234800004</t>
  </si>
  <si>
    <t>Bulthuis, K; Pattyn, F; Arnst, M</t>
  </si>
  <si>
    <t>Bulthuis, Kevin; Pattyn, Frank; Arnst, Maarten</t>
  </si>
  <si>
    <t>A Multifidelity Quantile-Bated Approach for Confidence Sets of Random Excursion Sets with Application to Ice-Sheet Dynamics</t>
  </si>
  <si>
    <t>SIAM-ASA JOURNAL ON UNCERTAINTY QUANTIFICATION</t>
  </si>
  <si>
    <t>excursion sets; confidence sets; quantile estimation; stochastic computational models; ice-sheet projections</t>
  </si>
  <si>
    <t>REGIONS; MODELS; RISK</t>
  </si>
  <si>
    <t>In this paper, we address uncertainty quantification of physics-based computational models when the quantity of interest concerns geometrical characteristics of their spatial response. Within the probabilistic context of the random set theory, we develop the concept of confidence sets that either contain or are contained within an excursion set of the spatial response with a specified probability level. We seek such confidence sets in a parametric family of nested candidate sets defined as a parametric family of sublevel or superlevel sets of a membership function. We show that the problem of identifying a confidence set with a given probability level in such a parametric family is equivalent to a problem of estimating a quantile of a random variable obtained as a global extremum of the membership function over the complement of the excursion set. To construct such confidence sets, we propose a computationally efficient bifidelity method that exploits a spectral representation of this random variable to reduce the required number of evaluations of the computational model. We show the interest of this concept of confidence sets and the efficiency gain of the proposed bifidelity method in an illustration relevant to the retreat of the grounded portion of the Antarctic ice sheet.</t>
  </si>
  <si>
    <t>[Bulthuis, Kevin; Arnst, Maarten] Univ Liege, Aerosp &amp; Mecan, Liege, Belgium; [Bulthuis, Kevin; Pattyn, Frank] Univ Libre Bruxelles, Lab Glaciol, Brussels, Belgium</t>
  </si>
  <si>
    <t>University of Liege; Universite Libre de Bruxelles</t>
  </si>
  <si>
    <t>Bulthuis, K (corresponding author), Univ Liege, Aerosp &amp; Mecan, Liege, Belgium.;Bulthuis, K (corresponding author), Univ Libre Bruxelles, Lab Glaciol, Brussels, Belgium.</t>
  </si>
  <si>
    <t>kevin.bulthuis@uliege.be; fpattyn@ulb.ac.be; maarten.arnst@uliege.be</t>
  </si>
  <si>
    <t>Bulthuis, Kevin/HLQ-7042-2023; Pattyn, Frank/AAA-9640-2019</t>
  </si>
  <si>
    <t>Pattyn, Frank/0000-0003-4805-5636; Arnst, Maarten/0000-0003-4993-0527; Bulthuis, Kevin/0000-0001-8706-0062</t>
  </si>
  <si>
    <t>Fonds de la Recherche Scientifique de Belgique (F.R.S.-FNRS Research Fellowship); Fonds de la Recherche Scientifique de Belgique (F.R.S-FNRS) [2.5020.11]; Walloon Region</t>
  </si>
  <si>
    <t>Fonds de la Recherche Scientifique de Belgique (F.R.S.-FNRS Research Fellowship); Fonds de la Recherche Scientifique de Belgique (F.R.S-FNRS)(Fonds de la Recherche Scientifique - FNRS); Walloon Region</t>
  </si>
  <si>
    <t>The work of the first author was supported by the Fonds de la Recherche Scientifique de Belgique (F.R.S.-FNRS Research Fellowship). Computational resources have been provided by the Consortium des Equipements de Calcul Intensif (CECI) funded by the Fonds de la Recherche Scientifique de Belgique (F.R.S-FNRS) under grant 2.5020.11 and by the Walloon Region.</t>
  </si>
  <si>
    <t>SIAM PUBLICATIONS</t>
  </si>
  <si>
    <t>3600 UNIV CITY SCIENCE CENTER, PHILADELPHIA, PA 19104-2688 USA</t>
  </si>
  <si>
    <t>2166-2525</t>
  </si>
  <si>
    <t>SIAM-ASA J UNCERTAIN</t>
  </si>
  <si>
    <t>SIAM-ASA J. Uncertain. Quantif.</t>
  </si>
  <si>
    <t>10.1137/19M1280466</t>
  </si>
  <si>
    <t>Mathematics, Interdisciplinary Applications; Physics, Mathematical</t>
  </si>
  <si>
    <t>Mathematics; Physics</t>
  </si>
  <si>
    <t>OS4QC</t>
  </si>
  <si>
    <t>WOS:000590148500002</t>
  </si>
  <si>
    <t>Ramírez, N; Melfo, A; Resler, LM; Llambí, LD</t>
  </si>
  <si>
    <t>Ramirez, Nerio; Melfo, Alejandra; Resler, Lynn M.; Llambi, Luis D.</t>
  </si>
  <si>
    <t>The end of the eternal snows: Integrative mapping of 100 years of glacier retreat in the Venezuelan Andes</t>
  </si>
  <si>
    <t>Climate change; geographic information system; glacier retreat; historical evidence; high tropical Andes; Venezuela</t>
  </si>
  <si>
    <t>TROPICAL ANDES; CLIMATE-CHANGE; ICE-AGE; PERU; UNCERTAINTIES; INVENTORY; RECESSION; EVOLUTION; HISTORY; DECLINE</t>
  </si>
  <si>
    <t>Venezuela will soon become the first Andean country to lose all of its glaciers, as the eternal snows of the Sierra Nevada de Merida (SNM) disappear. Although documentation of glacier retreat in Venezuela commenced over a century ago, an updated reconstruction at sufficient spatial resolution is warranted. Our objectives were to (a) produce detailed multitemporal maps of glacier cover in the SNM since 1952 and revise historical estimates for 1910 and (b) document changes in cover and rates of glacier retreat of the last Venezuelan glacier at Humboldt Peak. We integrated multiple information sources, including topographic/geomorphic evidence, high-resolution aerial photographs, satellite images, historical maps, panoramic photos, and field observations. We present 1:5,000 maps of glacier cover between 1952 and 2019 and revise the maps of 1910. In Venezuela, glacial area has decreased 98 percent between 1952 and 2019 (from 2.317 km(2) to 0.046 km(2)). Glacier retreat rates increased after 1998, with a maximum of -16.9 percent year(-1) between 2016 and 2019. These new maps should provide an essential tool for biophysical, ecological, and historical studies and a key reference for promoting awareness on climate change in the tropical Andes, where glaciers are intimately linked with cultural identity.</t>
  </si>
  <si>
    <t>[Ramirez, Nerio] Sect El Amparo, Unidad Repuesta Operativa, Merida, Venezuela; [Melfo, Alejandra] Univ Andes, Dept Fis, Ctr Fis Fundamental, Merida, Venezuela; [Resler, Lynn M.] Virginia Tech, Dept Geog, Blacksburg, VA USA; [Llambi, Luis D.] Univ Andes, Inst Ciencias Ambientales &amp; Ecol, Merida, Venezuela</t>
  </si>
  <si>
    <t>University of Los Andes Venezuela; Virginia Polytechnic Institute &amp; State University; University of Los Andes Venezuela</t>
  </si>
  <si>
    <t>Llambí, LD (corresponding author), Univ Andes, Inst Ciencias Ambientales &amp; Ecol, Fac Ciencias, Merida 5101, Venezuela.</t>
  </si>
  <si>
    <t>ldllambi@gmail.com</t>
  </si>
  <si>
    <t>Llambi, Luis Daniel/0000-0002-2031-810X; Resler, Lynn/0000-0002-5135-1797</t>
  </si>
  <si>
    <t>National Geographic Society [NGS-55170R-19]</t>
  </si>
  <si>
    <t>National Geographic Society(National Geographic Society)</t>
  </si>
  <si>
    <t>We thank the National Geographic Society for their financial support (Grant No. NGS-55170R-19).</t>
  </si>
  <si>
    <t>10.1080/15230430.2020.1822728</t>
  </si>
  <si>
    <t>OR7GM</t>
  </si>
  <si>
    <t>WOS:000589636000001</t>
  </si>
  <si>
    <t>Prahalad, V; Kirkpatrick, JB; Aalders, J; Carver, S; Ellison, J; Harrison-Day, V; McQuillan, P; Morrison, B; Richardson, A; Woehler, E</t>
  </si>
  <si>
    <t>Prahalad, Vishnu; Kirkpatrick, Jamie B.; Aalders, John; Carver, Scott; Ellison, Joanna; Harrison-Day, Violet; McQuillan, Peter; Morrison, Brigid; Richardson, Alastair; Woehler, Eric</t>
  </si>
  <si>
    <t>Conservation ecology of Tasmanian coastal saltmarshes, south-east Australia - a review</t>
  </si>
  <si>
    <t>PACIFIC CONSERVATION BIOLOGY</t>
  </si>
  <si>
    <t>biodiversity; coastal management; ecosystem services; salt marsh; wetland conservation</t>
  </si>
  <si>
    <t>SURFACE ELEVATION DYNAMICS; SEA-LEVEL RISE; SPARTINA-ANGLICA; CITIZEN SCIENCE; TAMAR ESTUARY; HUMAN IMPACTS; VEGETATION; WETLAND; MANAGEMENT; CLIMATE</t>
  </si>
  <si>
    <t>Temperate Australian saltmarshes, including those in the southern island state of Tasmania, are considered to be a threatened ecological community under Australian federal legislation. There is a need to improve our understanding of the ecological components, functional relationships and threatening processes of Tasmanian coastal saltmarshes and distil research priorities that could assist recovery actions. A semisystematic review of the literature on Tasmanian coastal saltmarshes supported by expert local knowledge identified 75 studies from 1947 to 2019. Existing understanding pertains to saltmarsh plants, soils, invertebrates and human impacts with ongoing studies currently adding to this knowledge base. Several knowledge gaps remain, and the present review recommends six key priority areas for research: (1) citizen science-organised inventory of (initially) saltmarsh birds, plants and human impacts with the potential for expansion of datasets; (2) use of saltmarsh by marine transient species including fish and decapods; (3) use of saltmarsh by, and interactions with, native and introduced mammals; (4) invertebrates and their interactions with predators (e.g. birds, fish) and prey (e.g. insects, plants, detritus); (5) historic saltmarsh loss and priority areas for conservation; (6) monitoring changes to saltmarsh due to both localised human impacts (e.g. grazing, eutrophication, destruction) and global change factors (e.g. climate change, sea-level rise). Addressing these research priorities will help in developing a better understanding of the ecological character of Tasmanian coastal saltmarshes and improve their conservation management.</t>
  </si>
  <si>
    <t>[Prahalad, Vishnu; Kirkpatrick, Jamie B.; Aalders, John; Ellison, Joanna; Harrison-Day, Violet; McQuillan, Peter; Morrison, Brigid] Univ Tasmania, Sch Technol Environm &amp; Design, Discipline Geog &amp; Spatial Sci, Private Bag 78, Hobart, Tas 7001, Australia; [Carver, Scott; Richardson, Alastair] Univ Tasmania, Sch Nat Sci, Discipline Biol Sci, Private Bag 55, Hobart, Tas 7001, Australia; [Woehler, Eric] Univ Tasmania, Inst Marine &amp; Antarctic Studies, Hobart, Tas 7004, Australia</t>
  </si>
  <si>
    <t>Prahalad, V (corresponding author), Univ Tasmania, Sch Technol Environm &amp; Design, Discipline Geog &amp; Spatial Sci, Private Bag 78, Hobart, Tas 7001, Australia.</t>
  </si>
  <si>
    <t>vishnu.prahalad@utas.edu.au</t>
  </si>
  <si>
    <t>Prahalad, Vishnu/P-2098-2015; Carver, Scott/J-7654-2014; Ellison, Joanna/C-2372-2014</t>
  </si>
  <si>
    <t>Prahalad, Vishnu/0000-0002-3547-616X; Carver, Scott/0000-0002-3579-7588; Woehler, Eric/0000-0002-1125-0748; Harrison-Day, Violet/0000-0002-2701-5961; Ellison, Joanna/0000-0003-0692-8347</t>
  </si>
  <si>
    <t>Australian Government Research Training Program Scholarship</t>
  </si>
  <si>
    <t>Australian Government Research Training Program Scholarship(Australian GovernmentDepartment of Industry, Innovation and Science)</t>
  </si>
  <si>
    <t>Research was supported by an Australian Government Research Training Program Scholarship. Michael Helman assisted with graphic design for Fig. 1. Three anonymous reviewers and the associate editor provided valuable comments to improve the manuscript.</t>
  </si>
  <si>
    <t>1038-2097</t>
  </si>
  <si>
    <t>2204-4604</t>
  </si>
  <si>
    <t>PAC CONSERV BIOL</t>
  </si>
  <si>
    <t>Pac. Conserv. Biol.</t>
  </si>
  <si>
    <t>10.1071/PC19016</t>
  </si>
  <si>
    <t>NM5YN</t>
  </si>
  <si>
    <t>WOS:000568172700003</t>
  </si>
  <si>
    <t>Buchkowski, RW; Morris, DW; Halliday, WD; Dupuch, A; Morrissette-Boileau, C; Boudreau, S</t>
  </si>
  <si>
    <t>Buchkowski, Robert W.; Morris, Douglas W.; Halliday, William D.; Dupuch, Angelique; Morrissette-Boileau, Clara; Boudreau, Stephane</t>
  </si>
  <si>
    <t>Warmer temperatures promote shrub radial growth but not cover in the central Canadian Arctic</t>
  </si>
  <si>
    <t>Climate change; dendrochronology; response function; Salix richardsonii; Walker Bay</t>
  </si>
  <si>
    <t>PLANT COMMUNITY RESPONSES; SALIX-ARCTICA; CLIMATE SENSITIVITY; NORTHERN ALASKA; TUNDRA; EXPANSION; FOREST; HETEROGENEITY; COMPETITION; PATTERNS</t>
  </si>
  <si>
    <t>We assessed the response of Salix richardsonii, a deciduous shrub, to climate change by determining the combination of climatic factors that regulated its growth over the past half-century. We tested whether increasing arctic temperatures promote shrub growth and increased cover. We analyzed fifty-four stems (out of seventy sampled) from S. richardsonii shrubs near the Walker Bay research station in Nunavut, Canada (68 degrees 21 ' N, 108 degrees 05 ' W) and surveyed shrub cover in 1996 and 2010. We measured annual growth rings, removed the age-related pattern, and used a response function analysis to explore the climate-growth relationship. The standardized chronology was positively associated with mean July temperature, corroborating other evidence that summer temperature is an important driver of shrub radial growth. Basal area increment revealed a long-term increase in radial growth, although it has stabilized this century. Surveys showed no significant increase in shrub cover at Walker Bay from 1996 to 2010. Our results support a growing body of evidence that increased shrub growth does not necessarily translate into a prolonged increase in shrub cover. Instead, we conclude that the heterogeneity of the arctic shrub response to climate change may be associated with variation in the proximate factors limiting recruitment such as water table saturation and herbivory.</t>
  </si>
  <si>
    <t>[Buchkowski, Robert W.; Morris, Douglas W.; Halliday, William D.; Dupuch, Angelique] Lakehead Univ, Dept Biol, 955 Oliver Rd, Thunder Bay, ON G1V 0A6, Canada; [Buchkowski, Robert W.] Univ Western Ontario, Dept Biol, London, ON, Canada; [Halliday, William D.] Univ Victoria, Dept Biol, Wildlife Conservat Soc Canada, Victoria, BC, Canada; [Dupuch, Angelique] Univ Quebec, Outaouais Inst Sci Foret Temperee, Dept Sci Nat, Quebec City, PQ, Canada; [Morrissette-Boileau, Clara; Boudreau, Stephane] Univ Laval, Ctr Etud Nord, Dept Biol, 1045 Ave Med, Laval, PQ, Canada</t>
  </si>
  <si>
    <t>Lakehead University; Western University (University of Western Ontario); University of Victoria; University of Quebec; Laval University</t>
  </si>
  <si>
    <t>Buchkowski, RW (corresponding author), Lakehead Univ, Dept Biol, 955 Oliver Rd, Thunder Bay, ON G1V 0A6, Canada.</t>
  </si>
  <si>
    <t>robert.buchkowski@gmail.com</t>
  </si>
  <si>
    <t>Boudreau, Stephane/I-7838-2012</t>
  </si>
  <si>
    <t>Halliday, William/0000-0001-7135-076X; Morris, Douglas/0000-0003-4515-9261; Boudreau, Stephane/0000-0002-1035-6452</t>
  </si>
  <si>
    <t>Canada's Natural Sciences and Engineering Research Council (NSERC); NSERC</t>
  </si>
  <si>
    <t>Canada's Natural Sciences and Engineering Research Council (NSERC)(Natural Sciences and Engineering Research Council of Canada (NSERC)); NSERC(Natural Sciences and Engineering Research Council of Canada (NSERC))</t>
  </si>
  <si>
    <t>We are thankful for support of D. Morris' research program in evolutionary ecology from Canada's Natural Sciences and Engineering Research Council (NSERC); for Northern Science and Technology Program grants to R. Buchkowski, W. Halliday, and M. Moses; and for an NSERC undergraduate student research award to R. Buchkowski.</t>
  </si>
  <si>
    <t>10.1080/15230430.2020.1824558</t>
  </si>
  <si>
    <t>OP8NE</t>
  </si>
  <si>
    <t>WOS:000588346300001</t>
  </si>
  <si>
    <t>Baak, JE; Provencher, JF; Mallory, ML</t>
  </si>
  <si>
    <t>Baak, Julia E.; Provencher, Jennifer F.; Mallory, Mark L.</t>
  </si>
  <si>
    <t>Changes in organ size and nutrient reserves of arctic terns (Sterna paradisaea) breeding near a High Arctic polynya</t>
  </si>
  <si>
    <t>Arctic; Charadriiformes; gizzard; lipid reserves; protein</t>
  </si>
  <si>
    <t>NORTHERN FULMARS; BODY CONDITION; ENERGY-EXPENDITURE; FOOD AVAILABILITY; ANNUAL CYCLE; MASS CHANGE; MARINE; SEABIRDS; REPRODUCTION; BIRDS</t>
  </si>
  <si>
    <t>The arctic tern (Sterna paradisaea) is a ubiquitous migratory seabird of the High Arctic, currently thought to be in decline in most of the circumpolar world, but surprisingly little is known of its biology at high latitudes. We studied organ size and nutrient reserves of arctic terns breeding beside a High Arctic polynya in Nunavut, Canada, from their arrival at the colony into the chick-rearing period. Both males and females had a decrease in gizzard size through breeding, with gizzard mass during chick-rearing 39 percent lower than on arrival at the breeding grounds. Through the duration of the breeding season, heart, liver, and small intestine showed little change, but females had higher fat and protein stores than males. Terns from this colony likely have increasing fat levels and high body condition due to proximity to a highly productive polynya, where terns appear to gain more energy than they expend during foraging trips. This suggests that though terns at this colony may be near the northern limit of their range, local conditions have a strong impact on organ and nutrient reserve dynamics of these arctic seabirds.</t>
  </si>
  <si>
    <t>[Baak, Julia E.; Provencher, Jennifer F.; Mallory, Mark L.] Acadia Univ, Dept Biol, 15 Univ Ave, Wolfville, NS B4P 2R6, Canada; [Provencher, Jennifer F.] Environm &amp; Climate Change Canada, Canadian Wildlife Serv, Gatineau, PQ, Canada</t>
  </si>
  <si>
    <t>Acadia University; Environment &amp; Climate Change Canada; Canadian Wildlife Service</t>
  </si>
  <si>
    <t>Mallory, ML (corresponding author), Acadia Univ, Dept Biol, 15 Univ Ave, Wolfville, NS B4P 2R6, Canada.</t>
  </si>
  <si>
    <t>mark.mallory@acadiau.ca</t>
  </si>
  <si>
    <t>Baak, Julia E./AAT-5109-2021; Provencher, Jennifer/J-2839-2016; Mallory, Mark/A-1952-2017</t>
  </si>
  <si>
    <t>Baak, Julia E./0000-0003-3284-4833; Provencher, Jennifer/0000-0002-4972-2034; Mallory, Mark/0000-0003-2744-3437</t>
  </si>
  <si>
    <t>Environment and Climate Change Canada (Canadian Wildlife Service); Natural Sciences and Engineering Research Council (NSERC) [1248212]; Natural Resources Canada (Polar Continental Shelf Project) [245-07]; Acadia University; Garfield Weston Fellowship in Northern Research by the Association of Canadian Universities for Northern Studies (ACUNS); NSERC scholarship</t>
  </si>
  <si>
    <t>Environment and Climate Change Canada (Canadian Wildlife Service); Natural Sciences and Engineering Research Council (NSERC)(Natural Sciences and Engineering Research Council of Canada (NSERC)); Natural Resources Canada (Polar Continental Shelf Project)(Natural Resources Canada); Acadia University; Garfield Weston Fellowship in Northern Research by the Association of Canadian Universities for Northern Studies (ACUNS); NSERC scholarship(Natural Sciences and Engineering Research Council of Canada (NSERC))</t>
  </si>
  <si>
    <t>This work was supported by Environment and Climate Change Canada (Canadian Wildlife Service; internal operational funding); the Natural Sciences and Engineering Research Council (NSERC; No. 1248212); Natural Resources Canada (Polar Continental Shelf Project; No. 245-07) and Acadia University. JLF was supported by a Garfield Weston Fellowship in Northern Research provided by the Association of Canadian Universities for Northern Studies (ACUNS), and JEB was supported by an NSERC scholarship.</t>
  </si>
  <si>
    <t>10.1080/15230430.2020.1827577</t>
  </si>
  <si>
    <t>OP8NB</t>
  </si>
  <si>
    <t>WOS:000588346000001</t>
  </si>
  <si>
    <t>Andreev, OM</t>
  </si>
  <si>
    <t>Andreev, O. M.</t>
  </si>
  <si>
    <t>Accounting of the internal structure of the ice hummock keel in thermodynamic calculations of the evolution of the consolidated layer</t>
  </si>
  <si>
    <t>LED I SNEG-ICE AND SNOW</t>
  </si>
  <si>
    <t>Arctic regions; internal structure; hummock; porosity; ridge keels; two-dimensional thermodynamic model of ice hammock</t>
  </si>
  <si>
    <t>Materials from long-term field observations of the internal structure of ice hummocks in the Arctic seas were analyzed. Empirical expressions describing the porosity distribution of the underwater part of a newly-formed hummock depending on the depth and width of the keel had been derived. A two-dimensional thermodynamic ice hummock model taking into account these expressions has been developed. The influence of porosity distribution on the results of thermodynamic calculations of ice hummock evolution is considered. It is shown that the porosity distribution in the ice hummock keel defines the growth of the consolidated layer to a large extent. The screening effect of the ice hummock sail on the evolution of the consolidated layer is less important. As a result, during the life-time of the ice hummock, the thickness of the consolidated layer in its central part becomes greater than at its edges. The smaller the size of the ice hummock, the faster this effect appears.</t>
  </si>
  <si>
    <t>[Andreev, O. M.] Arctic &amp; Antarctic Res Inst, St Petersburg, Russia</t>
  </si>
  <si>
    <t>Andreev, OM (corresponding author), Arctic &amp; Antarctic Res Inst, St Petersburg, Russia.</t>
  </si>
  <si>
    <t>andoleg@aari.ru</t>
  </si>
  <si>
    <t>Andreev, Oleg M./ABE-6472-2022</t>
  </si>
  <si>
    <t>Andreev, Oleg M./0009-0007-8558-7945</t>
  </si>
  <si>
    <t>INST GEOGRAPHY, RUSSIAN ACAD SCIENCES</t>
  </si>
  <si>
    <t>PROFSOYUZNAYA UL 90, MOSCOW, 117864, RUSSIA</t>
  </si>
  <si>
    <t>2076-6734</t>
  </si>
  <si>
    <t>2412-3765</t>
  </si>
  <si>
    <t>LED SNEG</t>
  </si>
  <si>
    <t>Led Sneg</t>
  </si>
  <si>
    <t>10.31857/S2076673420040059</t>
  </si>
  <si>
    <t>OQ0NS</t>
  </si>
  <si>
    <t>WOS:000588489900006</t>
  </si>
  <si>
    <t>Bogorodskiy, PV; Borodkin, VA; Kustov, VY; Sumkina, AA</t>
  </si>
  <si>
    <t>Bogorodskiy, P., V; Borodkin, V. A.; Kustov, V. Yu; Sumkina, A. A.</t>
  </si>
  <si>
    <t>Air convection in snow cover of sea ice</t>
  </si>
  <si>
    <t>convective instability; critical Rayleigh number; thermodynamic model</t>
  </si>
  <si>
    <t>For the first time, data on stability of stationary convective filtration within infinite horizontal layer of snow covering the flat surface of floating ice is presented in this article. An analytical solution of the linearized problem was obtained with the use of the Galerkin method, and the parametric analysis of the problem was performed. It was found that the stability criteria (Rayleigh filtration numbers) obtained with consideration for the heat exchange of snow cover with the atmosphere did not exceed the known value of 4 pi(2) for a horizontal porous layer with impermeable isothermal boundaries. As expected, the interaction with the atmosphere has the most significant impact on the critical Rayleigh numbers, while influence of variations in snow density and ice thickness and the thickness of the underlying layer of ice are small. Based on data of ice and meteorological observations made in the winter of 2015/16 in the Western part of the Laptev Sea together with calculations of the fast ice evolution, the values and temporal variability of temperature gradients and the Rayleigh numbers in the snow cover were obtained using a thermodynamic model. It was found that both, the model and observed magnitudes, exceeded their critical values determined by solving the stability problem. The conclusion is made that the convective regime of the heat transfer does really exist in the snow cover, and thus its contribution to the thermal and mass balance of sea ice during winter period should be taken into account.</t>
  </si>
  <si>
    <t>[Bogorodskiy, P., V; Borodkin, V. A.; Kustov, V. Yu] Arctic &amp; Antarctic Res Inst, St Petersburg, Russia; [Sumkina, A. A.] Russian Fed Res Inst Fisheries &amp; Oceanog, Moscow, Russia; [Sumkina, A. A.] Lomonosov Moscow State Univ, Moscow, Russia</t>
  </si>
  <si>
    <t>Arctic &amp; Antarctic Research Institute; Research lnstitute of Fisheries &amp; Oceanography; Lomonosov Moscow State University</t>
  </si>
  <si>
    <t>Bogorodskiy, PV (corresponding author), Arctic &amp; Antarctic Res Inst, St Petersburg, Russia.</t>
  </si>
  <si>
    <t>bogorodski@aari.ru</t>
  </si>
  <si>
    <t>Sumkina, Aleksandra/AAT-6393-2021</t>
  </si>
  <si>
    <t>Ministry of Science and Higher Education of the Russian Federation [RFMEFI61617X0076]</t>
  </si>
  <si>
    <t>The authors are gratitude to engi. neer V.V. Movchan for the assistance in carrying out thermometric measurements.This study was support. ed by the Ministry of Science and Higher Education of the Russian Federation (project Changing Arctic Transpolar System RFMEFI61617X0076).</t>
  </si>
  <si>
    <t>10.31857/S2076673420040060</t>
  </si>
  <si>
    <t>WOS:000588489900007</t>
  </si>
  <si>
    <t>Dyment, LN; Losev, SM</t>
  </si>
  <si>
    <t>Dyment, L. N.; Losev, S. M.</t>
  </si>
  <si>
    <t>Spatial differences in the distribution of leads in the ice cover in the Atlantic sector of the Arctic basin</t>
  </si>
  <si>
    <t>density of leads; leads; sea-ice; sea ice cover; specific length of leads; Western Arctic</t>
  </si>
  <si>
    <t>We analyzed data on the spatial distribution (density) of large breaks (gaps) in the drifting sea ice cover in the Western Arctic for the period from October 2005 to September 2017, obtained through decoding of low-resolution images from the NOAA satellites. The specific length of gaps, which is the total length of them over an area of 1 km(2), is used as a characteristic of the spatial density. It was found that along the continental slope, approximately from the meridian 70 degrees E to the Lincoln Sea, there is a well-defined area of high density, which remains throughout most part of the ice cycle. In this area, the values of the specific gap length averaged over two-month periods exceeded 24 m/km(2). In the near-polar region, the density of breaks was smaller throughout the whole ice cycle. The least values of the specific length take place in May-June that is caused by changes in the general state of the ice cover. It was determined that the density of gaps in this area of the Arctic basin well correlated with the speed of wind drift of ice: the more intensive the drift, the larger the density. On the continental slope, two local zones with maximum values of the specific length of breaks reaching 32 m/km(2) are considered. It is suggested that the stability of their location in space and time is connected with the increased influence of tidal processes on the deformation of the ice cover over local bottom elevations on the continental slope. A correlation between the bottom profile and the values of the specific length of the gaps along two conditional lines passing through the maximum value zones did show that the largest values of the density are noticed in areas with significant gradients of the depth.</t>
  </si>
  <si>
    <t>[Dyment, L. N.; Losev, S. M.] Arctic &amp; Antarctic Res Inst, St Petersburg, Russia</t>
  </si>
  <si>
    <t>Dyment, LN (corresponding author), Arctic &amp; Antarctic Res Inst, St Petersburg, Russia.</t>
  </si>
  <si>
    <t>ldyment@yandex.ru</t>
  </si>
  <si>
    <t>Dyment, Ludmila N/J-4289-2014</t>
  </si>
  <si>
    <t>10.31857/S2076673420040061</t>
  </si>
  <si>
    <t>WOS:000588489900008</t>
  </si>
  <si>
    <t>Pryakhina, GV; Chetverova, AA; Grigorieva, SD; Boronina, AS; Popov, SV</t>
  </si>
  <si>
    <t>Pryakhina, G., V; Chetverova, A. A.; Grigorieva, S. D.; Boronina, A. S.; Popov, S., V</t>
  </si>
  <si>
    <t>Breakthrough of Lake Progress (East Antarctica): a phenomenological model and approaches to assessing the characteristics of a flash flood</t>
  </si>
  <si>
    <t>Antarctic lakes; East Antarctica; geophysics; hydrograph modeling; hydrology; outburst/breakthrough flood; Progress Station</t>
  </si>
  <si>
    <t>On January 14, 2019, a breakthrough of water masses occurred on the Lake Progress (the oasis of the Larsemann hills, East Antarctica) with the formation of a flash flood. During the summer field seasons of the 63rd and 64th Russian Antarctic Expeditions (2017-2019), comprehensive hydrological, GPR and geodetic surveys were conducted in this area to ensure the safety of transport operations. The results of field measurements and calculations based on mathematical modeling of the breakthrough flood from the Lake are presented. The purpose of this study was to compare field observations and model calculations of the breakthrough flood and then to verify the existing model of Yu.B. Vinogradov on real data, since detailed observations of breakthrough floods of lakes of the Antarctic oases have not been previously carried out. The results of complex hydrological and geophysical investigations of LH73-Progress-Sibtorp lake system focused on areas where lake outburst are possible (snow-ice dams) made possible to formulate phenomenological model of the outburst process. It was emphasized that the lake water was discharged through a tunnel developed in the snow-ice dam, which subsequently evolved into a real riverbed. The maximum water discharge was formed approximately in 7.5 h after the start of the outflow, and it was estimated 5.4 m(3)s(-1) according to the in-situ measurements, and 4.94 m(3)s(-1) - by the model. The calculated volume of the flood is 76 320 m(3). The differences between the model and in-situ measurements are about 9% that can be explained by the fact that the time of water retention by the snow-ice dam is not considered in the model.</t>
  </si>
  <si>
    <t>[Pryakhina, G., V; Chetverova, A. A.; Grigorieva, S. D.; Boronina, A. S.; Popov, S., V] St Petersburg State Univ, St Petersburg, Russia; [Chetverova, A. A.; Grigorieva, S. D.] Arctic &amp; Antarctic Res Inst, St Petersburg, Russia; [Popov, S., V] Polar Marine Geosurvey Expedit, St Petersburg, Russia</t>
  </si>
  <si>
    <t>Pryakhina, GV (corresponding author), St Petersburg State Univ, St Petersburg, Russia.</t>
  </si>
  <si>
    <t>Cheterova, Antonina/N-1019-2013</t>
  </si>
  <si>
    <t>Cheterova, Antonina/0000-0001-7461-3617; Grigoreva, Svetlana/0000-0002-8853-559X; Prahina, Galina/0000-0003-3684-4638</t>
  </si>
  <si>
    <t>The authors would like to thank our colleagues G. Deshevykh, E. Ryzhova, A. Sukha. nova, the chief of the Progress station A. Voevodin and other involved people who supported our field. work during the field season; A. Mirakin for air survey of the study area; M. Kashkevich and our colleagues from GeophysPoisk and Institute of Earth science SPSU who provided us with hydrological, geophysical and geodetic equipment.The work was supported by the Russian Foundation for Basic Research in the framework of the scientific project No 18-05-00421.</t>
  </si>
  <si>
    <t>10.31857/S2076673420040065</t>
  </si>
  <si>
    <t>WOS:000588489900012</t>
  </si>
  <si>
    <t>Popov, I; Davydova, I</t>
  </si>
  <si>
    <t>Popov, Igor; Davydova, Iuliia</t>
  </si>
  <si>
    <t>Preliminary icebreaker-based survey of polar bears around Franz Josef Land, Russia</t>
  </si>
  <si>
    <t>URSUS</t>
  </si>
  <si>
    <t>abundance; Barents Sea; Franz Josef Land; icebreaker; polar bear; surveys; Russia; Ursus maritimus</t>
  </si>
  <si>
    <t>SEA</t>
  </si>
  <si>
    <t>As a Vulnerable species, regular estimates of polar bear (Ursus maritimus) numbers are an important requirement for understanding population status. In the Russian part of the Barents Sea subpopulation, near the Franz Josef Land Archipelago, counts of polar bears have not been conducted since 2004. We observed polar bears from icebreakers in this area in 2015 and 2017 and obtained a preliminary estimate of density and abundance.</t>
  </si>
  <si>
    <t>[Popov, Igor] St Petersburg State Univ, Univ Skaya 7-9, St Petersburg 199034, Russia; [Davydova, Iuliia] Arctic &amp; Antarctic Res Inst, Bering Str 38, St Petersburg 199397, Russia</t>
  </si>
  <si>
    <t>Popov, I (corresponding author), St Petersburg State Univ, Univ Skaya 7-9, St Petersburg 199034, Russia.</t>
  </si>
  <si>
    <t>igorioshapopov@mail.ru</t>
  </si>
  <si>
    <t>Popov, Igor/ABI-6423-2020; Davydova, Iuliia/AAN-2672-2021</t>
  </si>
  <si>
    <t>Popov, Igor/0000-0002-2564-3294;</t>
  </si>
  <si>
    <t>Saint Petersburg State University [28612627]</t>
  </si>
  <si>
    <t>Saint Petersburg State University</t>
  </si>
  <si>
    <t>The study represents collaboration between the Saint Petersburg State University and the Russian Arctic National Park. The authors are grateful to the Russian National Park Russian Arctic, and its director A. Kirillov and scientific manager M. Gavrilo, who allowed us space to conduct our work; we also thank the Institute of the Arctic and Antarctic, which provided maps detailing ice coverage conditions in the Barents Sea. We thank S. Chernikov, A. Kabanikhin, and M. Gavrilo (Russian Arctic National Park) for their help in polar bear counts. The final stage of this research was partly supported by a research grant from the Saint Petersburg State University (research grant no. 28612627). The authors thank A. Dukov, N. Yoakum, and N. Lentsman for corrections to the English version of the manuscript, editors Jon E. Swenson and M. Obbard, and reviewers for the review and assistance in the work on the article.</t>
  </si>
  <si>
    <t>INT ASSOC BEAR RESEARCH &amp; MANAGEMENT-IBA</t>
  </si>
  <si>
    <t>KNOXVILLE</t>
  </si>
  <si>
    <t>C/O TERRY WHITE, UNIV TENNESSEE, DEPT FORESTRY, WILDLIFE &amp; FISHERIES, PO BOX 1071, KNOXVILLE, TN 37901-1071 USA</t>
  </si>
  <si>
    <t>1537-6176</t>
  </si>
  <si>
    <t>1938-5439</t>
  </si>
  <si>
    <t>Ursus</t>
  </si>
  <si>
    <t>E14</t>
  </si>
  <si>
    <t>10.2192/URSUS-D-18-00030.4</t>
  </si>
  <si>
    <t>ON6IY</t>
  </si>
  <si>
    <t>WOS:000586803300001</t>
  </si>
  <si>
    <t>Alfaro, FD; Salazar-Burrows, A; Bañales-Seguel, C; García, JL; Manzano, M; Marquet, PA; Ruz, K; Gaxiola, A</t>
  </si>
  <si>
    <t>Alfaro, Fernando D.; Salazar-Burrows, Alejandro; Banales-Seguel, Camila; Garcia, Juan-Luis; Manzano, Marlene; Marquet, Pablo A.; Ruz, Kriss; Gaxiola, Aurora</t>
  </si>
  <si>
    <t>Soil microbial abundance and activity across forefield glacier chronosequence in the Northern Patagonian Ice Field, Chile</t>
  </si>
  <si>
    <t>Archaea; bacteria; fungi; soil development; Andean</t>
  </si>
  <si>
    <t>PRIMARY SUCCESSION; NITROGEN-FIXATION; NUTRIENT LIMITATION; FUNGAL COMMUNITIES; QUANTITATIVE PCR; SEA-LEVEL; BACTERIAL; DIVERSITY; INVENTORY; ICEFIELD</t>
  </si>
  <si>
    <t>In recently deglaciated soils, microbial organisms drive soil transformations by increasing carbon (C) and nitrogen (N) pools while depleting available phosphorous (P), thus improving plant colonization and soil development. However, the rate of soil development can vary in response to local environmental conditions that affect microbial abundance and activity. In this contribution we use observational and experimental approaches to evaluate the interplay between soil biogeochemical features and microbial abundance and function after approximately seventy years of soil development in the forefield of the Exploradores Glacier that is located at the northernmost end of the Northern Patagonian Ice Field. Our findings suggest that after approximately seventy years of soil development, microbial abundance and soil C and N accumulation increase with soil age, soil bulk density and pH decreased, and microbial activity measured as soil chlorophyll a and nifH gene abundance increased. In turn, decomposition increased with fungal abundance, showing higher values in the late stages of soil development where the soil C:N ratio was higher and soil pH was lower. Overall, biogeochemical changes along this chronosequence followed the predicted pattern, with gradual increases in soil nutrients and microbial abundance, in addition to decomposition processes.</t>
  </si>
  <si>
    <t>[Alfaro, Fernando D.; Manzano, Marlene; Ruz, Kriss] Univ Mayor, GEMA Ctr Genom Ecol &amp; Environm, Huechuraba, Chile; [Alfaro, Fernando D.; Marquet, Pablo A.; Gaxiola, Aurora] Inst Ecol &amp; Biodiversidad IEB, Santiago, Chile; [Salazar-Burrows, Alejandro; Garcia, Juan-Luis] Pontificia Univ Catolica Chile, Fac Hist Geog &amp; Ciencia Polit, Inst Geog, Santiago, Chile; [Salazar-Burrows, Alejandro] Pontificia Univ CatOlica Chile, Estn Patagonia Invest Interdisciplinarias UC, Santiago, Chile; [Salazar-Burrows, Alejandro] Observ Homme Milieux Int, INEE CNRS, LabEx DRIIHM, Patagonia Bahia Exploradores OHM I, Paris, France; [Banales-Seguel, Camila] Univ Concepcion, Fac Ciencias Ambientales, Concepcion, Chile; [Marquet, Pablo A.; Gaxiola, Aurora] Pontificia Univ Catolica Chile, Fac Ciencias Biol, Dept Ecol, Santiago, Chile; [Marquet, Pablo A.; Gaxiola, Aurora] Pontificia Univ Catolica Chile, Ctr Cambio Global UC PUCGlobal, Santiago, Chile; [Marquet, Pablo A.; Gaxiola, Aurora] Pontificia Univ Catolica Chile, Lab Int Cambio Global LINCGlobal, CSIC PUC, Santiago, Chile</t>
  </si>
  <si>
    <t>Universidad Mayor; Pontificia Universidad Catolica de Chile; Pontificia Universidad Catolica de Chile; Centre National de la Recherche Scientifique (CNRS); CNRS - Institute of Ecology &amp; Environment (INEE); Universidad de Concepcion; Pontificia Universidad Catolica de Chile; Pontificia Universidad Catolica de Chile; Pontificia Universidad Catolica de Chile</t>
  </si>
  <si>
    <t>Alfaro, FD (corresponding author), Univ Mayor, Ctr Genom Ecol &amp; Environm, Camino Piramide 5750, Santiago 8580745, Chile.</t>
  </si>
  <si>
    <t>fernando.alfaro@mayor.cl</t>
  </si>
  <si>
    <t>Alfaro, Fernando D./ABA-2789-2020; Salazar-Burrows, Alejandro/HJI-9198-2023; Marquet, Pablo A/B-7732-2009; Garcia-Barriga, Juan-Luis/U-6381-2017</t>
  </si>
  <si>
    <t>Salazar-Burrows, Alejandro/0000-0003-1558-7898; Marquet, Pablo A/0000-0001-6369-9339; Alfaro Ayllon, Fernando Daniel/0000-0003-2922-1838; Ruz, Kriss/0000-0002-5972-7816; Garcia-Barriga, Juan-Luis/0000-0002-9028-7572; Banales-Seguel, Camila/0000-0002-5206-8141; , Estacion Patagonia UC/0000-0002-6443-0646; manzano, marlene/0000-0001-9915-5165</t>
  </si>
  <si>
    <t>LabEx DRIIHM, French Programme Investissements d'Avenir [ANR-11-LABX-0010]; FONDECYT [1191865, 1161110]; ICMMINECON (Chile) [P05-002]; CONICYT (Chile) [AFB-170008]; Vicerrectoria de Investigacion (VRI), Universidad Mayor, Chile</t>
  </si>
  <si>
    <t>LabEx DRIIHM, French Programme Investissements d'Avenir(Agence Nationale de la Recherche (ANR)); FONDECYT(Comision Nacional de Investigacion Cientifica y Tecnologica (CONICYT)CONICYT FONDECYT); ICMMINECON (Chile); CONICYT (Chile)(Comision Nacional de Investigacion Cientifica y Tecnologica (CONICYT)); Vicerrectoria de Investigacion (VRI), Universidad Mayor, Chile</t>
  </si>
  <si>
    <t>This study was partly funded by the LabEx DRIIHM, French Programme Investissements d'Avenir (ANR-11-LABX-0010) which is managed by the French National Research Agency. FDA and AS-B received support from FONDECYT 1191865. FDA, AG &amp; PAM were supported by Grants ICMMINECON, P05-002 and CONICYT AFB-170008 (Chile) to the Institute of Ecology and Biodiversity. JLG received support from FONDECYT 1161110. FDA was supported by Vicerrectoria de Investigacion (VRI), Universidad Mayor, Chile.</t>
  </si>
  <si>
    <t>10.1080/15230430.2020.1820124</t>
  </si>
  <si>
    <t>ON2TY</t>
  </si>
  <si>
    <t>WOS:000586561300001</t>
  </si>
  <si>
    <t>Howkins, A</t>
  </si>
  <si>
    <t>Howkins, Adrian</t>
  </si>
  <si>
    <t>John Rae, Arctic Explorer. The Unfinished Autobiography</t>
  </si>
  <si>
    <t>[Howkins, Adrian] Univ Bristol, Dept Hist Studies, Bristol, Avon, England</t>
  </si>
  <si>
    <t>University of Bristol</t>
  </si>
  <si>
    <t>Howkins, A (corresponding author), Univ Bristol, Dept Hist Studies, Bristol, Avon, England.</t>
  </si>
  <si>
    <t>adrian.howkins@bristol.ac.uk</t>
  </si>
  <si>
    <t>Howkins, Adrian/0000-0002-9615-2337</t>
  </si>
  <si>
    <t>10.1080/15230430.2020.1820298</t>
  </si>
  <si>
    <t>OI4JG</t>
  </si>
  <si>
    <t>WOS:000583246400001</t>
  </si>
  <si>
    <t>Zhang, LY; Lian, XM; Yang, X</t>
  </si>
  <si>
    <t>Zhang, Liyun; Lian, Xinming; Yang, Xin</t>
  </si>
  <si>
    <t>Population density of snow leopards (Panthera uncia) in the Yage Valley Region of the Sanjiangyuan National Park: Conservation implications and future directions</t>
  </si>
  <si>
    <t>Snow leopard; population density; camera trapping; Tibetan Plateau; alpine ecosystem</t>
  </si>
  <si>
    <t>LIVESTOCK; PREDATION; HABITAT; NEPAL</t>
  </si>
  <si>
    <t>Population-based studies on snow leopard (Panthera uncia) are of theoretical and practical significance for the conservation of alpine ecosystems, though geographic remoteness and isolation hinder surveys in many promising regions. The Sanjiangyuan National Park on the Tibetan Plateau is acknowledged as a main snow leopard habitat, but most of the region remains unexplored and unknown. We adopted a combined approach of route survey and camera trapping survey to explore the population density of snow leopard in the Yage Valley region of the Sanjiangyuan National Park. Results indicated that (1) large populations of blue sheep contributed to the major food supply for snow leopards, along with diverse prey species as dietary supplementations, and (2) a population density of four to six snow leopards per 100 km(2)on the north bank was estimated, and nine to fourteen individuals within the valley core areas were identified. We also argue that under the potential impacts of hydropower dams, this valley ecosystem should be symbolized as a conservation hotspot and therefore merits prioritized conservation. We recommend further surveys combined with novel methods/techniques and advocate a sustainable ecotourism model for the first V-shaped valley along the Yangtze mainstream.</t>
  </si>
  <si>
    <t>[Zhang, Liyun] Yunnan Univ, Inst Int Rivers &amp; Ecosecur, Kunming, Yunnan, Peoples R China; [Zhang, Liyun] Yunnan Univ, Yunnan Key Lab Int Rivers &amp; Trans Boundary Ecosec, Kunming, Yunnan, Peoples R China; [Lian, Xinming] Chinese Acad Sci, Northwest Inst Plateau Biol, Key Lab Adaptat &amp; Evolut Plateau Biota, Xining 810008, Qinghai, Peoples R China; [Yang, Xin] Greenriver Environm Protect Assoc Sichuan Prov, Chengdu, Sichuan, Peoples R China</t>
  </si>
  <si>
    <t>Yunnan University; Yunnan University; Chinese Academy of Sciences</t>
  </si>
  <si>
    <t>Lian, XM (corresponding author), Chinese Acad Sci, Northwest Inst Plateau Biol, Key Lab Adaptat &amp; Evolut Plateau Biota, Xining 810008, Qinghai, Peoples R China.</t>
  </si>
  <si>
    <t>xm_lian@foxmail.com</t>
  </si>
  <si>
    <t>Zhang, Liyun/HSF-2667-2023</t>
  </si>
  <si>
    <t>Zhang, Liyun/0000-0002-0994-4994; lian, Xinming/0000-0002-2951-2128</t>
  </si>
  <si>
    <t>Second Tibetan Plateau Scientific Expedition and Research Program [2019QZKK0502]; CAS Light of West China Program</t>
  </si>
  <si>
    <t>Second Tibetan Plateau Scientific Expedition and Research Program; CAS Light of West China Program</t>
  </si>
  <si>
    <t>This work was funded by the Second Tibetan Plateau Scientific Expedition and Research Program (Grant Number 2019QZKK0502) and the CAS Light of West China Program.</t>
  </si>
  <si>
    <t>10.1080/15230430.2020.1816341</t>
  </si>
  <si>
    <t>OG8MW</t>
  </si>
  <si>
    <t>WOS:000582132100001</t>
  </si>
  <si>
    <t>Responses of low Arctic tundra plant species to experimental manipulations: Differences between abiotic and biotic factors and between short- and long-term effects</t>
  </si>
  <si>
    <t>Climate change; arctic tundra; long-term biomass response; shrub greening; warming</t>
  </si>
  <si>
    <t>ION-EXCHANGE-RESINS; CLIMATE-CHANGE; ERIOPHORUM-VAGINATUM; COMMUNITY STRUCTURE; GROWTH-RESPONSES; VEGETATION CHANGE; SHRUB EXPANSION; CARBON-DIOXIDE; DEEPENED SNOW; DWARF-SHRUB</t>
  </si>
  <si>
    <t>Climate change in arctic tundra is projected to affect air temperature, snow depth, soil fertility, and caribou herbivory, which may alter plant community composition by shifting niche space to favor particular species' life history strategies. We report responses of a Canadian mesic birch hummock tundra plant community to a range of manipulative experiments (greenhouse warming, fertilization, snow fence, and caribou exclosure treatments). Aboveground biomass of each plant species was measured in the same permanent 1 m(2) areas using the point frame method in 2005, 2011, and 2017. Although the greenhouse treatment had few effects on individual species, total vascular plant community biomass was enhanced between 2011 and 2017. Furthermore, species' biomass across all control plots was stable from 2005 to 2011 but increased significantly from 2011 to 2017, with air temperatures also warmer over that same period. Species responded to high-level nitrogen and high-level nitrogen and phosphorus combined additions, with deciduous shrubs and graminoids increasing and evergreen shrubs decreasing. The snow fences and caribou exclosures had little effect on species biomass. Although vegetation greening trends have been reported in arctic environments that are primarily influenced by maritime climate, our study is one of the first to provide plot-based evidence of recent plant biomass increases in the low Arctic's continental interior.</t>
  </si>
  <si>
    <t>[Gu, Qian; Grogan, Paul] Queens Univ, Dept Biol, Kingston, ON, Canada</t>
  </si>
  <si>
    <t>Queens University - Canada</t>
  </si>
  <si>
    <t>Gu, Q (corresponding author), Queens Univ, Grogan Lab, Dept Biol, Biosci Complex,116 Barrie St, Kingston, ON K7L 3N6, Canada.</t>
  </si>
  <si>
    <t>15qg1@queensu.ca</t>
  </si>
  <si>
    <t>Natural Sciences and Engineering Research Council (NSERC) of Canada [388660]; Northern Scientific Training Program (NSTP); Ontario Trillium Scholarship (OTS); Chinese Scholarship Council (CSC)</t>
  </si>
  <si>
    <t>Natural Sciences and Engineering Research Council (NSERC) of Canada(Natural Sciences and Engineering Research Council of Canada (NSERC)); Northern Scientific Training Program (NSTP); Ontario Trillium Scholarship (OTS); Chinese Scholarship Council (CSC)(China Scholarship Council)</t>
  </si>
  <si>
    <t>This work was funded by the Natural Sciences and Engineering Research Council (NSERC) of Canada (388660), the Northern Scientific Training Program (NSTP), the Ontario Trillium Scholarship (OTS), and the Chinese Scholarship Council (CSC).</t>
  </si>
  <si>
    <t>10.1080/15230430.2020.1815360</t>
  </si>
  <si>
    <t>OG7UE</t>
  </si>
  <si>
    <t>WOS:000582083500001</t>
  </si>
  <si>
    <t>Garkusha, I; Hnatushenko, V</t>
  </si>
  <si>
    <t>Garkusha, Igor; Hnatushenko, Volodymyr</t>
  </si>
  <si>
    <t>A Technology for Building a Seamless Mosaic Coverage of the Antarctica Coasts with Various-Time Images from Sentinel-1</t>
  </si>
  <si>
    <t>2020 IEEE 40TH INTERNATIONAL CONFERENCE ON ELECTRONICS AND NANOTECHNOLOGY (ELNANO)</t>
  </si>
  <si>
    <t>IEEE 40th International Conference on Electronics and Nanotechnology (ELNANO)</t>
  </si>
  <si>
    <t>APR 22-24, 2020</t>
  </si>
  <si>
    <t>Kyiv, UKRAINE</t>
  </si>
  <si>
    <t>mosaic coverage; Antarctica; Sentinel-1; blending; polarization; stitching</t>
  </si>
  <si>
    <t>The necessity and relevance of the practical use of the Antarctica coast mosaics is described. The key points related to the technology of preparation of the Sentinel-1 scenes for building the mosaic are presented. Sentinel-1 scene search services are listed, along with existing products that provide Antarctic mosaics. The geometrical boundaries of the selected Sentinel-1 radar scenes for the created multi-time Antarctic coast mosaics are presented. The sequence of steps for preprocessing Sentinel-1 radar products is described. The Antarctica coastal part mosaic is being built on their basis. The main provisions of the method for constructing a seamless mosaic image are outlined. The stitching method of the scenes into a mosaic is based on the geometric analysis process of location of pixels overlapping in the scenes. The main results of method implementation are shown in a fragment of the Antarctica coverage mosaic. Experiments show that the technology can achieve automatic panoramic mosaic of the survey area.</t>
  </si>
  <si>
    <t>[Garkusha, Igor; Hnatushenko, Volodymyr] Dnipro Univ Technol, Dept Informat Syst &amp; Technol, EOS Data Analyt Ukraine, Dnipro, Ukraine</t>
  </si>
  <si>
    <t>Ministry of Education &amp; Science of Ukraine; Dnipro University of Technology</t>
  </si>
  <si>
    <t>Garkusha, I (corresponding author), Dnipro Univ Technol, Dept Informat Syst &amp; Technol, EOS Data Analyt Ukraine, Dnipro, Ukraine.</t>
  </si>
  <si>
    <t>igor.garkusha@eos.com; vvgnat@ukr.net</t>
  </si>
  <si>
    <t>Garkusha, Igor I.M./A-3206-2019; Hnatushenko, Volodymyr/C-8740-2016</t>
  </si>
  <si>
    <t>Hnatushenko, Volodymyr/0000-0003-3140-3788</t>
  </si>
  <si>
    <t>EOS company</t>
  </si>
  <si>
    <t>This work has been supported by the EOS company (https://eos.com/).We also thank the European Union Copernicus program providing Sentinel-1 data.</t>
  </si>
  <si>
    <t>978-1-7281-9713-5</t>
  </si>
  <si>
    <t>10.1109/elnano50318.2020.9088909</t>
  </si>
  <si>
    <t>Engineering, Electrical &amp; Electronic; Nanoscience &amp; Nanotechnology</t>
  </si>
  <si>
    <t>Engineering; Science &amp; Technology - Other Topics</t>
  </si>
  <si>
    <t>BQ1XL</t>
  </si>
  <si>
    <t>WOS:000578046300157</t>
  </si>
  <si>
    <t>Blagoveshchensky, DV; Kalishin, AS; Sergeeva, MA</t>
  </si>
  <si>
    <t>Blagoveshchensky, D., V; Kalishin, A. S.; Sergeeva, M. A.</t>
  </si>
  <si>
    <t>Complex sounding of the ionosphere during the intense magnetic substorm</t>
  </si>
  <si>
    <t>2020 14TH EUROPEAN CONFERENCE ON ANTENNAS AND PROPAGATION (EUCAP 2020)</t>
  </si>
  <si>
    <t>Proceedings of the European Conference on Antennas and Propagation</t>
  </si>
  <si>
    <t>14th European Conference on Antennas and Propagation (EuCAP)</t>
  </si>
  <si>
    <t>MAR 15-20, 2020</t>
  </si>
  <si>
    <t>magnetic substorm; ionosphere; vertical ionospheric sounding; oblique ionospheric sounding; propagation</t>
  </si>
  <si>
    <t>The magnetic substorm effects on the ionosphere and radio propagation conditions are discussed. The vertical and oblique ionospheric sounding data were used for the study. The characteristic features at high latitudes were revealed: the Es oblique layers appearance, their multilayer structure and diffuse F-formations as well as the EsMOF changes and multi-hop Es reflections. The processes in the ionosphere were qualitatively similar within 400 km distance southward from Sodankyla. The difference of the processes much more southward (2250 km far) where the reflection point of the mid-latitude radio path lies was revealed.</t>
  </si>
  <si>
    <t>[Blagoveshchensky, D., V] St Petersburg State Univ Aerosp Instrumentat, St Petersburg, Russia; [Kalishin, A. S.] Arctic &amp; Antarctic Res Inst, St Petersburg, Russia; [Sergeeva, M. A.] Univ Nacl Autonoma Mexico, Inst Geofis, Unidad Michoacan, SCiESMEX,LANCE, Mexico City, DF, Mexico; [Sergeeva, M. A.] Univ Nacl Autonoma Mexico, Inst Geofis, Unidad Michoacan, CONACyT, Mexico City, DF, Mexico</t>
  </si>
  <si>
    <t>Saint Petersburg State University of Aerospace Instrumentation; Arctic &amp; Antarctic Research Institute; Universidad Nacional Autonoma de Mexico; Universidad Nacional Autonoma de Mexico</t>
  </si>
  <si>
    <t>Sergeeva, MA (corresponding author), Univ Nacl Autonoma Mexico, Inst Geofis, Unidad Michoacan, SCiESMEX,LANCE, Mexico City, DF, Mexico.;Sergeeva, MA (corresponding author), Univ Nacl Autonoma Mexico, Inst Geofis, Unidad Michoacan, CONACyT, Mexico City, DF, Mexico.</t>
  </si>
  <si>
    <t>maria.a.sergeeva@gmail.com</t>
  </si>
  <si>
    <t>Kalishin, Alexey/0000-0001-7299-6546</t>
  </si>
  <si>
    <t>Russian Foundation for Basic Research [18-05-00343]</t>
  </si>
  <si>
    <t>This work was supported by grant No 18-05-00343 from Russian Foundation for Basic Research. The authors thank the Department of Geophysics of Arctic and Antarctic Research Institute, Russia (www.geophys.aari.ru) and Denis Rogov in particular for the provided OIS and VIS ionosonde data. The authors express their gratitude to the services of Sodankyla Geophysical Observatory for their data (http://www.sgo.fi/). Magnetic field data were obtained at http://www.space.fmi.fi/image/reqform/dataform.html. We thank the institutes who maintain the IMAGE Magnetometer Array and particular Sodankyla Geophysical Observatory of the University of Oulu (Finland). The OMNI data (Dst and Kp indices) were obtained from the GSFC/SPDF OMNIWeb interface at https://omniweb.gsfc.nasa.gov.PC-index data were downloaded at https://pcindex.org/archive.</t>
  </si>
  <si>
    <t>2164-3342</t>
  </si>
  <si>
    <t>978-88-31299-00-8</t>
  </si>
  <si>
    <t>PROC EUR CONF ANTENN</t>
  </si>
  <si>
    <t>10.23919/EuCAP48036.2020.9135959</t>
  </si>
  <si>
    <t>BP8CB</t>
  </si>
  <si>
    <t>WOS:000564218703104</t>
  </si>
  <si>
    <t>Olmi, R; Priori, S; Puggelli, F; Toccafondi, A</t>
  </si>
  <si>
    <t>Olmi, Roberto; Priori, Saverio; Puggelli, Federico; Toccafondi, Alberto</t>
  </si>
  <si>
    <t>UHF and L-Band Microwave Measurements of the Antarctic Firn-Layer Complex Permittivity Depth Profile</t>
  </si>
  <si>
    <t>In order to characterize the complex permittivity depth profile of the firn constituting the Antarctic ice sheet, a microwave probe, based on the open-coaxial re-entrant cavity method, is designed, realized and then used during an Antarctic campaign. Preliminary results of the measurements of firn permittivity depth profile, are presented and discussed highlighting very good agreement with expected values.</t>
  </si>
  <si>
    <t>[Olmi, Roberto; Priori, Saverio] IFAC CNR, Sesto Fiorentino, France; [Puggelli, Federico; Toccafondi, Alberto] Univ Siena, Dept Informat Engn &amp; Math, Siena, Italy</t>
  </si>
  <si>
    <t>University of Siena</t>
  </si>
  <si>
    <t>Olmi, R (corresponding author), IFAC CNR, Sesto Fiorentino, France.</t>
  </si>
  <si>
    <t>r.olmi@ifac.cnr.it</t>
  </si>
  <si>
    <t>TOCCAFONDI, Alberto/0000-0001-7492-9902</t>
  </si>
  <si>
    <t>2016 Italian National Antarctic Program [PNRA 2016/AC3.05]</t>
  </si>
  <si>
    <t>2016 Italian National Antarctic Program</t>
  </si>
  <si>
    <t>This work is supported by of the 2016 Italian National Antarctic Program under the project PNRA 2016/AC3.05.</t>
  </si>
  <si>
    <t>WOS:000564218703076</t>
  </si>
  <si>
    <t>Sergeeva, MA; Kalishin, AS; Maltseva, OA; Blagoveshchensky, DV; Gonzalez-Esparza, JA; Corona-Romero, P; Gatica-Acevedo, VJ</t>
  </si>
  <si>
    <t>Sergeeva, M. A.; Kalishin, A. S.; Maltseva, O. A.; Blagoveshchensky, D. V.; Gonzalez-Esparza, J. A.; Corona-Romero, P.; Gatica-Acevedo, V. J.</t>
  </si>
  <si>
    <t>Possibility of signal reflection from the northern crest of EIA: case study</t>
  </si>
  <si>
    <t>equatorial ionization anomaly; radio propagation; anomalous reflection; ionosonde; TEC; Mexico</t>
  </si>
  <si>
    <t>SPACE WEATHER EVENTS</t>
  </si>
  <si>
    <t>The case of the anomalous signal propagation in the low-latitude American sector is studied. The possibility of the signal reflection from the electron density gradient caused by the northern crest of the equatorial ionization anomaly at the background of geomagnetic activity increase is considered. In the absence of other probable causes, it seems that the short time anomalous signal reflection from the density gradient is possible when the local geomagnetic index Kmex is more or equal to 5 during the evening hours.</t>
  </si>
  <si>
    <t>[Sergeeva, M. A.; Gonzalez-Esparza, J. A.; Corona-Romero, P.] Univ Nacl Autonoma Mexico, SCiESMEX, LANCE, Inst Geofis,Unidad Michoacan, Mexico City, DF, Mexico; [Sergeeva, M. A.; Corona-Romero, P.] Univ Nacl Autonoma Mexico, CONACyT, Inst Geofis, Unidad Michoacan, Mexico City, DF, Mexico; [Kalishin, A. S.] Arctic &amp; Antarctic Res Inst, St Petersburg, Russia; [Maltseva, O. A.] Southern Fed Univ, Inst Phys, Rostov Na Donu, Russia; [Blagoveshchensky, D. V.] St Petersburg State Univ Aerosp Instrumentat, St Petersburg, Russia; [Gatica-Acevedo, V. J.] Inst Politecn Nacl, Mexico City, DF, Mexico</t>
  </si>
  <si>
    <t>Universidad Nacional Autonoma de Mexico; Universidad Nacional Autonoma de Mexico; Arctic &amp; Antarctic Research Institute; Southern Federal University; Saint Petersburg State University of Aerospace Instrumentation; Instituto Politecnico Nacional - Mexico</t>
  </si>
  <si>
    <t>Sergeeva, MA (corresponding author), Univ Nacl Autonoma Mexico, SCiESMEX, LANCE, Inst Geofis,Unidad Michoacan, Mexico City, DF, Mexico.;Sergeeva, MA (corresponding author), Univ Nacl Autonoma Mexico, CONACyT, Inst Geofis, Unidad Michoacan, Mexico City, DF, Mexico.</t>
  </si>
  <si>
    <t>Gonzalez-Esparza, J. Americo/AAC-7376-2019; Corona-Romero, Pedro/AAV-9636-2020; Corona-Romero, Pedro/AFM-9832-2022</t>
  </si>
  <si>
    <t>Gonzalez-Esparza, J. Americo/0000-0003-4774-1829; Corona-Romero, Pedro/0000-0002-2573-2967; GATICA ACEVEDO, VICTOR JOSE/0000-0001-5272-4498; Kalishin, Alexey/0000-0001-7299-6546</t>
  </si>
  <si>
    <t>CONACyT [254812, LN-299022, PN 2015-173]; CONACyT-AEM [2017-01-292684]; Russian Foundation for Basic Research [18-05-00343]; Ministry of Education and Science of Russia [N3.9696.2017/8.9]</t>
  </si>
  <si>
    <t>CONACyT(Consejo Nacional de Ciencia y Tecnologia (CONACyT)); CONACyT-AEM; Russian Foundation for Basic Research(Russian Foundation for Basic Research (RFBR)Spanish Government); Ministry of Education and Science of Russia(Ministry of Education and Science, Russian Federation)</t>
  </si>
  <si>
    <t>LANCE acknowledges partial support from CONACyT LN-299022, CONACyT PN 2015-173 and CONACyT-AEM Grant 2017-01-292684. This work was supported by grant No 18-05-00343 from Russian Foundation for Basic Research. O.A. Maltseva acknowledges the grant under the state task N3.9696.2017/8.9 from the Ministry of Education and Science of Russia. P. Corona-Romero is grateful for CONACyT grant 254812. The authors express their gratitude to the services of IGS for the opportunity to use IONEX and map-format data via the internet (ftp://cddis.gsfc.nasa.gov/pub/gps/products/ionex/and ftp://igs-final.man.olsztyn.pl/). Terminator passage was obtained with use of Solar Terminator software (AARI). We acknowledge LANCE technical support by Ernesto Andrade-Mascote, Pablo Villanueva-Hernandez, Adan Espinoza-Jimenez and Juan Luis Godoy-Hernandez.</t>
  </si>
  <si>
    <t>10.23919/EuCAP48036.2020.9135786</t>
  </si>
  <si>
    <t>WOS:000564218702159</t>
  </si>
  <si>
    <t>Otani, S; Miyaoka, Y; Ikeda, A; Ohno, G; Imura, S; Watanabe, K; Kurozawa, Y</t>
  </si>
  <si>
    <t>Otani, Shinji; Miyaoka, Yoichi; Ikeda, Atsushi; Ohno, Giichiro; Imura, Satoshi; Watanabe, Kentaro; Kurozawa, Youichi</t>
  </si>
  <si>
    <t>Evaluating Health Impact at High Altitude in Antarctica and Effectiveness of Monitoring Oxygen Saturation</t>
  </si>
  <si>
    <t>YONAGO ACTA MEDICA</t>
  </si>
  <si>
    <t>Antarctic regions; altitude sickness; hypoxia; oximetry; cold temperature</t>
  </si>
  <si>
    <t>Background The Japanese Antarctic Research Expedition (JARE) has been conducting research activities in inland Antarctica, which is extremely cold dryland covered with a thick ice sheet. This environment may cause a health disorder called acute mountain sickness (AMS). To improve the safety of expedition members, we evaluated the impact of extreme environmental conditions on human health and the effectiveness of monitoring of hypoxia for the early detection of AMS. Methods In total, 9 members from JARE 59 were studied. Dome Fuji Station (Dome F), located 3,810 m above sea level (ASL), was the destination of the research party. We analyzed daily AMS scores (higher values correspond to more severe AMS-related symptoms), physiological findings, and percutaneous arterial blood oxygen saturation (Sp02) during the inland activity. We also determined the factors related to AMS scores. Results The average AMS score on arrival at Dome F was significantly higher than that at the departure point (560 m ASL). The average Sp02 level was significantly lower than that at other points. The Sp02 level correlated negatively with the AMS score in Spearman's rank correlation. Generalized estimating equations analysis showed that the AMS score was negatively associated with Sp02 level and positively associated with age. Conclusion Hypoxia is a contributory factor to AMS which we can easily assess by measuring the Sp02 level with a pulse oximeter. Sp02 monitoring is a potentially useful health management tool for members in inland Antarctic expeditions. In addition, our results are helpful for understanding physiological responses and health issues in extreme environments.</t>
  </si>
  <si>
    <t>[Otani, Shinji] Tottori Univ, Int Platform Dryland Res &amp; Educ, Tottori 6800001, Japan; [Miyaoka, Yoichi] Hokkaido Univ, Dept Gastroenterol Surg 1, Sapporo, Hokkaido 0608648, Japan; [Ikeda, Atsushi] Univ Tsukuba Hosp, Dept Urol, Tsukuba, Ibaraki 3058576, Japan; [Ohno, Giichiro] Tokatsu Hosp, Dept Surg, Nagareyama 2700153, Japan; [Ohno, Giichiro; Imura, Satoshi; Watanabe, Kentaro] Natl Inst Polar Res, Tachikawa, Tokyo 1908518, Japan; [Ikeda, Atsushi; Kurozawa, Youichi] Tottori Univ, Fac Med, Sch Med, Dept Social Med,Div Hlth Adm &amp; Promot, Yonago, Tottori 6838504, Japan</t>
  </si>
  <si>
    <t>Tottori University; Hokkaido University; University of Tsukuba; Research Organization of Information &amp; Systems (ROIS); National Institute of Polar Research (NIPR) - Japan; Tottori University</t>
  </si>
  <si>
    <t>Otani, S (corresponding author), Tottori Univ, Int Platform Dryland Res &amp; Educ, Tottori 6800001, Japan.</t>
  </si>
  <si>
    <t>otanis@tottori-u.acjp</t>
  </si>
  <si>
    <t>Otani, Shinji/B-8273-2019; Ikeda, Atsushi/AAP-8056-2020</t>
  </si>
  <si>
    <t>Otani, Shinji/0000-0002-3024-3578; Ikeda, Atsushi/0000-0003-0934-5470; Watanabe, Kentaro/0000-0002-5177-0086</t>
  </si>
  <si>
    <t>National Institute of Polar Research (NIPR) under Ministry of Education, Culture, Sports, Science and Technology</t>
  </si>
  <si>
    <t>This study is a part of the Science Program of Japanese Antarctic Research Expedition (JARE). It was supported by National Institute of Polar Research (NIPR) under Ministry of Education, Culture, Sports, Science and Technology. We thank the members of an inland research party participating in JARE 59 for their support in the present study.</t>
  </si>
  <si>
    <t>TOTTORI UNIV MEDICAL PRESS</t>
  </si>
  <si>
    <t>YONAGO</t>
  </si>
  <si>
    <t>86 NISHI-CHO, YONAGO, TOTTORI-KEN 683-8503, JAPAN</t>
  </si>
  <si>
    <t>0513-5710</t>
  </si>
  <si>
    <t>1346-8049</t>
  </si>
  <si>
    <t>YONAGO ACTA MED</t>
  </si>
  <si>
    <t>Yonago Acta Med.</t>
  </si>
  <si>
    <t>10.33160/yam.2020.08.004</t>
  </si>
  <si>
    <t>Medicine, Research &amp; Experimental</t>
  </si>
  <si>
    <t>Research &amp; Experimental Medicine</t>
  </si>
  <si>
    <t>NZ0UP</t>
  </si>
  <si>
    <t>WOS:000576809000004</t>
  </si>
  <si>
    <t>Ossyssek, S; Geist, J; Werner, P; Raeder, U</t>
  </si>
  <si>
    <t>Ossyssek, Stefan; Geist, Juergen; Werner, Petra; Raeder, Uta</t>
  </si>
  <si>
    <t>Identification of the ecological preferences of Cyclotella comensis in mountain lakes of the northern European Alps</t>
  </si>
  <si>
    <t>Cyclotella comensis; mountain lakes; lake water temperature; phytoplankton</t>
  </si>
  <si>
    <t>PAST ENVIRONMENTAL-CONDITIONS; PLANKTONIC DIATOM CYCLOTELLA; CHRYSOPHYTE CYST ASSEMBLAGES; QUANTITATIVE INDICATORS; AIR-TEMPERATURE; CLIMATE-CHANGE; WATER TEMPERATURE; SENSU-LATO; PHYTOPLANKTON; LIGHT</t>
  </si>
  <si>
    <t>Planktic diatom ecology in the mountain lakes of the northern European Alps has only been studied sparsely so far. To fill this knowledge gap, the driving parameters of planktic diatom assemblage composition in the euphotic zones of twenty lakes located between 955 and 2,060 m a.s.l. were assessed. The mean August water temperature, concentration of major ions, total phosphorous, and lake physical parameters explained significant amounts of variation within the diatom assemblages, as identified by redundancy analysis and consecutive backward selection.Cyclotella comensiswas the most abundant taxon in these oligotrophic (&lt;17 total phosphorus mu g/L), phosphorous (P) limited, stratified study lakes, particularly when the calcium concentration was high (&gt;35 mg/L). The results of generalized linear models and generalized additive models further revealed that August surface temperature, thermocline depth, and nitrate-N positively and significantly influencedC. comensisgrowth. These results shed light on the interplay between physical and chemical parameters as important drivers ofC. comensisabundance in temperate mountain lakes. They may aid in the interpretation of past and the prediction of future climate-driven changes in planktic diatom composition in these lakes.</t>
  </si>
  <si>
    <t>[Ossyssek, Stefan; Geist, Juergen; Raeder, Uta] Tech Univ Munich, Aquat Syst Biol Unit, Limnol Res Stn Iffeldorf, D-82393 Iffeldorf, Germany; [Werner, Petra] Diatoms Bioindicators, Berlin, Germany</t>
  </si>
  <si>
    <t>Technical University of Munich</t>
  </si>
  <si>
    <t>Ossyssek, S (corresponding author), Tech Univ Munich, Aquat Syst Biol Unit, Limnol Res Stn Iffeldorf, D-82393 Iffeldorf, Germany.</t>
  </si>
  <si>
    <t>stefan.ossyssek@gmx.de</t>
  </si>
  <si>
    <t>Geist, Juergen/C-4933-2008</t>
  </si>
  <si>
    <t>Geist, Juergen/0000-0001-7698-3443; Ossyssek, Stefan/0000-0002-3632-5478</t>
  </si>
  <si>
    <t>Deutsche Bundesstiftung Umwelt [20016/434]</t>
  </si>
  <si>
    <t>Deutsche Bundesstiftung Umwelt</t>
  </si>
  <si>
    <t>This work was supported by the Deutsche Bundesstiftung Umwelt (20016/434).</t>
  </si>
  <si>
    <t>10.1080/15230430.2020.1813930</t>
  </si>
  <si>
    <t>NY8CA</t>
  </si>
  <si>
    <t>WOS:000576609700001</t>
  </si>
  <si>
    <t>Stern, RJ; Ali, K</t>
  </si>
  <si>
    <t>Hamimi, Z; ElBarkooky, A; Frias, JM; Fritz, H; AbdElRahman, Y</t>
  </si>
  <si>
    <t>Stern, Robert J.; Ali, Kamal</t>
  </si>
  <si>
    <t>Crustal Evolution of the Egyptian Precambrian Rocks</t>
  </si>
  <si>
    <t>GEOLOGY OF EGYPT</t>
  </si>
  <si>
    <t>Regional Geology Reviews</t>
  </si>
  <si>
    <t>ARABIAN-NUBIAN SHIELD; NORTH EASTERN DESERT; VOLCANO-SEDIMENTARY COMPLEX; MAFIC-ULTRAMAFIC INTRUSION; SOLAF METAMORPHIC COMPLEX; BANDED IRON FORMATIONS; ALLAQI-HEIANI SUTURE; ALASKAN-TYPE COMPLEX; HAMISANA SHEAR ZONE; PB ZIRCON AGES</t>
  </si>
  <si>
    <t>Precambrian basement of the Egyptian sector of the Arabian-Nubian Shield are well exposed on the flanks of the Red Sea and along the border with Sudan, making it an excellent place to study Neoproterozoic processes of crustal growth, obduction-accretion tectonics, and post collisional escape tectonics. We review the published field observations, structural geological analyses, and geochemical and isotopic data to provide an up-to-date overview Neoproterozoic and pre-Neoproterozoic crustal formation in Egypt. Egyptian basement exposures are distributed in three major places: southern Sinai, the Eastern Desert and in the southernmost Western Desert. Neoproterozoic igneous rocks dominate basement exposures in southern Sinai, the Eastern Desert, and the eastern part of the SW Desert, although similar to 1.0 Ga crust is documented from northernmost basement exposures in southern Sinai. Neoproterozoic basement rocks mainly consist of ophiolite associations, calc-alkaline and alkaline, and immature sediments; these rocks are especially well exposed in the Central Eastern Desert. Older Neoproterozoic basement rocks represent juvenile arc terranes that formed during Upper Tonian-Cryogenian time at similar to 650-750 Ma around the margins of the Mozambique Ocean. Accretion of juvenile arc and backarc basin systems ended by Late Neoproterozoic time (similar to 620 Ma) when large fragments of east and west Gondwana collided, closing the Mozambique Ocean and forming the East African-Antarctic Orogen. Orogenic collapse and escape tectonics to form NW-SE trending Najd shear zones was associated with intense igneous activity in Ediacaran time; these igneous rocks are especially abundant in Sinai and the NE Desert. Exposures along the E-W Nubian Swell from Aswan to Uweinat provide a glimpse of the transition from juvenile Neoproterozoic rocks of the Arabian-Nubian Shield westward into Archean and Paleoproterozoic rocks of the Saharan Metacraton. We have much to learn about the formation of Egypt's crust; the SE Desert is especially poorly known, and there are surprises to be discovered in the NE Desert basement. Future efforts to understand the crust of Egypt will require seismic refraction profiles to resolve its crustal structure; aeromagnetic mapping to resolve its crustal fabric; and drilling to sample basement buried beneath sediments of the vast Western Desert and Mediterranean coast.</t>
  </si>
  <si>
    <t>[Stern, Robert J.] Univ Texas Dallas, Geosci Dept, Richardson, TX 75080 USA; [Ali, Kamal] King Abdulaziz Univ, Fac Earth Sci, Jeddah 21589, Saudi Arabia</t>
  </si>
  <si>
    <t>University of Texas System; University of Texas Dallas; King Abdulaziz University</t>
  </si>
  <si>
    <t>Stern, RJ (corresponding author), Univ Texas Dallas, Geosci Dept, Richardson, TX 75080 USA.</t>
  </si>
  <si>
    <t>rjstern@utdallas.edu</t>
  </si>
  <si>
    <t>Ali, Kamal/J-5329-2012</t>
  </si>
  <si>
    <t>Ali, Kamal/0000-0002-7332-7843</t>
  </si>
  <si>
    <t>2364-6438</t>
  </si>
  <si>
    <t>2364-6446</t>
  </si>
  <si>
    <t>978-3-030-15265-9; 978-3-030-15264-2</t>
  </si>
  <si>
    <t>REGION GEOL REV</t>
  </si>
  <si>
    <t>10.1007/978-3-030-15265-9_4</t>
  </si>
  <si>
    <t>10.1007/978-3-030-15265-9</t>
  </si>
  <si>
    <t>Geochemistry &amp; Geophysics; Geology</t>
  </si>
  <si>
    <t>BP6EW</t>
  </si>
  <si>
    <t>WOS:000559050600005</t>
  </si>
  <si>
    <t>Johaneman, TM; Arp, CD; Whitman, MS; Bondurant, AC; Hamann, HB; Kerwin, MW</t>
  </si>
  <si>
    <t>Johaneman, Taylor M.; Arp, Christopher D.; Whitman, Matthew S.; Bondurant, Allen C.; Hamann, Hillary B.; Kerwin, Michael W.</t>
  </si>
  <si>
    <t>Classifying connectivity to guide aquatic habitat management in an arctic coastal plain watershed experiencing land use and climate change</t>
  </si>
  <si>
    <t>Arctic; hydrology; geomorphology; connectivity; catchment</t>
  </si>
  <si>
    <t>HYDROLOGIC CONNECTIVITY; REGIMES; NETWORK; STREAM; LIFE</t>
  </si>
  <si>
    <t>Habitat connectivity supports life history requirements of many arctic fish species during periods of flowing water. However, aquatic habitat connectivity is susceptible to change due to climate factors and land use, particularly in the 4,600 km(2)Fish Creek Watershed (FCW) located in National Petroleum Reserve in Alaska. Varying degrees and mechanisms of connectivity between overwintering habitat and summer foraging habitat motivated us to assess and classify aquatic habitat connectivity to help inform management. Using geospatial analysis and field methods we classified processes affecting connectivity within riparian corridors and upstream channels. Results show the dominant geomorphic process affecting connectivity varied among river systems, providing general and catchment-specific guidance as to the distribution of important migratory fish habitat. Barriers to fish passage caused by subsurface flow were more common along river corridors with high channel migration rates, whereas wetland flowthrough was the most common barrier in upstream catchments throughout the FCW. Coupling both riparian and catchment connectivity showed that 28 percent of catchments were classified as having fish-passable connectivity, indicated by no barriers present in the riparian zone or upstream channels. Future work should evaluate how well this classification predicts fish habitat, is useful to resource management, and is applicable to other arctic watersheds.</t>
  </si>
  <si>
    <t>[Johaneman, Taylor M.; Hamann, Hillary B.; Kerwin, Michael W.] Univ Denver, Dept Geog &amp; Environm, Denver, CO USA; [Arp, Christopher D.; Bondurant, Allen C.] Univ Alaska Fairbanks, Water &amp; Environm Res Ctr, Fairbanks, AK USA; [Whitman, Matthew S.] Arctic Dist Off, Bur Land Management, Fairbanks, AK USA; [Johaneman, Taylor M.] Univ Colorado, Dept Geog, Boulder, CO 80309 USA</t>
  </si>
  <si>
    <t>University of Denver; University of Alaska System; University of Alaska Fairbanks; University of Colorado System; University of Colorado Boulder</t>
  </si>
  <si>
    <t>Johaneman, TM (corresponding author), Dept Geog, Boulder, CO 80309 USA.</t>
  </si>
  <si>
    <t>Taylor.Johaneman@colorado.edu</t>
  </si>
  <si>
    <t>Arp, Christopher/0000-0002-6485-6225; Johaneman, Taylor/0000-0001-6757-0647</t>
  </si>
  <si>
    <t>National Science Foundation's Research Education for Undergraduates program in Arctic System Science [1560372]; NSF's Arctic System Science Program [1806213]</t>
  </si>
  <si>
    <t>National Science Foundation's Research Education for Undergraduates program in Arctic System Science; NSF's Arctic System Science Program</t>
  </si>
  <si>
    <t>Support of T. Johaneman's research was provided by a grant from the National Science Foundation's Research Education for Undergraduates program in Arctic System Science (#1560372) led by Vladimir Alexeev at University of Alaska Fairbanks. Support for C. Arp's involvement in this project also came from NSF's Arctic System Science Program (#1806213).</t>
  </si>
  <si>
    <t>10.1080/15230430.2020.1805848</t>
  </si>
  <si>
    <t>NY0TG</t>
  </si>
  <si>
    <t>WOS:000576111700001</t>
  </si>
  <si>
    <t>Jennings, A; Andrews, J; Reilly, B; Walczak, M; Jakobsson, M; Mix, A; Stoner, J; Nicholls, KW; Cheseby, M</t>
  </si>
  <si>
    <t>Jennings, Anne; Andrews, John; Reilly, Brendan; Walczak, Maureen; Jakobsson, Martin; Mix, Alan; Stoner, Joe; Nicholls, Keith W.; Cheseby, Maziet</t>
  </si>
  <si>
    <t>Modern foraminiferal assemblages in northern Nares Strait, Petermann Fjord, and beneath Petermann ice tongue, NW Greenland</t>
  </si>
  <si>
    <t>Greenland; Petermann ice tongue; foraminifera; arctic; marine</t>
  </si>
  <si>
    <t>BENTHIC FORAMINIFERA; SEA-ICE; FAUNAL COMPOSITION; ARCTIC-OCEAN; SHELF; ATLANTIC; PHYTODETRITUS; GLETSCHER; POPULATIONS; GLACIER</t>
  </si>
  <si>
    <t>Calving events of Petermann Glacier, northwest Greenland, in 2010 and 2012 reduced the length of its ice tongue by c. 25 km, allowing exploration of newly uncovered seafloor during the Petermann 2015 Expedition. This article presents the results of foraminiferal analysis and environmental data from thirteen surface sediment samples in northern Nares Strait and Petermann Fjord, including beneath the modern ice tongue. This is the first study of living foraminifera beneath an arctic ice tongue and the first modern foraminiferal data from this area. Modern assemblages were studied to constrain species environmental preferences and to improve paleoenvironmental interpretations of foraminiferal assemblages. Sub-ice tongue assemblages differed greatly from those at all other sites, with very low faunal abundances and being dominated by agglutinated fauna, likely reflecting low food supply under the ice tongue. Fjord fauna were comprised of 80 percent or more calcareous species. Notably,Elphidium clavatumis absent beneath the ice tongue although it is dominant in the fjord. Increasing primary productivity associated with the transition to mobile sea ice, diminishing influence of the Petermann Glacier meltwater with distance from the grounding line, and increased influence of south-flowing currents in Nares Strait are the important controls on the faunal assemblages.</t>
  </si>
  <si>
    <t>[Jennings, Anne; Andrews, John] Univ Colorado, INSTAAR, Boulder, CO 80309 USA; [Reilly, Brendan] Univ Calif San Diego, Scripps Inst Oceanog, La Jolla, CA 92093 USA; [Walczak, Maureen; Mix, Alan; Stoner, Joe; Cheseby, Maziet] Oregon State Univ, CEOAS, Corvallis, OR 97331 USA; [Jakobsson, Martin] Stockholm Univ, Dept Geol Sci, Stockholm, Sweden; [Nicholls, Keith W.] British Antarctic Survey, Nat Environm Res Council, Cambridge, England</t>
  </si>
  <si>
    <t>University of Colorado System; University of Colorado Boulder; University of California System; University of California San Diego; Scripps Institution of Oceanography; Oregon State University; Stockholm University; UK Research &amp; Innovation (UKRI); Natural Environment Research Council (NERC); NERC British Antarctic Survey</t>
  </si>
  <si>
    <t>Jennings, A (corresponding author), Univ Colorado, INSTAAR, Boulder, CO 80309 USA.</t>
  </si>
  <si>
    <t>anne.jennings@colorado.edu</t>
  </si>
  <si>
    <t>; Mix, Alan/B-2366-2009</t>
  </si>
  <si>
    <t>Reilly, Brendan/0000-0003-3666-4338; Walczak, Maureen/0000-0002-4123-6998; Andrews, John Thomas/0000-0003-3169-5979; Mix, Alan/0000-0001-7108-3534; Jennings, Anne/0000-0003-3176-2916; Jakobsson, Martin/0000-0002-9033-3559</t>
  </si>
  <si>
    <t>[NSF-PLR-ANS 1417784]; [OD1507-39MC-04]; NERC [bas0100033] Funding Source: UKRI</t>
  </si>
  <si>
    <t>; ; NERC(UK Research &amp; Innovation (UKRI)Natural Environment Research Council (NERC))</t>
  </si>
  <si>
    <t>This research was supported by NSF-PLR-ANS 1417784, Collaborative Research: Petermann Gletscher, Greenland-Paleoceanography and Paleoclimatology. Undergraduate student at CU, Ethan Bailey, did the faunal analyses of OD1507-39MC-04 and -06.</t>
  </si>
  <si>
    <t>10.1080/15230430.2020.1806986</t>
  </si>
  <si>
    <t>NY0UF</t>
  </si>
  <si>
    <t>WOS:000576114200001</t>
  </si>
  <si>
    <t>Liu, J; Jiang, GL; Wu, QB; Zhang, TJ; Gao, SR</t>
  </si>
  <si>
    <t>Liu, Jia; Jiang, Guanli; Wu, Qingbai; Zhang, Tingjun; Gao, Siru</t>
  </si>
  <si>
    <t>Regional climate change signals inferred from a borehole temperature profile in Muli, Qilian Mountain, using the Tikhonov method</t>
  </si>
  <si>
    <t>Borehole paleothermometry; geothermal gradient; permafrost; Tikhonov regularization</t>
  </si>
  <si>
    <t>PERMAFROST; RECORD; REGULARIZATION; HISTORIES; GRADIENTS; SNOW</t>
  </si>
  <si>
    <t>Within the gas hydrate drilling project in the Qilian Mountain permafrost region, a temperature-depth profile measured from borehole DK-12 in Juhugeng of Muri Coalfield, Tianjun County, Qinghai Province, China, was analyzed to infer recent climate changes. The long-term surface temperature and thermal gradient were retrieved from borehole temperature measurements. The ground surface temperature (GST) changes were reconstructed by inversion of transient temperature perturbations through solving an inverse heat conduction problem using the Tikhonov method. Based on the instability of this kind of inverse problem and the nature of method-dependent features of borehole paleothermometry, we initially applied the Tikhonov regularization technique to obtain a stable past GST variation pattern with relatively low resolution. The inversion results showed that this region experienced temperature fluctuation with a total warming of 3 degrees C (+/- 1.6 degrees C) from 1400 to the 2010s and a more exacerbated warming starting from the 1960s. The GST trend fit the surface air temperature observation trend from the nearest Yeniugou meteorological station. This work fills the gap created by limited meteorological records in the Muli area and extends knowledge of ground surface temperature trends going back more than ten centuries.</t>
  </si>
  <si>
    <t>[Liu, Jia; Jiang, Guanli] China Geol Survey, Key Lab Unconvent Oil &amp; Gas Geol, Beijing, Peoples R China; [Liu, Jia] Changan Univ, Sch Sci, Xian, Peoples R China; [Jiang, Guanli; Wu, Qingbai; Gao, Siru] Chinese Acad Sci, Northwest Inst Ecoenvironm &amp; Resources, State Key Lab Frozen Soil Engn, Lanzhou 730000, Peoples R China; [Jiang, Guanli] Chinese Acad Sci, Northwest Inst Ecoenvironm &amp; Resources, Beiluhe Observat &amp; Res Stn Frozen Soil Engn &amp; Env, Lanzhou, Peoples R China; [Zhang, Tingjun] Lanzhou Univ, Coll Earth &amp; Environm Sci, MOE Key Lab Western China Environm Syst, Lanzhou, Peoples R China</t>
  </si>
  <si>
    <t>China Geological Survey; Chang'an University; Chinese Academy of Sciences; Chinese Academy of Sciences; Lanzhou University</t>
  </si>
  <si>
    <t>Jiang, GL (corresponding author), Chinese Acad Sci, Northwest Inst Ecoenvironm &amp; Resources, State Key Lab Frozen Soil Engn, Lanzhou 730000, Peoples R China.</t>
  </si>
  <si>
    <t>atos@lzb.ac.cn</t>
  </si>
  <si>
    <t>Key Laboratory of Unconventional Oil &amp; Gas Geology, CGS [DD2019136-YQ19JJ01]; National Natural Science Foundation of China [41801029, 41601073]; Natural Science Basic Research Plan in Shaanxi Province of China [2018JQ4018]; Fundamental Research Funds for the Central Universities [300102128101]</t>
  </si>
  <si>
    <t>Key Laboratory of Unconventional Oil &amp; Gas Geology, CGS; National Natural Science Foundation of China(National Natural Science Foundation of China (NSFC)); Natural Science Basic Research Plan in Shaanxi Province of China; Fundamental Research Funds for the Central Universities(Fundamental Research Funds for the Central Universities)</t>
  </si>
  <si>
    <t>This research was supported by the open fund project of The Key Laboratory of Unconventional Oil &amp; Gas Geology, CGS (Grant No. DD2019136-YQ19JJ01), the National Natural Science Foundation of China (Grant Nos. 41801029 and 41601073), the Natural Science Basic Research Plan in Shaanxi Province of China (Program No. 2018JQ4018), and the Fundamental Research Funds for the Central Universities (Grant No. 300102128101).</t>
  </si>
  <si>
    <t>10.1080/15230430.2020.1801149</t>
  </si>
  <si>
    <t>NV9BS</t>
  </si>
  <si>
    <t>WOS:000574608000001</t>
  </si>
  <si>
    <t>DeFranco, KC; Ricketts, MP; Blanc-Betes, E; Welker, JM; Gonzalez-Meler, MA; Sturchio, NC</t>
  </si>
  <si>
    <t>DeFranco, Karyn C.; Ricketts, Michael P.; Blanc-Betes, Elena; Welker, Jeffrey M.; Gonzalez-Meler, Miquel A.; Sturchio, Neil C.</t>
  </si>
  <si>
    <t>Deeper snow increases the net soil organic carbon accrual rate in moist acidic tussock tundra:210Pb evidence from Arctic Alaska</t>
  </si>
  <si>
    <t>Arctic Alaska; tundra; carbon; Pb-210; snow depth</t>
  </si>
  <si>
    <t>ENVIRONMENTAL MANIPULATIONS; SUMMER TEMPERATURE; SHRUB EXPANSION; PB-210; ACCUMULATION; ECOSYSTEM; RESPONSES; CO2; TRANSPORT; MATTER</t>
  </si>
  <si>
    <t>The net change in the carbon inventory of arctic tundra remains uncertain as global warming leads to shifts in arctic water and carbon cycles. To better understand the response of arctic tundra carbon to changes in winter precipitation amount, we investigated soil depth profiles of carbon concentration and radionuclide activities (Be-7,Cs-137,Pb-210, and(241)Am) in the active layer of a twenty-two-year winter snow depth manipulation experiment in moist acidic tussock tundra at Toolik Lake, Alaska. Depth correlations of cumulative carbon dry mass (g cm(-2)) vs. unsupported(210)Pb activity (mBq g(-1)) were examined using a modified constant rate of supply (CRS) model. Results were best fit by two-slope CRS models indicating an apparent step temporal increase in the accumulation rate of soil organic carbon. Most of the best-fit model chronologies indicated that the increase in carbon accumulation rate apparently began and persisted after snow fence construction in 1994. The inhomogeneous nature of permafrost soils and their relatively low net carbon accumulation rates make it challenging to establish robust chronologic records. Nonetheless, the data obtained in this study support a decadal-scale increase in net soil organic carbon accumulation rate in the active layer of arctic moist acidic tussock tundra under conditions of increased winter precipitation.</t>
  </si>
  <si>
    <t>[DeFranco, Karyn C.; Sturchio, Neil C.] Univ Delaware, Dept Earth Sci, Newark, DE 19716 USA; [Ricketts, Michael P.; Blanc-Betes, Elena; Gonzalez-Meler, Miquel A.] Univ Illinois, Dept Biol Sci, Chicago, IL 60680 USA; [Welker, Jeffrey M.] Univ Alaska Anchorage, Dept Biol Sci, Anchorage, AK USA; [Welker, Jeffrey M.] Univ Oulu, Dept Ecol &amp; Genet, Oulu, Finland; [DeFranco, Karyn C.] Northwestern Univ, Dept Earth &amp; Planetary Sci, Evanston, IL 60208 USA; [Ricketts, Michael P.] Argonne Natl Lab, Environm Sci Div, Lemont, IL 60439 USA; [Blanc-Betes, Elena] Univ Illinois, Inst Sustainabil Energy &amp; Environm, Urbana, IL 61801 USA</t>
  </si>
  <si>
    <t>University of Delaware; University of Illinois System; University of Illinois Chicago; University of Illinois Chicago Hospital; University of Alaska System; University of Alaska Anchorage; University of Oulu; Northwestern University; United States Department of Energy (DOE); Argonne National Laboratory; University of Illinois System; University of Illinois Urbana-Champaign</t>
  </si>
  <si>
    <t>Sturchio, NC (corresponding author), Univ Delaware, Dept Earth Sci, Newark, DE 19716 USA.</t>
  </si>
  <si>
    <t>karyn@earth.northwestern.edu; ricketts.mikep@gmail.com; mblanc7@illinois.edu; sturchio@udel.edu</t>
  </si>
  <si>
    <t>Ricketts, Michael/0000-0002-5588-9340; Gonzalez-Meler, Miquel/0000-0001-5388-7969; Blanc-Betes, Elena/0000-0002-2049-4613</t>
  </si>
  <si>
    <t>U.S. Department of Energy, Terrestrial Ecosystem Science Program [DE-SC0006607]; U.S. National Science Foundation, Office of Polar Programs; Arctic System Science and Arctic Observing Network programs [1504141, 1433063, 0119279, 0856728, 0632184, 9617643, 9321730]; Geological Society of America; U.S. Department of Energy (DOE) [DE-SC0006607] Funding Source: U.S. Department of Energy (DOE)</t>
  </si>
  <si>
    <t>U.S. Department of Energy, Terrestrial Ecosystem Science Program(United States Department of Energy (DOE)); U.S. National Science Foundation, Office of Polar Programs(National Science Foundation (NSF)); Arctic System Science and Arctic Observing Network programs; Geological Society of America; U.S. Department of Energy (DOE)(United States Department of Energy (DOE))</t>
  </si>
  <si>
    <t>This research was funded by the U.S. Department of Energy, Terrestrial Ecosystem Science Program (DE-SC0006607) to MAG-M and by the U.S. National Science Foundation, Office of Polar Programs over the 20+-year duration of the experiment with awards from the Arctic System Science and Arctic Observing Network programs, through award numbers 1504141, 1433063, 0119279, 0856728, 0632184, 9617643, 9321730 to JMW. KCD acknowledges receipt of a Grad Student Research Grant from the Geological Society of America.</t>
  </si>
  <si>
    <t>10.1080/15230430.2020.1802864</t>
  </si>
  <si>
    <t>NV6MO</t>
  </si>
  <si>
    <t>WOS:000574433300001</t>
  </si>
  <si>
    <t>Orlyuk, MI; Romenets, AA</t>
  </si>
  <si>
    <t>Orlyuk, M., I; Romenets, A. A.</t>
  </si>
  <si>
    <t>Spatial-temporal change of the geomagnetic field: environmental aspect</t>
  </si>
  <si>
    <t>GEOFIZICHESKIY ZHURNAL-GEOPHYSICAL JOURNAL</t>
  </si>
  <si>
    <t>geomagnetic field; spatial-temporal disturbance; IGRF; environmental norm; planet; Ukraine; Yamal; Akademik Vernadsky (AV) station</t>
  </si>
  <si>
    <t>EARTHS MAGNETIC-FIELD; NETWORK; TERRITORY; UKRAINE</t>
  </si>
  <si>
    <t>The geomagnetic field, along with other environmental factors, is a necessary component of life on the Earth. Currently, there are relevant ecological standards for the values of constant and variable fields. Taking them into account, it is possible to determine the conditions necessary for the normal functioning of biological objects in general and humans in particular. In a number of regulations, certain limit values for a constant magnetic field are introduced, as well as the maximum permissible time of a human being stay in such fields. In this regard, the article considers the spatial-temporal change in induction B on the Earth's surface using the example of its main magnetic field according to the international model IGRF-13 for the time interval 1950-2020. In more detail for this time interval, the induction module B and its perturbation were analyzed for geomagnetically different regions that are, namely, the territories of Ukraine, of Yamal (Russia) and around the ukrainian antarctic Akademik Vernadsky station. For the planet in whole, a significant decrease in the geomagnetic field is shown, against the background of which its sharp jumps are observed (in 1960-1965, 1980-1985 and in 2000-2005), and after 2005 to the present, a deceleration in the decrease of the geomagnetic field is observed. Against the background of a decrease in the geomagnetic field of the planet, areas with extreme changes both in the direction of increase (Ukraine, Yamal) and decrease (AV station) are distinguished. The spatial-temporal changes in the geomagnetic field detected on the Earth's surface determine the structure and dynamics of its magnetosphere, which by-turn affects the nature of the interaction with it of solar wind substance and of cosmic radiation, as well as the flow altitudes of magnetospheric and ionospheric currents. According to the distribution of the geomagnetic field anomalies on the surface of the planet, as well as to their changes over the studied time interval, regions with different (as compared with proposed ecological norms) values of the constant magnetic field and its disturbances are distinguished. In particular, for the epoch of 2020, for the territory in the vicinity of the AV station, the induction vector module B is on average 15,000 nT less than its value for the territory of Ukraine and 25,000 nT - of Yamal. Significant changes in the geomagnetic field were determined: an increase of 1765 nT for Ukraine, 1418 nT for Yamal and a decrease of - 7081 nT in the vicinity of AV station. At the same time, the perturbation of the geomagnetic field of the territory of Ukraine is within its ecological norm, deviates from it in the direction of increase on the Yamal Peninsula, and near the AV station it will soon go beyond its limits ibn the direction of decrease, while maintaining modern field changes.</t>
  </si>
  <si>
    <t>[Orlyuk, M., I; Romenets, A. A.] Natl Acad Sci Ukraine, SI Subbotin Inst Geophys, Kiev, Ukraine</t>
  </si>
  <si>
    <t>National Academy of Sciences Ukraine; Subbotin Institute of Geophysics, National Academy of Sciences of Ukraine</t>
  </si>
  <si>
    <t>Orlyuk, MI (corresponding author), Natl Acad Sci Ukraine, SI Subbotin Inst Geophys, Kiev, Ukraine.</t>
  </si>
  <si>
    <t>Orlyuk, Mykhailo/0000-0001-6748-8766</t>
  </si>
  <si>
    <t>Institute of Geophysics S.I. Subbotin of the NAS of Ukraine [III-3-18, III-23-17]</t>
  </si>
  <si>
    <t>Institute of Geophysics S.I. Subbotin of the NAS of Ukraine</t>
  </si>
  <si>
    <t>This study was carried out within the budget themes of the Institute of Geophysics S.I. Subbotin of the NAS of Ukraine: III-3-18 &lt;&lt; Informativity of magne tic models of different ages tectonotypes of mantle-crustal structures to solve the prob-lems of geodynamics and to forecast minerals in the territory of Ukraine &gt;&gt; and III-23-17 &lt;&lt; Monitoring of geophysical fields in order to reduce the risk of emergency situations from natural hazards &gt;&gt;. The authors are grateful to the staff of the Department of Geo-magnetism, Leading Scientific Researcher, Doctor of Geography S. G. Boychenko and junior researcher A.V. Marchenko, as well as Academician V.I. Starostenko and corresponding member V.E. Maksymchuk for participating in the discussion and comments made that have improved the article. Special thanks to Ye. Ye. Yeremenko for article translation.</t>
  </si>
  <si>
    <t>S I SUBBOTIN INST GEOPHYSICS NATL ACAD</t>
  </si>
  <si>
    <t>KIEV</t>
  </si>
  <si>
    <t>PR PALLADINA 32, KIEV, 252142, UKRAINE</t>
  </si>
  <si>
    <t>0203-3100</t>
  </si>
  <si>
    <t>2524-1052</t>
  </si>
  <si>
    <t>GEOFIZ ZHURNAL</t>
  </si>
  <si>
    <t>Geofiz. Zhurnal</t>
  </si>
  <si>
    <t>10.24028/gzh.0203-3100.v42i4.2020.210670</t>
  </si>
  <si>
    <t>NV5GX</t>
  </si>
  <si>
    <t>WOS:000574351000002</t>
  </si>
  <si>
    <t>Rozzi, R; Massardo, F; Poole, A</t>
  </si>
  <si>
    <t>Valera, L; Castilla, JC</t>
  </si>
  <si>
    <t>Rozzi, Ricardo; Massardo, Francisca; Poole, Alexandria</t>
  </si>
  <si>
    <t>The 3Hs (Habitats, Habits, Co-in-Habitants) of the Biocultural Ethic: A Philosophical Lens to Address Global Changes in the Anthropocene</t>
  </si>
  <si>
    <t>GLOBAL CHANGES: ETHICS, POLITICS AND ENVIRONMENT IN THE CONTEMPORARY TECHNOLOGICAL WORLD</t>
  </si>
  <si>
    <t>Ethics of Science and Technology Assessment</t>
  </si>
  <si>
    <t>Biocultural homogenization; Environmental justice; Ethics; Latin American philosophy; Traditional ecological knowledge</t>
  </si>
  <si>
    <t>TEMPERATE FORESTS; HISTORY; YAHGAN</t>
  </si>
  <si>
    <t>Global culture, forms of governance, economic and development models have become drastically dissociated from biological and cultural diversity and their interrelationships. Global society is exposed to globally homogeneously governed life habits that tend to build globally homogeneous technological and urban habitats in the heterogeneous regions of the planet. Concurrently, these globally homogeneous habitats reinforce globally homogeneous life habits. These feedbacks between globalized habits and habitats generate processes of biocultural homogenization, which represents an overlooked dimension of global changes in the Anthropocene. Biocultural homogenization is both driver and product of complex and pervasive losses of biological and cultural diversity. We maintain that it is technically necessary and ethically imperative to reverse these losses. Toward this aim, we present the 3Hs (Habitats, Habits, co-in-Habitants) conceptual framework of the biocultural ethic, which values the vital links among the diversity of life habits of distinct (human and other-than-human) co-in-habitants that share a common habitat. We offer this philosophical framework as a heuristic model for: (1) better understanding multidimensional and multi-scale processes involved in global changes; (2) designing policies that integrate biocultural diversity into ethical, political, and environmental dimensions of the contemporary technological world; and (3) orienting decision-making processes that can better assess the consequences that development policies might have for the conservation or degradation of habitats, life habits, and welfare of co-inhabitants. In this way, the 3Hs philosophical lens of the biocultural ethic can contribute to re-orienting global society toward sustainable forms of co-inhabitation amidst the rapidly changing socio-environmental scenarios of the Anthropocene.</t>
  </si>
  <si>
    <t>[Rozzi, Ricardo] Univ North Texas, Dept Philosophy &amp; Relig, Denton, TX 76203 USA; [Rozzi, Ricardo; Massardo, Francisca] Univ Magallanes, Puerto Williams, Chile; [Rozzi, Ricardo; Massardo, Francisca; Poole, Alexandria] Inst Ecol &amp; Biodivers, Puerto Williams, Chile; [Poole, Alexandria] Elizabethtown Coll, Dept Polit Philosophy &amp; Legal Studies, Elizabethtown, PA 17022 USA</t>
  </si>
  <si>
    <t>University of North Texas System; University of North Texas Denton; Universidad de Magallanes</t>
  </si>
  <si>
    <t>Rozzi, R (corresponding author), Univ North Texas, Dept Philosophy &amp; Relig, Denton, TX 76203 USA.</t>
  </si>
  <si>
    <t>Ricardo.Rozzi@unt.edu</t>
  </si>
  <si>
    <t>Poole, Alexandria/IAN-6461-2023; Rozzi, Ricardo/G-1047-2012</t>
  </si>
  <si>
    <t>Rozzi, Ricardo/0000-0001-5265-8726; Poole, Alexandria/0000-0003-1338-7454</t>
  </si>
  <si>
    <t>Institute of Ecology and Biodiversity (IEB) (CONICYT, Chile) [AFB170008]</t>
  </si>
  <si>
    <t>Institute of Ecology and Biodiversity (IEB) (CONICYT, Chile)</t>
  </si>
  <si>
    <t>We acknowledge the support of the Institute of Ecology and Biodiversity (IEB) through the grant AFB170008 (CONICYT, Chile). This chapter is a contribution to the Sub-Antarctic Biocultural Conservation Program coordinated by IEB and the University of Magallanes in Chile, and by the University of North Texas in the US.</t>
  </si>
  <si>
    <t>1866-8526</t>
  </si>
  <si>
    <t>978-3-030-29443-4; 978-3-030-29442-7</t>
  </si>
  <si>
    <t>ETHICS SCI TECH ASS</t>
  </si>
  <si>
    <t>Ethic. Sci. Technol. Assess.</t>
  </si>
  <si>
    <t>10.1007/978-3-030-29443-4_14</t>
  </si>
  <si>
    <t>10.1007/978-3-030-29443-4</t>
  </si>
  <si>
    <t>Ecology; Ethics; Environmental Sciences; Environmental Studies</t>
  </si>
  <si>
    <t>Environmental Sciences &amp; Ecology; Social Sciences - Other Topics</t>
  </si>
  <si>
    <t>BQ0JE</t>
  </si>
  <si>
    <t>WOS:000572051000015</t>
  </si>
  <si>
    <t>Shamilishvili, G; Abakumov, EV; Andersen, D</t>
  </si>
  <si>
    <t>FrankKamenetskaya, OV; Vlasov, DY; Panova, EG; Lessovaia, SN</t>
  </si>
  <si>
    <t>Shamilishvili, George; Abakumov, Evgeny, V; Andersen, Dale</t>
  </si>
  <si>
    <t>Biogenic-Abiogenic Interactions and Soil Formation in Extreme Conditions of Untersee Oasis, Surroundings of Lake Untersee, Central Queen Maud Land, East Antarctica</t>
  </si>
  <si>
    <t>PROCESSES AND PHENOMENA ON THE BOUNDARY BETWEEN BIOGENIC AND ABIOGENIC NATURE</t>
  </si>
  <si>
    <t>Lecture Notes in Earth System Sciences</t>
  </si>
  <si>
    <t>6th International Symposium on Biogenic - Abiogenic Interactions in Natural and Anthropogenic Systems</t>
  </si>
  <si>
    <t>SEP 24-27, 2018</t>
  </si>
  <si>
    <t>St. Petersberg, RUSSIA</t>
  </si>
  <si>
    <t>Soils; Antarctica; Antarctic oases; Lake Untersee; Extreme cold environments; Polar regions; Soil morphology; Geomorphology</t>
  </si>
  <si>
    <t>ORGANIC-MATTER</t>
  </si>
  <si>
    <t>Soil formation on the territory of ice-free oasis of the continental Antarctica was studied on example of Untersee Valley, Queen Maud Land (QML), Eastern Antarctica. Soils of the Lake Untersee surroundings were characterized in terms of morphology and main chemical and physical properties for the first time. Dominating soils are basically characterized by a poorly differentiated soil profile, with a horizon Cryic type located directly on the parent material. The predominant parent material types of the Untersee Valley are the glacial, fluvioglacial sandy loams and gravels with a large content of differently sized fragments, as well as glacial-lacustrine sandy-loams and loamy-clays. A characteristic feature of glacial and fluvioglacial deposits is their sorting as a consequence of the cryoturbation process. The main meso-relief forms of the Valley include terminal type complexes of moraine hills and ridges, eskers, drumlins, sandurs, patterned grounds, and pingo. The investigated soils are characterized by a low content of organic matter and low intensity of weathering processes in parent material as a function of low biogenic and abiogenic interactions in severe bioclimatic conditions of the Antarctic intercontinental oases.</t>
  </si>
  <si>
    <t>[Shamilishvili, George; Abakumov, Evgeny, V] St Petersburg State Univ, St Petersburg, Russia; [Andersen, Dale] SETI Inst, Carl Sagan Ctr Study Life Universe, Mountain View, CA USA</t>
  </si>
  <si>
    <t>Abakumov, EV (corresponding author), St Petersburg State Univ, St Petersburg, Russia.</t>
  </si>
  <si>
    <t>e.abakumov@spbu.ru</t>
  </si>
  <si>
    <t>Abakumov, Evgeny/AAO-8580-2020; Abakumov, e_abakumov@mail.ru/ADJ-1297-2022</t>
  </si>
  <si>
    <t>Abakumov, Evgeny/0000-0002-5248-9018; Abakumov, e_abakumov@mail.ru/0000-0002-5248-9018; Andersen, Dale/0000-0001-8827-1259</t>
  </si>
  <si>
    <t>Russian Foundation for Basic Research [18-04-00900]</t>
  </si>
  <si>
    <t>This work was supported by Russian Foundation for Basic Research, Project No: 18-04-00900.</t>
  </si>
  <si>
    <t>2193-8571</t>
  </si>
  <si>
    <t>2193-858X</t>
  </si>
  <si>
    <t>978-3-030-21614-6; 978-3-030-21613-9</t>
  </si>
  <si>
    <t>LECT N EARTH SYST SC</t>
  </si>
  <si>
    <t>10.1007/978-3-030-21614-6_25</t>
  </si>
  <si>
    <t>Biochemistry &amp; Molecular Biology; Geochemistry &amp; Geophysics; Soil Science</t>
  </si>
  <si>
    <t>Biochemistry &amp; Molecular Biology; Geochemistry &amp; Geophysics; Agriculture</t>
  </si>
  <si>
    <t>BP9YU</t>
  </si>
  <si>
    <t>WOS:000571077500025</t>
  </si>
  <si>
    <t>Lupachev, AV; Gubin, SV; Abakumov, EV</t>
  </si>
  <si>
    <t>Lupachev, Aleksei, V; Gubin, Stanislav, V; Abakumov, Evgeny, V</t>
  </si>
  <si>
    <t>Levels of Biogenic-Abiogenic Interaction and Structural Organization of Soils and Soil-Like Bodies in Antarctica</t>
  </si>
  <si>
    <t>Antarctica; Soils; Cryosols; Leptosols; Scanning electron microscopy; Micromorphological analysis</t>
  </si>
  <si>
    <t>PEDOGENESIS; LAND</t>
  </si>
  <si>
    <t>Pedogenic processes of transformation and accumulation of organogenic matter and its interaction with the mineral matrix of the soils are very poor-expressed in Antarctica. Very often, these processes show up in a very special ways that can rarely be observed in the well-studied soils of moderate latitudes and even in the northern polar environments. The majority of the Antarctic soils do not develop well-expressed uppermost organomineral horizons. Mostly they are presented with the poorly aggregated mix of mosses' and lichens' detritus with the coarse-textured debris and rarely show macromorphological evidences of biogenic-abiogenic interaction. Using of state-of-the-art modern methods of soil science (scanning electron microscopy, micro- and mesomorphological analysis etc.) along with the regular methods of morphological analysis of soil profiles and spatial analysis of the soil cover allow distinguishing different levels of the structural organization of soils in the Antarctic region. The fine earth adhesion, forming of the organomineral coatings and films, deep alteration of primary minerals and ornithogenic impact on the soil material and profile structure is evident at all the studied levels of soil organization. Their manifestation degree rises from the continental Antarctica to the Subantarctic regions and from the soil-like bodies with no or very poor-expressed vegetation to the soils with relatively well-developed uppermost organo-horizons.</t>
  </si>
  <si>
    <t>[Lupachev, Aleksei, V; Gubin, Stanislav, V] RAS, Inst Physicochem &amp; Biol Problems Soil Sci, Puschchino Inst Skaya St 2-2, Moscow 142290, Russia; [Abakumov, Evgeny, V] St Petersburg State Univ, Dept Appl Ecol, 16 Line 2, St Petersburg 199178, Russia</t>
  </si>
  <si>
    <t>Russian Academy of Sciences; Pushchino Scientific Center for Biological Research (PSCBI) of the Russian Academy of Sciences; Institute of Physicohemical &amp; Biological Problems of Soil Science; Saint Petersburg State University</t>
  </si>
  <si>
    <t>Lupachev, AV (corresponding author), RAS, Inst Physicochem &amp; Biol Problems Soil Sci, Puschchino Inst Skaya St 2-2, Moscow 142290, Russia.</t>
  </si>
  <si>
    <t>a.lupachev@gmail.com</t>
  </si>
  <si>
    <t>Abakumov, e_abakumov@mail.ru/ADJ-1297-2022; Abakumov, Evgeny/AAO-8580-2020</t>
  </si>
  <si>
    <t>Abakumov, e_abakumov@mail.ru/0000-0002-5248-9018; Abakumov, Evgeny/0000-0002-5248-9018</t>
  </si>
  <si>
    <t>Russian Fund for Basic Researches [0238-2016-0013]; [18-04-00900a]</t>
  </si>
  <si>
    <t>Russian Fund for Basic Researches(Russian Foundation for Basic Research (RFBR));</t>
  </si>
  <si>
    <t>Studies were carried out according to the Russian Federation governmental task 0238-2016-0013 and partly supported by Russian Fund for Basic Researches (18-04-00900a).</t>
  </si>
  <si>
    <t>10.1007/978-3-030-21614-6_26</t>
  </si>
  <si>
    <t>WOS:000571077500026</t>
  </si>
  <si>
    <t>Zvereva, GN; Kirtsideli, IY</t>
  </si>
  <si>
    <t>Zvereva, Galina N.; Kirtsideli, Irina Yu</t>
  </si>
  <si>
    <t>Features of the Effect of VUV Radiation on Microfungi from Polar Regions</t>
  </si>
  <si>
    <t>Microfungi; VUV; Antarctic; DNA; Wall cell; Antioxidants; OH radical; ROS; Astrobiology</t>
  </si>
  <si>
    <t>UV SYNCHROTRON RADIATION; VACUUM-UV; ASPERGILLUS-NIGER; CITRIC-ACID; BLACK FUNGI; MODELS; SPACE; CELLS; MARS; LIFE</t>
  </si>
  <si>
    <t>In this work, the effect of VUV radiation of the wavelength region Delta lambda = 166-180nmon microscopic fungi propagules Cladosporium herbarum, Rhodotorula colostri, Saccharomyces cerevisiae was studied. In the course of the work, dependencies of the survival probability of propagules, which were at the exponential and stationary phases of development, on radiation doses were obtained. It was found that at the exponential stage of colonies development, the survival curves of propagules of different types of micromycetes coincide within the limits of error, but at the stationary phase they are different. IR spectroscopy and atomic force microscopy of irradiated propagules indicate a change in their cell wall. Electrophoresis of DNA molecules of irradiated propagules proves double-stranded breaks. Experimentswith the use of an antioxidant show that the death of propagules during VUV irradiation occurs as a result of the direct and indirect effects of radiation, with the share of the latter being 10-15%. The results obtained allow us to conclude that the inactivation of propagules during irradiation with radiation of the long-wave region of the VUV range Delta lambda = 166-180 nm is the result of both direct and indirect effects with the destruction of both the cell wall and DNA.</t>
  </si>
  <si>
    <t>[Zvereva, Galina N.] State Univ Civil Aviat, 38 Pilotov Str, St Petersburg 196210, Russia; [Zvereva, Galina N.] SI Vavilov State Opt Inst, Kadetskaya Line 5-2, St Petersburg 199053, Russia; [Kirtsideli, Irina Yu] RAS, Komarov Bot Inst, Prof Popov Str 2, St Petersburg 197376, Russia</t>
  </si>
  <si>
    <t>Vavilov State Optical Institute; Russian Academy of Sciences; Komarov Botanical Institute, Russian Academy of Sciences</t>
  </si>
  <si>
    <t>Kirtsideli, IY (corresponding author), RAS, Komarov Bot Inst, Prof Popov Str 2, St Petersburg 197376, Russia.</t>
  </si>
  <si>
    <t>microfungi@mail.ru</t>
  </si>
  <si>
    <t>Kirtsideli, Irina Yu/K-2072-2018</t>
  </si>
  <si>
    <t>Botanical Institute of the Russian Academy of Sciences [01201255604]; Basic Research Program of the Presidium of the Russian Academy of Sciences</t>
  </si>
  <si>
    <t>Botanical Institute of the Russian Academy of Sciences; Basic Research Program of the Presidium of the Russian Academy of Sciences(Russian Academy of Sciences)</t>
  </si>
  <si>
    <t>This study was carried out as part of the state assignment according to the thematic plan of the Botanical Institute of the Russian Academy of Sciences (theme no. 01201255604) and the Basic Research Program of the Presidium of the Russian Academy of Sciences.</t>
  </si>
  <si>
    <t>10.1007/978-3-030-21614-6_32</t>
  </si>
  <si>
    <t>WOS:000571077500032</t>
  </si>
  <si>
    <t>Polyakov, VI; Alekseev, II; Orlova, KS; Abakumov, EV; Kostecki, J</t>
  </si>
  <si>
    <t>Polyakov, Vyacheslav Igorevich; Alekseev, Ivan Ilych; Orlova, Ksenia Sergeevna; Abakumov, Evgeny Vasilevich; Kostecki, Jakub</t>
  </si>
  <si>
    <t>Water holding capacity of Russian Arctic soils (Lena River Delta and Yamal Peninsula)</t>
  </si>
  <si>
    <t>SOIL SCIENCE ANNUAL</t>
  </si>
  <si>
    <t>Arctic soils; Lena River Delta; Yamal Peninsula; Permafrost; Soil water holding capacity; Flooded area</t>
  </si>
  <si>
    <t>ORGANIC-CARBON; PERMAFROST; SIBERIA; MATTER; STOCKS</t>
  </si>
  <si>
    <t>Floodplains are one of the most dynamic and youngest areas of the Earth's Quaternary surface. They are located in transitional conditions (land-ocean) of the permafrost zone of present and of particular interest for ongoing geochemical processes and soil/water balance. The soil thermal and water regimes of polar soils are crucial for the development of vegetation cover as well as production, accumulation and redistribution of organic matter. This work characterizes the hydrological properties of soils formed in Russian Arctic. The data showed differences in water holding capacity between soils formed in conditions of seasonal flooding (soil stratification, redistribution of organic and mineral matter through the soil profile) and those not influenced by flooding in Lena River Delta (gradual decreasing of water holding capacity as a function of depth). Both of the soil profiles from the Yamal Peninsula are characterized by a gradually decreasing water-holding capacity with depth. The hydrological regime characteristics were strongly related to the depth of the active layer. The intensity and rate of the thawing/freezing processes depends on the features of the hydrological regime. In this study, significant differences were noted in the soil characteristics of the two study areas. That is why the profile values of water-holding capacity differed among the study sites. The predicted global climate change and high sensitivity of Arctic ecosystems may lead to significant changes in permafrost-affected landscapes and may alter their water regime in a very prominent way, as permafrost degrades and lateral and vertical water flow in the basins of large arctic rivers changes.</t>
  </si>
  <si>
    <t>[Polyakov, Vyacheslav Igorevich; Alekseev, Ivan Ilych; Orlova, Ksenia Sergeevna; Abakumov, Evgeny Vasilevich] Sankt Petersburg State Univ, Dept Appl Ecol, 16 Line 29 Vasilyevskiy Isl, St Petersburg 199178, Russia; [Polyakov, Vyacheslav Igorevich] FSBI Arctic &amp; Antarctic Res Inst, Beringa 38, St Petersburg 199397, Russia; [Polyakov, Vyacheslav Igorevich] St Petersburg State Agr Univ, Dept Soil Sci &amp; Agrochem, Fac Agr, Petersburg Highway 2, St Petersburg 196601, Russia; [Kostecki, Jakub] Univ Zielona Gora, Inst Environm Engn, 15 Prof Z Szafrana St, PL-65516 Zielona Gora, Poland</t>
  </si>
  <si>
    <t>Saint Petersburg State University; University of Zielona Gora</t>
  </si>
  <si>
    <t>Polyakov, VI; Abakumov, EV (corresponding author), Sankt Petersburg State Univ, Dept Appl Ecol, 16 Line 29 Vasilyevskiy Isl, St Petersburg 199178, Russia.;Polyakov, VI (corresponding author), FSBI Arctic &amp; Antarctic Res Inst, Beringa 38, St Petersburg 199397, Russia.;Polyakov, VI (corresponding author), St Petersburg State Agr Univ, Dept Soil Sci &amp; Agrochem, Fac Agr, Petersburg Highway 2, St Petersburg 196601, Russia.</t>
  </si>
  <si>
    <t>slavon6985@gmail.com</t>
  </si>
  <si>
    <t>Alekseev, Ivan/H-5338-2016; , jakub/ABF-3082-2021; Abakumov, Evgeny/AAO-8580-2020; Abakumov, e_abakumov@mail.ru/ADJ-1297-2022; Polyakov, Vyacheslav/H-5483-2016</t>
  </si>
  <si>
    <t>Alekseev, Ivan/0000-0002-0512-3849; , jakub/0000-0002-4231-1080; Abakumov, Evgeny/0000-0002-5248-9018; Abakumov, e_abakumov@mail.ru/0000-0002-5248-9018; Polyakov, Vyacheslav/0000-0001-6171-3221</t>
  </si>
  <si>
    <t>Russian Foundation for basic research [16-34-60010, 19-416-890002]; Russian presidents' grant for Young Doctors of Science [MD-3615.2015.4]; Government of the Yamalo-Nenets Autonomous District; Arctic and Antarctic Research Institute (Saint Petersburg); Grant of Saint-Petersburg State University Urbanized ecosystems of the Russian Arctic: dynamics, state and sustainable development</t>
  </si>
  <si>
    <t>Russian Foundation for basic research(Russian Foundation for Basic Research (RFBR)Spanish Government); Russian presidents' grant for Young Doctors of Science; Government of the Yamalo-Nenets Autonomous District; Arctic and Antarctic Research Institute (Saint Petersburg); Grant of Saint-Petersburg State University Urbanized ecosystems of the Russian Arctic: dynamics, state and sustainable development</t>
  </si>
  <si>
    <t>This study was supported by Russian Foundation for basic research, grant 16-34-60010, Russian presidents' grant for Young Doctors of Science. MD-3615.2015.4, the Government of the Yamalo-Nenets Autonomous District and Arctic and Antarctic Research Institute (Saint Petersburg), Grant of Saint-Petersburg State University Urbanized ecosystems of the Russian Arctic: dynamics, state and sustainable development, and a grant of the Russian Foundation for basic research, grant no. 19-416-890002 Abandoned soils of agrolandscapes Yamal-Nenets autonomous region: diversity, features, biology and dynamics.</t>
  </si>
  <si>
    <t>POLSKIE TOWARZYSTWO GLEBOZNAWC</t>
  </si>
  <si>
    <t>WARSAW</t>
  </si>
  <si>
    <t>POLSKIE TOWARZYSTWO GLEBOZNAWC, WARSAW, 00000, POLAND</t>
  </si>
  <si>
    <t>2300-4967</t>
  </si>
  <si>
    <t>2300-4975</t>
  </si>
  <si>
    <t>SOIL SCI ANNU</t>
  </si>
  <si>
    <t>Soil Sci. Annu.</t>
  </si>
  <si>
    <t>10.37501/soilsa/121490</t>
  </si>
  <si>
    <t>NN4LT</t>
  </si>
  <si>
    <t>WOS:000568761600004</t>
  </si>
  <si>
    <t>Rodriguez-Morales, F; Braaten, D; Mai, HT; Paden, J; Gogineni, P; Yan, JB; Abe-Ouchi, A; Fujita, S; Kawamura, K; Tsutaki, S; Van Liefferinge, B; Matsuoka, K; Steinhage, D</t>
  </si>
  <si>
    <t>Rodriguez-Morales, Fernando; Braaten, David; Hoang Trong Mai; Paden, John; Gogineni, Prasad; Yan, Jie-Bang; Abe-Ouchi, Ayako; Fujita, Shuji; Kawamura, Kenji; Tsutaki, Shun; Van Liefferinge, Brice; Matsuoka, Kenichi; Steinhage, Daniel</t>
  </si>
  <si>
    <t>A Mobile, Multichannel, UWB Radar for Potential Ice Core Drill Site Identification in East Antarctica: Development and First Results</t>
  </si>
  <si>
    <t>IEEE JOURNAL OF SELECTED TOPICS IN APPLIED EARTH OBSERVATIONS AND REMOTE SENSING</t>
  </si>
  <si>
    <t>Ice; Antarctica; Radar antennas; Instruments; Radar tracking; Antenna arrays; Oldest ice core; ultra-wideband (UWB) radar sounding</t>
  </si>
  <si>
    <t>DOME FUJI; OLD ICE; VARIABILITY; INSTRUMENTATION; SURFACE; SNOW</t>
  </si>
  <si>
    <t>We developed a high-performance, multichannel, ultra-wideband radar system for measurements of the base and interior of the East Antarctic Ice Sheet. We designed the radar to be of high power (4000-W peak) yet portable and to be able to operate with 60-MHz bandwidth at a center frequency of 200 MHz, providing high sensitivity and fine vertical resolution relative to current technology. We used the radar to perform extensive measurements as a part of a multinational collaboration. We collected data onboard a tracked vehicle outfitted with an array of high-gain antennas. We sounded 2- to 3-km thick ice near Dome Fuji. Preliminary ice thickness data match those obtained via semicoincident measurements performed with a different surface-based pulse-modulated radar system operated during the same field campaign, as well as previous airborne measurements. In addition, we mapped internal reflection horizons with fine vertical resolution from 300 m below the ice surface to similar to 100 m above the bed. In this article, we provide a detailed overview of the radar instrument design, implementation, and field measurement setup. We present sample data to illustrate its capabilities and discuss how the data collected with it will be valuable for the assessment of promising drilling sites to recover ice cores that are 0.9-1.5 million years old.</t>
  </si>
  <si>
    <t>[Rodriguez-Morales, Fernando; Braaten, David; Hoang Trong Mai; Paden, John] Univ Kansas, Ctr Remote Sensing Ice Sheets CReSIS, Lawrence, KS 66045 USA; [Gogineni, Prasad; Yan, Jie-Bang] Univ Alabama, Remote Sensing Ctr, Tuscaloosa, AL 35487 USA; [Abe-Ouchi, Ayako] Univ Tokyo, Atmosphere &amp; Ocean Res Inst AORI, Tokyo 1138654, Japan; [Fujita, Shuji] Natl Inst Polar Res, Div Polar Meteorol &amp; Glaciol, Tokyo 1908518, Japan; [Kawamura, Kenji] Natl Inst Polar Res, Tokyo 1908518, Japan; [Fujita, Shuji] SOKENDAI, Grad Univ Adv Studies, Sokendai, Kanagawa 2400193, Japan; [Tsutaki, Shun] Natl Inst Polar Res, Res Org Informat &amp; Syst, Tokyo 1050001, Japan; [Van Liefferinge, Brice; Matsuoka, Kenichi] Norwegian Polar Res Inst, N-9296 Tromso, Norway; [Steinhage, Daniel] Alfred Wegener Inst, Helmholtz Ctr Polar &amp; Marine Res, D-27570 Bremerhaven, Germany</t>
  </si>
  <si>
    <t>University of Kansas; University of Alabama System; University of Alabama Tuscaloosa; University of Tokyo; Research Organization of Information &amp; Systems (ROIS); National Institute of Polar Research (NIPR) - Japan; Research Organization of Information &amp; Systems (ROIS); National Institute of Polar Research (NIPR) - Japan; Graduate University for Advanced Studies - Japan; Research Organization of Information &amp; Systems (ROIS); National Institute of Polar Research (NIPR) - Japan; Norwegian Polar Institute; Helmholtz Association; Alfred Wegener Institute, Helmholtz Centre for Polar &amp; Marine Research</t>
  </si>
  <si>
    <t>Rodriguez-Morales, F (corresponding author), Univ Kansas, Ctr Remote Sensing Ice Sheets CReSIS, Lawrence, KS 66045 USA.</t>
  </si>
  <si>
    <t>frodrigu@ku.edu; braaten@ku.edu; maitronghoang98@ku.edu; paden@ku.edu; pgogineni@ua.edu; jbyan@ua.edu; abeouchi@aori.u-tokyo.ac.jp; sfujita@nipr.ac.jp; kawamura@nipr.ac.jp; tsutaki.shun@nipr.ac.jp; bvlieffe@gmail.com; kenichi.matsuoka@npolar.no; daniel.steinhage@awi.de</t>
  </si>
  <si>
    <t>Tsutaki, Shun/AAQ-4678-2021; Fujita, Shuji/A-7884-2016; Abe-Ouchi, Ayako A/M-6359-2013; Matsuoka, Kenichi/B-7298-2017; Kawamura, Kenji/C-7660-2011</t>
  </si>
  <si>
    <t>Tsutaki, Shun/0000-0002-5716-225X; Abe-Ouchi, Ayako A/0000-0003-1745-5952; Rodriguez-Morales, Fernando/0000-0001-8004-6145; Matsuoka, Kenichi/0000-0002-3587-3405; Kawamura, Kenji/0000-0003-1163-700X; Mai, Hoang/0000-0002-4074-1132</t>
  </si>
  <si>
    <t>U.S. National Science Foundation; National Institute of Polar Research under MEXT; Belgian Federal Science Policy Office; European Union's Horizon 2020 research and innovation program [730258]; KAKENHI from the Japan Society for the Promotion of Science and MEXT [17H06320, 17H06104, 18H05294]; Norwegian Polar Institute; H2020 Societal Challenges Programme [730258] Funding Source: H2020 Societal Challenges Programme; Grants-in-Aid for Scientific Research [17H06320, 17H06104, 20H00639, 18H05294] Funding Source: KAKEN</t>
  </si>
  <si>
    <t>U.S. National Science Foundation(National Science Foundation (NSF)); National Institute of Polar Research under MEXT; Belgian Federal Science Policy Office(Belgian Federal Science Policy Office); European Union's Horizon 2020 research and innovation program; KAKENHI from the Japan Society for the Promotion of Science and MEXT; Norwegian Polar Institute; H2020 Societal Challenges Programme(Horizon 2020European Union (EU)H2020 Societal Challenges Programme); Grants-in-Aid for Scientific Research(Ministry of Education, Culture, Sports, Science and Technology, Japan (MEXT)Japan Society for the Promotion of ScienceGrants-in-Aid for Scientific Research (KAKENHI))</t>
  </si>
  <si>
    <t>The authors would like to thank the entire USA-JapanNorway collaborative team. The authors would like to gratefully acknowledge A. Paden, K. T. Karidi, B. Shang, P. Place, H. Ailon, and S. Alvarez, and others at the University of Kansas for their work assembling and testing the radar system. The authors would like to thank T. Akins and J. Carswell at Remote Sensing Solutions for their work on the radar's waveform generator and data acquisition systems and R. Taylor at the University of Alabama for project coordination and support. A. R. Harish and G. Gupta at the Indian Institute of Technology, Kanpur are recognized for valuable input to the antenna array design. The authors would like to recognize C. O'Neill at the University of Alabama for identifying the foam used for vibration dampening. The authors also acknowledge support from the various entities that financed the instrument development and field operations. In particular, this work would not have been possible without support for the Center for Remote Sensing of Ice Sheets (CReSIS) Science and Technology Center by the U.S. National Science Foundation between 2005 and 2017. Japanese activities were supported by the National Institute of Polar Research under MEXT. Ground traverse team from Japanese Syowa Station to Dome Fuji was organized and managed by the wintering team of the 59th Japanese Antarctic Research Expedition led by N. Kizu and by the 60th Japanese Antarctic Expedition led by M. Tsutsumi. The authors acknowledge logistics members in the inland traverse, T. Ito, H. Kaneko, S. Sakurai, S. Takamura, and Y. Okada for their generous support during the traverse, to make both the long traverse and the radar observations real. The authors also acknowledge T. Tsubaki and T. Takase at Ohara Corporation for providing the generator mounting system on tracked vehicles for the radars. Air operations were carried out by the BritishAntarctic Survey with field support by the International Polar Foundation (IPF) at the Belgian Princess Elisabeth Station (PEA), and the Norwegian Troll Station, in the frame of Beyond EPICA-Oldest Ice (BE-OI). F. Pattyn generated extra funding from the Belgian Federal Science Policy Office for field support at PEA. BE-OI has received funding from the European Union's Horizon 2020 research and innovation program under Grant 730258 (BE-OI CSA). This work was also supported by KAKENHI from the Japan Society for the Promotion of Science and MEXT under Grant 17H06320, Grant 17H06104, and Grant 18H05294. The authors would like to gratefully acknowledge the support received from the Norwegian Polar Institute. Lastly, the authors would like to thank the two anonymous reviewers whose input helped us improve this article.</t>
  </si>
  <si>
    <t>1939-1404</t>
  </si>
  <si>
    <t>2151-1535</t>
  </si>
  <si>
    <t>IEEE J-STARS</t>
  </si>
  <si>
    <t>IEEE J. Sel. Top. Appl. Earth Observ. Remote Sens.</t>
  </si>
  <si>
    <t>10.1109/JSTARS.2020.3016287</t>
  </si>
  <si>
    <t>Engineering, Electrical &amp; Electronic; Geography, Physical; Remote Sensing; Imaging Science &amp; Photographic Technology</t>
  </si>
  <si>
    <t>Engineering; Physical Geography; Remote Sensing; Imaging Science &amp; Photographic Technology</t>
  </si>
  <si>
    <t>NJ8YV</t>
  </si>
  <si>
    <t>WOS:000566332200003</t>
  </si>
  <si>
    <t>Aho, KB; Flotemersch, JE; Leibowitz, SG; LaCroix, MA; Weber, MH</t>
  </si>
  <si>
    <t>Aho, Kelsey B.; Flotemersch, Joseph E.; Leibowitz, Scott G.; LaCroix, Matthew A.; Weber, Marc H.</t>
  </si>
  <si>
    <t>Applying the index of watershed integrity to the Matanuska-Susitna basin</t>
  </si>
  <si>
    <t>Catchment integrity; cold climate hydrology; culvert remediation; sub-Arctic; watershed integrity</t>
  </si>
  <si>
    <t>ECOSYSTEM SERVICES; CLIMATE-CHANGE; LAND-COVER; STREAM; FISH; URBANIZATION; IMPACTS; GULF</t>
  </si>
  <si>
    <t>The Matanuska-Susitna Borough is the fastest growing region in the State of Alaska and is impacted by a number of human activities. We conducted a multiscale assessment of the stressors facing the borough by developing and mapping the Index of Watershed Integrity (IWI) and Index of Catchment Integrity (the latter considers stressors in areas surrounding individual stream segments exclusive of upstream areas). The assessment coincided with the borough's stormwater management planning. We adapted the list of anthropogenic stressors used in the original conterminous United States IWI application to reflect the borough's geography, human activity, and data availability. This analysis also represents an early application of the NHDPlus High Resolution geospatial framework and the first use of the framework in an IWI study. We also explored how remediation of one important stressor, culverts, could impact watershed integrity at the catchment and watershed scales. Overall, we found that the integrity scores for the Matanuska-Susitna basin were high compared to the conterminous United States. Low integrity scores did occur in the rapidly developing Wasilla-Palmer core area. We also found that culvert remediation had a larger proportional impact in catchments with fewer stressors.</t>
  </si>
  <si>
    <t>[Aho, Kelsey B.] US EPA, Corvallis, OR 97333 USA; [Flotemersch, Joseph E.] US EPA, Ctr Environm Measurement &amp; Modeling, Cincinnati, OH 45268 USA; [Leibowitz, Scott G.; Weber, Marc H.] US EPA, Ctr Publ Hlth &amp; Environm Assessment, Corvallis, OR 97333 USA; [LaCroix, Matthew A.] US EPA, Alaska Operat Off, Reg 10, Anchorage, AK USA; [Aho, Kelsey B.] US Forest Serv, 709 W 9th St, Juneau, AK 99801 USA</t>
  </si>
  <si>
    <t>United States Environmental Protection Agency; United States Environmental Protection Agency; United States Environmental Protection Agency; United States Environmental Protection Agency; United States Department of Agriculture (USDA); United States Forest Service</t>
  </si>
  <si>
    <t>Aho, KB (corresponding author), US EPA, Ctr Publ Hlth &amp; Environm Assessment, Corvallis, OR 97333 USA.</t>
  </si>
  <si>
    <t>kelsey.aho@usda.gov</t>
  </si>
  <si>
    <t>Weber, Marc/GXA-0612-2022; BITOUN, RACHEL Elisabeth/AAC-9538-2021</t>
  </si>
  <si>
    <t>BITOUN, RACHEL Elisabeth/0000-0002-3614-9910; Aho, Kelsey/0000-0002-8688-7487; Flotemersch, Joseph/0000-0003-0294-688X; Weber, Marc/0000-0002-9742-4744; Leibowitz, Scott/0000-0002-9955-9503</t>
  </si>
  <si>
    <t>U.S. Environmental Protection Agency (EPA)</t>
  </si>
  <si>
    <t>U.S. Environmental Protection Agency (EPA)(United States Environmental Protection Agency)</t>
  </si>
  <si>
    <t>The information in this document has been funded entirely by the U.S. Environmental Protection Agency (EPA), in part by an appointment to the Internship/Research Participation Program at the Office of Research and Development, EPA, administered by the Oak Ridge Institute for Science and Education through an interagency agreement between the U.S. Department of Energy and the EPA. The views expressed in this journal article are those of the authors and do not necessarily reflect the views or policies of the EPA. Mention of trade names or commercial products does not constitute endorsement or recommendation for use.</t>
  </si>
  <si>
    <t>10.1080/15230430.2020.1800219</t>
  </si>
  <si>
    <t>NJ0TL</t>
  </si>
  <si>
    <t>WOS:000565756600001</t>
  </si>
  <si>
    <t>Opala-Owczarek, M; Owczarek, P; Lupikasza, E; Boudreau, S; Migala, K</t>
  </si>
  <si>
    <t>Opala-Owczarek, Magdalena; Owczarek, Piotr; Lupikasza, Ewa; Boudreau, Stephane; Migala, Krzysztof</t>
  </si>
  <si>
    <t>Influence of climatic conditions on growth rings ofSalix uva-ursiPursh from the southeastern shore of Hudson Bay, Subarctic Canada</t>
  </si>
  <si>
    <t>Canadian Arctic; climate indices; dendroclimatology; bearberry willow; growth ring width</t>
  </si>
  <si>
    <t>SHRUB GROWTH; TUNDRA; FOREST; TEMPERATURE; VEGETATION; EXPANSION; RESPONSES</t>
  </si>
  <si>
    <t>Over the past decades, warmer air temperature and spatiotemporal changes in the amount and patterns of precipitation have been observed at high latitudes. Such interannual variability in climatic conditions has a strong influence on the dynamics of biological processes regulating terrestrial ecosystems. Dendroclimatology can improve our understanding of the impacts of climate change on vegetation. Based on ring width and frost rings of bearberry willow (Salix uva-ursi) individuals sampled on the southeastern shore of Hudson Bay, Nunavik (Subarctic Quebec, Canada), we built a reliable 105-year growth chronology. A complex dendroclimatological analysis, using the standard approach (mean temperature and precipitation sums), extreme variables, and various climatological indices based on daily data, was conducted in order to precisely describe the relationship between annual variations in growth rings and climatic conditions. The growth of Low Arctic willows in the Hudson Bay region is determined by changes in air temperatures as well as precipitation during the summer. However, temperature increases and reductions in amounts of rainfall may intensify drought stress, which is unfavorable for this species. We found that analysis of daily amounts and intensity of precipitation improved our understanding of the factors conditioning the growth of the studied species in an extreme habitat.</t>
  </si>
  <si>
    <t>[Opala-Owczarek, Magdalena; Lupikasza, Ewa] Univ Silesia Katowice, Fac Nat Sci, Inst Earth Sci, Bedzinska 60, PL-41200 Sosnowiec, Poland; [Owczarek, Piotr; Migala, Krzysztof] Univ Wroclaw, Inst Geog &amp; Reg Dev, Wroclaw, Poland; [Boudreau, Stephane] Univ Laval, Dept Biol, Quebec City, PQ, Canada; [Boudreau, Stephane] Univ Laval, Ctr Etud Nord, Quebec City, PQ, Canada</t>
  </si>
  <si>
    <t>University of Silesia in Katowice; University of Wroclaw; Laval University; Laval University</t>
  </si>
  <si>
    <t>Opala-Owczarek, M (corresponding author), Univ Silesia Katowice, Fac Nat Sci, Inst Earth Sci, Bedzinska 60, PL-41200 Sosnowiec, Poland.</t>
  </si>
  <si>
    <t>magdalena.opala@us.edu.pl</t>
  </si>
  <si>
    <t>Owczarek, Piotr/ABE-8962-2020; Łupikasza, Ewa/GRX-3445-2022; Boudreau, Stephane/I-7838-2012; Opala-Owczarek, Magdalena/M-4372-2015</t>
  </si>
  <si>
    <t>Owczarek, Piotr/0000-0001-7877-7731; Łupikasza, Ewa/0000-0002-3910-9076; Boudreau, Stephane/0000-0002-1035-6452; Opala-Owczarek, Magdalena/0000-0002-0583-6443; Migala, Krzysztof/0000-0003-0881-8109</t>
  </si>
  <si>
    <t>INTERACT Transnational Access, International Network for Terrestrial Research and Monitoring in the Arctic; European Commission HORIZON 2020 [730938]</t>
  </si>
  <si>
    <t>INTERACT Transnational Access, International Network for Terrestrial Research and Monitoring in the Arctic; European Commission HORIZON 2020(Horizon 2020)</t>
  </si>
  <si>
    <t>This research was financed by INTERACT Transnational Access, International Network for Terrestrial Research and Monitoring in the Arctic, and European Commission HORIZON 2020 under grant agreement no. 730938, Growth-Ring Record of Modern Extreme Weather Phenomena in the Low Arctic (REACT).</t>
  </si>
  <si>
    <t>10.1080/15230430.2020.1722397</t>
  </si>
  <si>
    <t>NF7YY</t>
  </si>
  <si>
    <t>WOS:000563511400001</t>
  </si>
  <si>
    <t>Salvetat, J; Lebourges-Dhaussy, A; Travassos, P; Gastauer, S; Roudaut, G; Vargas, G; Bertrand, A</t>
  </si>
  <si>
    <t>Salvetat, Julie; Lebourges-Dhaussy, Anne; Travassos, Paulo; Gastauer, Sven; Roudaut, Gildas; Vargas, Gary; Bertrand, Arnaud</t>
  </si>
  <si>
    <t>In situ target strength measurement of the black triggerfish Melichthys niger and the ocean triggerfish Canthidermis sufflamen</t>
  </si>
  <si>
    <t>biomass estimation; north-east Brazil; small tuna; target strength-length relationships; tropical ecosystem; underwater acoustics; underwater video</t>
  </si>
  <si>
    <t>AGGREGATING DEVICES FADS; TROPICAL TUNA; SPINNER DOLPHINS; SHORE FISHES; ATLANTIC; ACOUSTICS; FREQUENCY; BEHAVIOR; SWIMBLADDER; ARCHIPELAGO</t>
  </si>
  <si>
    <t>Triggerfish are widely distributed in tropical waters where they play an important ecological role. The black triggerfish Melichthys niger may be the dominant species around oceanic tropical islands, whereas pelagic triggerfish, such as the ocean triggerfish Canthidermis sufflamen, can assemble around fish aggregating devices (FADs) where they are a common bycatch of tuna fisheries. In this study we combined acoustic and optical recordings to provide the first in situ target strength (TS) measurement of black and ocean triggerfish. Data were collected in the Archipelago of Fernando de Noronha off north-east Brazil. The mean TS of a 27.8-cm-long black triggerfish at 70 and 200 kHz was -39.3 dB re 1 m(2) (CV = 14.0%) and -38.9 dB re 1 m(2) (CV = 14.4%) respectively. The mean TS values of ocean triggerfish (with a size range of 39-44 cm) at 70 and 200 kHz were -36.0 dB re 1 m(2) (CV = 15.7%) and -33.3 dB re 1 m(2) (CV = 14.0%) respectively. This work opens up the field for acoustic biomass estimates. In addition, we have shown that TS values for ocean triggerfish are within the same range as those of small tunas. Therefore, acoustic data transmitted from FADs equipped with echosounders can introduce a bias in tuna acoustic biomass estimation and lead to increased rates of bycatch.</t>
  </si>
  <si>
    <t>[Salvetat, Julie; Vargas, Gary; Bertrand, Arnaud] Univ Montpellier, IFREMER, CNRS, MARBEC,IRD,Inst Rech Dev IRD, F-34200 Sete, France; [Salvetat, Julie; Travassos, Paulo; Vargas, Gary; Bertrand, Arnaud] Univ Fed Rural Pernambuco, Dept Pesca &amp; Aquicultura, Rua Dom Manoel de Medeiros S-N, BR-52171900 Recife, PE, Brazil; [Lebourges-Dhaussy, Anne; Roudaut, Gildas] Univ Bretagne Occident, Inst Rech Dev, Inst Francais Rech Exploitat Mer, Unite Mixte Rech 6539,Lab Sci Environm Marin,CNRS, Technopole Brest Iroise, F-29280 Plouzane, France; [Gastauer, Sven] Univ Tasmania, Antarctic Climate &amp; Ecosyst Cooperat Res Ctr, Private Bag 80, Hobart, Tas 7001, Australia; [Bertrand, Arnaud] Univ Fed Pernambuco, Dept Oceanog, Lab Oceanog Fis Estuarina &amp; Costeira, Ave Prof Moraes Rego,1235 Cidade Univ, BR-50670901 Recife, PE, Brazil</t>
  </si>
  <si>
    <t>Centre National de la Recherche Scientifique (CNRS); Universite de Montpellier; Ifremer; Institut de Recherche pour le Developpement (IRD); Universidade Federal Rural de Pernambuco (UFRPE); Centre National de la Recherche Scientifique (CNRS); Ifremer; Institut de Recherche pour le Developpement (IRD); University of Tasmania; Antarctic Climate &amp; Ecosystems Cooperative Research Centre (ACE CRC); Universidade Federal de Pernambuco</t>
  </si>
  <si>
    <t>Salvetat, J (corresponding author), Univ Montpellier, IFREMER, CNRS, MARBEC,IRD,Inst Rech Dev IRD, F-34200 Sete, France.;Salvetat, J (corresponding author), Univ Fed Rural Pernambuco, Dept Pesca &amp; Aquicultura, Rua Dom Manoel de Medeiros S-N, BR-52171900 Recife, PE, Brazil.</t>
  </si>
  <si>
    <t>ju.salvetat@gmail.com</t>
  </si>
  <si>
    <t>Gastauer, Sven/KFT-2835-2024; Bertrand, Arnaud/E-4251-2010</t>
  </si>
  <si>
    <t>Bertrand, Arnaud/0000-0003-4723-179X; Gastauer, Sven/0000-0001-9676-9946; TRAVASSOS, PAULO/0000-0001-8667-5292; Salvetat, Julie/0000-0003-4697-0806</t>
  </si>
  <si>
    <t>IRD; Planning in a Liquid World with Tropical Stakes (PADDLE) project - European Union [73427]</t>
  </si>
  <si>
    <t>IRD; Planning in a Liquid World with Tropical Stakes (PADDLE) project - European Union</t>
  </si>
  <si>
    <t>This work was a contribution to Tropical Atlantic Interdisciplinary laboratory on physical, biogeochemical, ecological and human dynamics International Laboratory (LMI TAPIOCA), supported by IRD, and the Planning in a Liquid World with Tropical Stakes (PADDLE) project, which has received funding from the European Union's Horizon 2020 research and innovation programme under Grant Agreement Number 73427.</t>
  </si>
  <si>
    <t>10.1071/MF19153</t>
  </si>
  <si>
    <t>NE3ZF</t>
  </si>
  <si>
    <t>WOS:000562536400007</t>
  </si>
  <si>
    <t>Sano, Y; Onda, S; Kagoshima, T; Miyajima, T; Takahata, N; Shibata, T; Nakagawa, C; Onoue, T; Kim, NK; Lee, H; Kusakabe, M; Pinti, DL</t>
  </si>
  <si>
    <t>Sano, Yuji; Onda, Satoki; Kagoshima, Takanori; Miyajima, Toshihiro; Takahata, Naoto; Shibata, Tomo; Nakagawa, Chika; Onoue, Tetsuji; Kim, Nak Kyu; Lee, Hyunwoo; Kusakabe, Minoru; Pinti, Daniele L.</t>
  </si>
  <si>
    <t>Groundwater oxygen anomaly related to the 2016 Kumamoto earthquake in Southwest Japan</t>
  </si>
  <si>
    <t>groundwater; earthquake precursors; hydrogen isotopes; oxygen isotopes; 2016 Kumamoto earthquake</t>
  </si>
  <si>
    <t>RATIOS; PRECURSORS; KYUSHU; WATERS; AR; HE</t>
  </si>
  <si>
    <t>Here, we report the groundwater oxygen isotope anomalies caused by the 2016 Kumamoto earthquake (M(JMA)7.3) that occurred in Southwest Japan on April 16, 2016. One hundred and seventeen groundwater samples were collected from a deep well located 3 km to the southeast of the epicenter in Mifune Town, Kumamoto Prefecture; they were drinking water packed in PET bottles and distributed in the area between April 2015 and March 2018. Further, the oxygen and hydrogen isotopes were evaluated via cavity ring-down spectroscopy without performing any pretreatment. An anomalous increase was observed with respect to the delta O-8 value (up to 0.51 parts per thousand) soon after the earthquake along with a precursory increase of 0.38 parts per thousand in January 2016 before the earthquake. During these periods, there was no noticeable change in the hydrogen isotopic ratios. Rapid crustal deformation related to the earthquake may have enhanced the microfracturing of the aquifer rocks and the production of new surfaces, inducing delta O-8 enrichment via oxygen isotopic exchange between rock and porewater without changing delta H-2.</t>
  </si>
  <si>
    <t>[Sano, Yuji; Onda, Satoki; Kagoshima, Takanori; Miyajima, Toshihiro; Takahata, Naoto] Univ Tokyo, Atmosphere &amp; Ocean Res Inst, 5-1-5 Kashiwanoha, Kashiwa, Chiba 2778564, Japan; [Sano, Yuji] Tianjin Univ, Inst Surface Earth Syst Sci, Tianjin, Peoples R China; [Shibata, Tomo] Kyoto Univ, Inst Geothermal Sci, Beppu, Oita, Japan; [Nakagawa, Chika; Onoue, Tetsuji] Kumamoto Univ, Dept Earth &amp; Environm Sci, Kumamoto, Japan; [Onoue, Tetsuji] Kyushu Univ, Dept Earth &amp; Planetary Sci, Fukuoka, Japan; [Kim, Nak Kyu] Korea Polar Res Inst, Unit Antarctic K Route Expedit, Incheon, South Korea; [Lee, Hyunwoo] Seoul Natl Univ, Sch Earth &amp; Environm Sci, Seoul, South Korea; [Kusakabe, Minoru] Toyama Univ, Dept Environm Biol &amp; Chem, Toyama, Japan; [Pinti, Daniele L.] Univ Quebec Montreal, GEOTOP, Montreal, PQ, Canada; [Pinti, Daniele L.] Univ Quebec Montreal, Res Ctr Earth Syst Dynam, Montreal, PQ, Canada</t>
  </si>
  <si>
    <t>University of Tokyo; Tianjin University; Kyoto University; Kumamoto University; Kyushu University; Korea Polar Research Institute (KOPRI); Seoul National University (SNU); University of Toyama; University of Quebec; University of Quebec Montreal; University of Quebec; University of Quebec Montreal</t>
  </si>
  <si>
    <t>Sano, Y (corresponding author), Univ Tokyo, Atmosphere &amp; Ocean Res Inst, 5-1-5 Kashiwanoha, Kashiwa, Chiba 2778564, Japan.</t>
  </si>
  <si>
    <t>ysano@aori.u-tokyo.ac.jp</t>
  </si>
  <si>
    <t>Pinti, Daniele/C-4063-2009</t>
  </si>
  <si>
    <t>Pinti, Daniele/0000-0001-7341-4448; Onoue, Tetsuji/0009-0009-2437-8749; Kim, Nak Kyu/0000-0002-2882-068X; Takahata, Naoto/0000-0003-0124-208X</t>
  </si>
  <si>
    <t>Ministry of Education, Culture, Sports, Science and Technology (MEXT) of Japan, under its Earthquake and Volcano Hazards Observation and Research Program; Japan Society for the Promotion of Science [17H00777]; Korea Polar Research Institute [PE20200]; Grants-in-Aid for Scientific Research [20H00203, 17H00777] Funding Source: KAKEN</t>
  </si>
  <si>
    <t>Ministry of Education, Culture, Sports, Science and Technology (MEXT) of Japan, under its Earthquake and Volcano Hazards Observation and Research Program(Ministry of Education, Culture, Sports, Science and Technology, Japan (MEXT)); Japan Society for the Promotion of Science(Ministry of Education, Culture, Sports, Science and Technology, Japan (MEXT)Japan Society for the Promotion of Science); Korea Polar Research Institute(Korea Polar Research Institute of Marine Research Placement (KOPRI)); Grants-in-Aid for Scientific Research(Ministry of Education, Culture, Sports, Science and Technology, Japan (MEXT)Japan Society for the Promotion of ScienceGrants-in-Aid for Scientific Research (KAKENHI))</t>
  </si>
  <si>
    <t>We gratefully acknowledge the anonymous mineral water company for providing several water samples. We are thankful to Prof. N. Koizumi for the discussion on chemical precursors and two anonymous referees for constructive reviews. This study was partly supported by the Ministry of Education, Culture, Sports, Science and Technology (MEXT) of Japan, under its Earthquake and Volcano Hazards Observation and Research Program, and by a research grant from the Japan Society for the Promotion of Science (17H00777). The laser fluorination oxygen isotope analysis was funded by the Korea Polar Research Institute (PE20200).</t>
  </si>
  <si>
    <t>10.2183/pjab.96.024</t>
  </si>
  <si>
    <t>ND8NN</t>
  </si>
  <si>
    <t>WOS:000562159600007</t>
  </si>
  <si>
    <t>Canales, LH</t>
  </si>
  <si>
    <t>Horta Canales, Luis</t>
  </si>
  <si>
    <t>History and aesthetic disruption in the documentary The University in Antarctica (Luis Cornejo, 1962)</t>
  </si>
  <si>
    <t>CINE DOCUMENTAL</t>
  </si>
  <si>
    <t>Chile; Antarctica; Luis Cornejo; Sergio Bravo; Guzman Campos</t>
  </si>
  <si>
    <t>Between December 1961 and March 1962, a small team of filmmakers belonging to the Audiovisual Department of Universidad de Chile, moved to Presidente Gabriel Gonzalez Videla's Antarctic base, to record the scientific activities carried out there. The result will be a documentary that has a clear authorial vocation and is framed in the disruptive trends of identity aesthetic representation, those that start modern cinema in the country.</t>
  </si>
  <si>
    <t>cineteca@uchile.cl</t>
  </si>
  <si>
    <t>BUENOS AIRES</t>
  </si>
  <si>
    <t>VENEZUELA, 3318, BUENOS AIRES, C1211AAL, ARGENTINA</t>
  </si>
  <si>
    <t>1852-4699</t>
  </si>
  <si>
    <t>CINE DOC</t>
  </si>
  <si>
    <t>Cine Doc.</t>
  </si>
  <si>
    <t>Film, Radio, Television</t>
  </si>
  <si>
    <t>Film, Radio &amp; Television</t>
  </si>
  <si>
    <t>ND2OB</t>
  </si>
  <si>
    <t>WOS:000561743400002</t>
  </si>
  <si>
    <t>Makoto, K; Kudo, G</t>
  </si>
  <si>
    <t>Makoto, Kobayashi; Kudo, Gaku</t>
  </si>
  <si>
    <t>Intraspecific differentiation in the root system of Potentilla matsumurae along a snow accumulation gradient in mid-altitude alpine environment</t>
  </si>
  <si>
    <t>Aboveground-belowground linkage; functional trait; snowmelt; winter climate change; root economic spectrum</t>
  </si>
  <si>
    <t>FINE-ROOT; CLIMATE-CHANGE; FUNCTIONAL TRAITS; TUNDRA PLANTS; RESPONSES; NITROGEN; SOIL; BIOMASS; GROWTH; AREA</t>
  </si>
  <si>
    <t>Despite its importance for plant survival in cold biomes, little is known about the variation in the morphological traits of root systems of alpine plants. In this study, we investigated the difference in biomass allocation and morphological traits of belowground organs ofPotentilla matsumuraebetween snowbeds and fellfields in an alpine tundra in northern Japan. The fellfields were characterized to have drier, colder, and less fertile conditions with more soil freeze-thaw cycles and longer growing seasons than snowbeds. The allocation to the aboveground part relative to the root system was significantly higher in the fellfields than in the snowbeds. The allocation to the root system relative to the aboveground part was significantly lower in the fellfields than in the snowbeds. For the morphological traits of fine roots, the specific root length and the root tip density were smaller in the fellfields than in the snowbeds. Together, distinct intraspecific differentiation of biomass allocation and morphological traits in the root system was found forP. matsumuraebetween the snowbed and fellfields populations in an alpine ecosystem. The distinct variation in root morphology could makeP. matsumuraegrow across the sharp gradient of snow conditions in alpine environments.</t>
  </si>
  <si>
    <t>[Makoto, Kobayashi] Hokkaido Univ, Field Sci Ctr Northern Biosphere, Horonobe, Hokkaido, Japan; [Kudo, Gaku] Hokkaido Univ, Fac Environm Earth Sci, Sapporo, Hokkaido, Japan</t>
  </si>
  <si>
    <t>Hokkaido University; Hokkaido University</t>
  </si>
  <si>
    <t>Makoto, K (corresponding author), Hokkaido Univ, Field Sci Ctr Northern Biosphere, Teshio Expt Forest, Horonobe, Hokkaido 0982943, Japan.</t>
  </si>
  <si>
    <t>makoto@fsc.hokudai.ac.jp</t>
  </si>
  <si>
    <t>Kudo, Gaku/A-2733-2015</t>
  </si>
  <si>
    <t>Kudo, Gaku/0000-0002-6488-818X</t>
  </si>
  <si>
    <t>Japan Society for the Promotion of Science [17K07552, 15K18708, 18H02504]; Grants-in-Aid for Scientific Research [18H02504, 15K18708, 17K07552] Funding Source: KAKEN</t>
  </si>
  <si>
    <t>This work was supported by the Japan Society for the Promotion of Science (17K07552, 15K18708, 18H02504).</t>
  </si>
  <si>
    <t>10.1080/15230430.2020.1794099</t>
  </si>
  <si>
    <t>NC0HF</t>
  </si>
  <si>
    <t>WOS:000560893200001</t>
  </si>
  <si>
    <t>John, C; Miller, D; Post, E</t>
  </si>
  <si>
    <t>John, Christian; Miller, Douglas; Post, Eric</t>
  </si>
  <si>
    <t>Regional variation in green-up timing along a caribou migratory corridor: Spatial associations with snowmelt and temperature</t>
  </si>
  <si>
    <t>Landscape phenology; green-up; snowmelt; climate change; remote sensing</t>
  </si>
  <si>
    <t>PLANT PHENOLOGY; RESOURCE WAVES</t>
  </si>
  <si>
    <t>Spring green-up in arctic and alpine systems is predominantly controlled by temperature and snowmelt timing preceding and during the growing season. Variation in the timing of green-up across space is an important aspect of resource variability with which mobile herbivores must contend. Here, we measure the explanatory power of abiotic drivers of green-up in a Low Arctic region of west Greenland, host to a migratory caribou population. We identify inconsistent relationships between green-up and abiotic drivers across space. Whereas green-up timing is most closely related to snowmelt in some areas, in others it is most closely related to spring temperature. The negative correlation between the explanatory power of snowmelt and temperature suggests that at broad scales, where green-up is more constrained by snow cover, such as moist, mountainous coastal areas, it is less constrained by temperature. Where snow is less persistent through winter, such as cold, dry inland areas, temperature becomes the predominant factor driving green-up. If the principal driver of spring plant growth is inconsistent across a region, long-term trends in resource phenology could vary spatially. For seasonal migrants like caribou, synchronizing migration timing with resource phenology may be complicated by discordant interannual change across drivers of green-up timing.</t>
  </si>
  <si>
    <t>[John, Christian; Post, Eric] Univ Calif Davis, Dept Wildlife Fish &amp; Conservat Biol, Davis, CA 95616 USA; [Miller, Douglas] Penn State Univ, Dept Ecosyst Sci &amp; Management, State Coll, PA USA; [Miller, Douglas] Penn State Univ, Dept Geog, State Coll, PA USA</t>
  </si>
  <si>
    <t>University of California System; University of California Davis; Pennsylvania Commonwealth System of Higher Education (PCSHE); Pennsylvania State University; Pennsylvania Commonwealth System of Higher Education (PCSHE); Pennsylvania State University</t>
  </si>
  <si>
    <t>John, C (corresponding author), 1 Shields Ave, Davis, CA 95616 USA.</t>
  </si>
  <si>
    <t>cjohn@ucdavis.edu</t>
  </si>
  <si>
    <t>John, Christian/0000-0002-6249-040X; Post, Eric/0000-0002-9471-5351</t>
  </si>
  <si>
    <t>U.S. National Science Foundation [PLR1525636]</t>
  </si>
  <si>
    <t>Financial support was provided by U.S. National Science Foundation Grant PLR1525636 to EP.</t>
  </si>
  <si>
    <t>10.1080/15230430.2020.1796009</t>
  </si>
  <si>
    <t>NC9JE</t>
  </si>
  <si>
    <t>WOS:000561525900001</t>
  </si>
  <si>
    <t>Skakun, AA; Chikhachev, KB; Ekaykin, AA; Kozachek, AV; Vladimirova, DO; Veres, AN; Verkulich, SR; Sidorova, OR; Demidov, NE</t>
  </si>
  <si>
    <t>Skakun, A. A.; Chikhachev, K. B.; Ekaykin, A. A.; Kozachek, A., V; Vladimirova, D. O.; Veres, A. N.; Verkulich, S. R.; Sidorova, O. R.; Demidov, N. E.</t>
  </si>
  <si>
    <t>Stable isotopic composition of atmospheric precipitation and natural waters in the vicinity of Barentsburg (Svalbard)</t>
  </si>
  <si>
    <t>atmospheric precipitation; isotopic composition; natural waters; Svalbard</t>
  </si>
  <si>
    <t>ICE</t>
  </si>
  <si>
    <t>In 2016-2017, during Russian Arctic Expedition on Svalbard (RAE-S) we have collected the samples of atmospheric precipitation, terrestrial waters, snow and ice on Spitsbergen island in the vicinity of Gronfjorden. The measurements of stable water isotope content (delta O-18 and delta D) in the atmospheric precipitation has allowed to draw the Local Meteoric Water Line (delta D = 6,93 delta O-18 - 0,35) and to analyze the relationship between the isotopic content and condensation temperature. Aside from this, the d-excess values in precipitation (d(exc) = delta D - 8 delta O-18) was interpreted as a marker of the moisture source. It has been demonstrated that the isotopic content of the surface waters (lakes and rivers) clearly points to the dominating type of feeding (atmospheric, ground) of these hydrological objects. We have discovered the inter-annual variability of the isotopic composition of Lake Kongress water during 2 years and defined the sources of water in its tributes: 13 of them have atmospheric source and 9 - ground source. In general, isotopic content of water in the vicinity of Gronfjorden (mean values are: delta O-18 = -10,3 parts per thousand, delta D = -72,5 parts per thousand) is higher than in other regions of Svalbard.</t>
  </si>
  <si>
    <t>[Skakun, A. A.; Chikhachev, K. B.; Ekaykin, A. A.; Kozachek, A., V; Veres, A. N.; Verkulich, S. R.; Sidorova, O. R.; Demidov, N. E.] Arctic &amp; Antarctic Res Inst, St Petersburg, Russia; [Skakun, A. A.] Cent Pulkovo Astron Observ, St Petersburg, Russia; [Ekaykin, A. A.; Veres, A. N.] St Petersburg State Univ, Inst Earth Sci, St Petersburg, Russia; [Kozachek, A., V; Vladimirova, D. O.] Russian Acad Sci, Inst Geog, Moscow, Russia</t>
  </si>
  <si>
    <t>Arctic &amp; Antarctic Research Institute; Pulkovo Observatory; Russian Academy of Sciences; St. Petersburg Scientific Centre of the Russian Academy of Sciences; Saint Petersburg State University; Russian Academy of Sciences; Institute of Geography, Russian Academy of Sciences</t>
  </si>
  <si>
    <t>Skakun, AA (corresponding author), Arctic &amp; Antarctic Res Inst, St Petersburg, Russia.;Skakun, AA (corresponding author), Cent Pulkovo Astron Observ, St Petersburg, Russia.</t>
  </si>
  <si>
    <t>a_skakun@mail.ru</t>
  </si>
  <si>
    <t>Sidorova, Olga/ABH-1841-2020; Veres, Arina/HJY-8317-2023; Kozachek, Anna/Q-4543-2016</t>
  </si>
  <si>
    <t>Kozachek, Anna/0000-0002-9704-8064</t>
  </si>
  <si>
    <t>10.31857/S2076673420030046</t>
  </si>
  <si>
    <t>NB4JP</t>
  </si>
  <si>
    <t>WOS:000560480800004</t>
  </si>
  <si>
    <t>Guzenko, RB; Mironov, YU; Kharitonov, VV; Khotchenkov, SV; May, RI; Porubaev, VS; Kovalev, SM; Kornishin, KA; Efimov, YO</t>
  </si>
  <si>
    <t>Guzenko, R. B.; Mironov, Ye U.; Kharitonov, V. V.; Khotchenkov, S., V; May, R., I; Porubaev, V. S.; Kovalev, S. M.; Kornishin, K. A.; Efimov, Ya O.</t>
  </si>
  <si>
    <t>Comprehensive study of old hummocks in the Arctic Ocean</t>
  </si>
  <si>
    <t>composite ridge; comprehensive study; consolidated layer; internal structure; old ice ridge; ridge age; water thermal drilling; 3D-model of ridge</t>
  </si>
  <si>
    <t>In May 2015, the old hummock located to the North of the Bennett island (the East Siberian Sea) was investigated using several methods, among which were water thermal drilling, tachometric and sonar surveys, underwater video recording, as well as techniques to determine the strength and physical properties of ice. It was found out that only a combination of different methods provides a way to correctly estimate the main morphometric characteristics of a large ice formation and to determine its volume and mass. Analysis of the internal structure of the hummock, obtained by the water thermal drilling with a record of the drilling rate on the logger, made it possible to reveal a composite character of the ice formation (the hummock consisted of two fragments - the large old one and the smaller first-year piece) and to estimate approximately its age (3-4 years). Comparison of the main morphometric characteristics of the old hummock with the average values of first-year hummocks, investigated in the same area and the time, showed that the old hummock had significantly greater geometric parameters: its volume and mass exceeded similar parameters of the average younger formation by factors 5.6 and 5.8, respectively. This significant difference allows suggestion that the reason is not the age but a composite structure of the old formation. The average thickness of the consolidated layer of the old hummock equal to 4.6 m is almost twice larger than similar parameter of a first-year hummock (2.33 m) while the average value of the thickness in the old part of the old hummock (5.22 m) is larger than that of a young one by the factor 2.2. Note also, that the old hummock is characterized by almost complete smoothness (impossible to separate individual blocks) and minimal porosity (1%) of its ice. The salinity and density of the ice composing the frontal part of the old hummock is much smaller than in first-year hummocks. The average density of ice in the old hummock, determined analytically from the buoyancy condition, was equal to 896 kg/m(3), while the average density of ice in the first-year hummocks, determined from measurements, - 917 kg/m(3).</t>
  </si>
  <si>
    <t>[Guzenko, R. B.; Mironov, Ye U.; Kharitonov, V. V.; Khotchenkov, S., V; May, R., I; Porubaev, V. S.; Kovalev, S. M.] Arctic &amp; Antarctic Res Inst, St Petersburg, Russia; [Kornishin, K. A.] Rosneft Oil Co, Moscow, Russia; [Efimov, Ya O.] Arctic Res Ctr, Moscow, Russia</t>
  </si>
  <si>
    <t>Arctic &amp; Antarctic Research Institute; Rosneft Oil</t>
  </si>
  <si>
    <t>Guzenko, RB (corresponding author), Arctic &amp; Antarctic Res Inst, St Petersburg, Russia.</t>
  </si>
  <si>
    <t>guzenko@aari.ru</t>
  </si>
  <si>
    <t>Porubaev, Viktor/AAQ-2169-2021; Mironov, Yevgeny Uarovich/ADV-4713-2022; Kornishin, Konstantin/AAA-7560-2022; May, Ruslan I./J-5316-2013</t>
  </si>
  <si>
    <t>Mironov, Yevgeny Uarovich/0000-0001-8390-8011; Kharitonov, Victor/0000-0003-1847-9980; May, Ruslan I./0000-0002-5602-1391</t>
  </si>
  <si>
    <t>RFBR [18-0560109]</t>
  </si>
  <si>
    <t>The authors are grateful to A.I. Shushlebin (AARI) for valuable scientific advice. This study is supported by the RFBR grant No 18-0560109. The investigations were performed as part of the innovative activity of Public joint-stock Rosneft Oil Company.</t>
  </si>
  <si>
    <t>10.31857/S2076673420030050</t>
  </si>
  <si>
    <t>WOS:000560480800008</t>
  </si>
  <si>
    <t>Tielidze, LG; Solomina, ON; Jomelli, V; Dolgova, EA; Bushueva, IS; Mikhalenko, VN; Brauche, R</t>
  </si>
  <si>
    <t>Tielidze, L. G.; Solomina, O. N.; Jomelli, V; Dolgova, E. A.; Bushueva, I. S.; Mikhalenko, V. N.; Brauche, R.</t>
  </si>
  <si>
    <t>ASTER Team</t>
  </si>
  <si>
    <t>Change of Chalaati Glacier (Georgian Caucasus) since the Little Ice Age based on dendrochronological and Beryllium-10 data</t>
  </si>
  <si>
    <t>Cosmic Ray Exposure dating; dendrochronology; glacier variation; Greater Caucasus; Little Ice Age</t>
  </si>
  <si>
    <t>PRODUCTION-RATE CALIBRATION; GREATER CAUCASUS; FLUCTUATIONS</t>
  </si>
  <si>
    <t>Glacier variations over the past centuries are still poorly documented on the southern slope of the Greater Caucasus. In this paper, the change of Chalaati Glacier in the Georgian Caucasus from its maximum extent during the Little Ice Age has been studied. For the first time in the history of glaciological studies of the Georgian Caucasus, Be-10 in situ Cosmic Ray Exposure (CRE) dating was applied. The age of moraines was determined by tree-ring analysis. Lichenometry was also used as a supplementary tool to determine the relative ages of glacial landforms. In addition, the large-scale topographical maps (1887, 1960) were used along with the satellite imagery - Corona, Landsat 5 TM, and Sentinel 2B. Repeated photographs were used to identify the glacier extent in the late XIX and early XX centuries. Be-10 CRE ages from the oldest lateral moraine of the Chalaati Glacier suggest that the onset of the Little Ice Age occurred similar to 0.73 +/- 0.04 kyr ago (CE similar to 1250-1330), while the dendrochronology and lichenometry measurements show that the Chalaati Glacier reached its secondary maximum extent again about CE similar to 1810. From that time through 2018 the glacier area decreased from 14.9 +/- 1.5 km(2) to 9.9 +/- 0.5 km(2) (33.8 +/- 7.4% or similar to 0.16% yr(-1)), while its length retreated by similar to 2280 m. The retreat rate was uneven: it peaked between 1940 and 1971 (similar to 22.9 m yr(-1)), while the rate was slowest in 1910-1930 (similar to 4.0 m yr(-1)). The terminus elevation rose from similar to 1620 m to similar to 1980 m above sea level in similar to 1810-2018.</t>
  </si>
  <si>
    <t>[Tielidze, L. G.] Ivane Javakhishvili Tbilisi State Univ, Vakhushti Bagrat Inst Geog, Tbilisi, Georgia; [Tielidze, L. G.] Victoria Univ Wellington, Antarctic Res Ctr, Wellington, New Zealand; [Tielidze, L. G.] Victoria Univ Wellington, Sch Geog Environm &amp; Earth Sci, Wellington, New Zealand; [Solomina, O. N.; Dolgova, E. A.; Bushueva, I. S.; Mikhalenko, V. N.] Russian Acad Sci, Inst Geog, Moscow, Russia; [Solomina, O. N.] Higher Sch Econ, Moscow, Russia; [Jomelli, V; Brauche, R.; ASTER Team] Aix Marseille Univ, CNRS, UMR 34, CNRS IRD Coll, Marseille, France; [Jomelli, V] Sorbonne Univ, LGP, CNRS, Paris, France</t>
  </si>
  <si>
    <t>Ivane Javakhishvili Tbilisi State University; Victoria University Wellington; Victoria University Wellington; Russian Academy of Sciences; Institute of Geography, Russian Academy of Sciences; HSE University (National Research University Higher School of Economics); Aix-Marseille Universite; Centre National de la Recherche Scientifique (CNRS); Centre National de la Recherche Scientifique (CNRS); Sorbonne Universite</t>
  </si>
  <si>
    <t>Tielidze, LG (corresponding author), Ivane Javakhishvili Tbilisi State Univ, Vakhushti Bagrat Inst Geog, Tbilisi, Georgia.;Tielidze, LG (corresponding author), Victoria Univ Wellington, Antarctic Res Ctr, Wellington, New Zealand.;Tielidze, LG (corresponding author), Victoria Univ Wellington, Sch Geog Environm &amp; Earth Sci, Wellington, New Zealand.</t>
  </si>
  <si>
    <t>tielidzelevan@gmail.com</t>
  </si>
  <si>
    <t>Tielidze, Levan G/E-2690-2018; Solomina, Olga N/J-8353-2013; Bushueva, Irina S./A-4215-2014; Dolgova, Ekaterina/A-4225-2014</t>
  </si>
  <si>
    <t>Tielidze, Levan G/0000-0002-4646-5458; Dolgova, Ekaterina/0000-0002-4734-2687</t>
  </si>
  <si>
    <t>Russian-French (CNRS-PICS) collaborative programs (DECAU; IPAGCAUA); LIA program DEGLAC; Shota Rustaveli National Science Founda. tion of Georgia (SRNSFG) [YS17_12]; INSU/CNRS; ANR through the Projets thematiques d'excellence program for the Equipements d'excellence ASTER-CEREGE action; IRD.ASTER Team includes Georges Aumaitre; [0148-2019-0004]</t>
  </si>
  <si>
    <t>Russian-French (CNRS-PICS) collaborative programs (DECAU; IPAGCAUA); LIA program DEGLAC; Shota Rustaveli National Science Founda. tion of Georgia (SRNSFG); INSU/CNRS(Centre National de la Recherche Scientifique (CNRS)); ANR through the Projets thematiques d'excellence program for the Equipements d'excellence ASTER-CEREGE action(Agence Nationale de la Recherche (ANR)); IRD.ASTER Team includes Georges Aumaitre;</t>
  </si>
  <si>
    <t>The project is supported by the fundamental scientific research No 0148-2019-0004 and Russian-French (CNRS-PICS) collaborative programs (DECAU; IPAGCAUA) and LIA program DEGLAC.The study from Georgian side was sup. ported by Shota Rustaveli National Science Founda. tion of Georgia (SRNSFG) [YS17_12].The 10Be measurements were performed at the ASTER AMS national facility (CEREGE.Aix-en-Provence) that is supported by the INSU/CNRS, the ANR through the Projets thematiques d'excellence program for the Equipements d'excellence ASTER-CEREGE action and IRD.ASTER Team includes Georges Aumaitre, Didier L.Bourles, Karim Keddadouche. We gratefully acknowledge the support of two review ers, Dmitry Petrakov and anonymous reviewer 2, for detailed comments which clearly enhanced the qual. ity of the paper.Special thanks to Lauren Vargo and Regis Braucher for proofreading the paper.</t>
  </si>
  <si>
    <t>10.31857/S2076673420030052</t>
  </si>
  <si>
    <t>WOS:000560480800010</t>
  </si>
  <si>
    <t>Hu, YY</t>
  </si>
  <si>
    <t>Yongyun Hu</t>
  </si>
  <si>
    <t>The discovery of the Antarctic ozone hole</t>
  </si>
  <si>
    <t>CHINESE SCIENCE BULLETIN-CHINESE</t>
  </si>
  <si>
    <t>Antarctic ozone hole; the ozone layer; stratosphere; chlorofluorocarbons (CFCs); climate</t>
  </si>
  <si>
    <t>DESTRUCTION</t>
  </si>
  <si>
    <t>To celebrate its 150 anniversary, Nature collected 10 extraordinary papers published on Nature in November, 2019. One of the papers is on the discovery of the Antarctic ozone hole, which was published by three British scientists, Joe C. Farman, Brian G. Gardiner, and Jonathan D. Shanklin, in 1985. They first showed observational evidence that Antarctic stratospheric ozone experienced drastic decrease in the early 1980s, by contrasting to the relative steady state in the 1970s. They also suggested that the ozone hole is due to human-made chlorofluorocarbons (CFCs). Nature invited Susan Solomon, who made outstanding contributions to our understanding of the ozone hole, to comment on the paper. She pointed out that The unexpected discovery of a hole in the atmospheric ozone layer over the Antarctic revolutionized science-and helped to establish one of the most successful global environmental policies of the twentieth century. The observational evidence by Farman et al. greatly confirmed earlier theoretical works by P. Cruzen, M. Molina, and F. Rowland who first emphasized in the 1970s that anthropogenic emissions of nitrogen oxides and CFCs would damage the ozone layer. Their observational confirmation led to the winning of the Nobel Prize in Chemistry by Cruzen, Molina, and Rowland in 1995. The discovery of the ozone hole also led to great international actions in reducing CFCs emissions and protecting the ozone layer, which is crucially important for screening solar ultraviolet radiation for surface life. A series of conventions has been organized by the United Nations, and the most successful one is the 1987 Montreal Protocol on Substances that Deplete the Ozone Layer. The Montreal Protocol and the succeeding amendments, adjustments, and decisions were subsequently negotiated to control the consumption and production of anthropogenic emissions of ozone-depleting substances (ODSs) and some hydrofluorocarbons (HFCs). Since then, ODSs emissions have been largely reduced and showed rapid decrease since the early 1990s. The global ozone layer and the ozone hole over Antarctic all have showed gradual increasing since the late 1990s. According to predictions of climate-chemistry models, the global total column ozone will return to its 1980 values by 2045 when ODSs decline to very low levels, and the Antarctic ozone hole will recover by 2060. The gradual recovery of the ozone hole, due to reducing anthropogenic emissions, from severe depletion also due to human emissions, is considered a successful story that human can protect their environment through self-efforts. It provides us with the confidence that we are able to reduce greenhouse gas emissions and to solve the problem of global greenhouse warming. In the present paper, we will first introduce the discovery of the Antarctic ozone hole by Farman et al. Then, we introduce the chemical mechanisms of the Chapman and the catalytic reactions that result in the formation of the ozone layer, and how anthropogenic perturbations caused the Antarctic ozone hole. We shall also introduce the actions that was taken by international communities to protect the ozone layer. In the final section, we point out the important implications of the discovery of the ozone hole.</t>
  </si>
  <si>
    <t>[Yongyun Hu] Peking Univ, Sch Phys, Dept Atmospher &amp; Ocean Sci, Beijing 100871, Peoples R China</t>
  </si>
  <si>
    <t>Peking University</t>
  </si>
  <si>
    <t>Hu, YY (corresponding author), Peking Univ, Sch Phys, Dept Atmospher &amp; Ocean Sci, Beijing 100871, Peoples R China.</t>
  </si>
  <si>
    <t>yyhu@pku.edu.cn</t>
  </si>
  <si>
    <t>Hu, Yongyun/B-6786-2016</t>
  </si>
  <si>
    <t>Hu, Yongyun/0000-0002-4003-4630</t>
  </si>
  <si>
    <t>EPHRATA</t>
  </si>
  <si>
    <t>300 WEST CHESNUT ST, EPHRATA, PA 17522 USA</t>
  </si>
  <si>
    <t>0023-074X</t>
  </si>
  <si>
    <t>2095-9419</t>
  </si>
  <si>
    <t>CHIN SCI B-CHIN</t>
  </si>
  <si>
    <t>Chin. Sci. Bull.-Chin.</t>
  </si>
  <si>
    <t>10.1360/TB-2020-0097</t>
  </si>
  <si>
    <t>NB0MV</t>
  </si>
  <si>
    <t>WOS:000560209300003</t>
  </si>
  <si>
    <t>Millar, CI; Delany, DL; Westfall, RD</t>
  </si>
  <si>
    <t>Millar, Constance I.; Delany, Diane L.; Westfall, Robert D.</t>
  </si>
  <si>
    <t>From treeline to species line: Thermal patterns and growth relationships across the krummholz zone of whitebark pine, Sierra Nevada, California, USA</t>
  </si>
  <si>
    <t>Whitebark pine; Pinus albicaulis; treeline; krummholz; Sierra Nevada; radial growth</t>
  </si>
  <si>
    <t>MOUNTAIN PLANT-COMMUNITIES; FOREST-TUNDRA ECOTONE; GREAT-BASIN; BRISTLECONE-PINE; CLIMATE; ALBICAULIS; RECRUITMENT; DYNAMICS; SHIFTS; LIMITS</t>
  </si>
  <si>
    <t>A multiyear study of forest-to-alpine ecotones across extensive krummholz zones in whitebark pine (WBP;Pinus albicaulis), Sierra Nevada, California, resolved mean treeline growing season temperature (GST) of 9.3 degrees C, 2.6 degrees C warmer than global thresholds previously described, and mean growing season length of 143 days. Temperatures declined with increasing elevation; GST at the upper krummholz line (8.9 degrees C), however, was 2.2 degrees C warmer than the mean global treeline threshold, suggesting that by thermal criteria these environments should support tree growth. Possible explanations for the warm conditions and persistence of krummholz rather than treeline advance include a role for moisture limitations, disequilibrium with Little Ice Age temperatures, and the influence of krummholz as a buffer to treeline dynamics. Radial growth in treeline WBP trees was negatively correlated with maximum annual temperature and positively correlated to water year precipitation. Krummholz stems had low correlations to one another, to treeline trees, and to climate, suggesting nonclimatic controls on growth. These findings underscore the variable nature of treeline response to climate change, suggest that krummholz ecotones behave differently from diffuse treelines, and add to examples of mountain conifers that may be exhibiting lag effects and have not shifted with contemporary warming.</t>
  </si>
  <si>
    <t>[Millar, Constance I.; Delany, Diane L.; Westfall, Robert D.] US Forest Serv, Pacific Southwest Res Stn, USDA, 800 Buchanan St, Albany, CA 94710 USA</t>
  </si>
  <si>
    <t>United States Department of Agriculture (USDA); United States Forest Service</t>
  </si>
  <si>
    <t>Millar, CI (corresponding author), US Forest Serv, Pacific Southwest Res Stn, USDA, 800 Buchanan St, Albany, CA 94710 USA.</t>
  </si>
  <si>
    <t>connie.millar@usda.gov</t>
  </si>
  <si>
    <t>USDA Forest Service</t>
  </si>
  <si>
    <t>USDA Forest Service(United States Department of Agriculture (USDA)United States Forest Service)</t>
  </si>
  <si>
    <t>Operational funds from the USDA Forest Service supported this study.</t>
  </si>
  <si>
    <t>10.1080/15230430.2020.1794098</t>
  </si>
  <si>
    <t>NB2CQ</t>
  </si>
  <si>
    <t>WOS:000560321400001</t>
  </si>
  <si>
    <t>Fongaro, G; Maia, GA; Rogovski, P; Cadamuro, RD; Lopes, JC; Moreira, RS; Camargo, AF; Scapini, T; Stefanski, FS; Bonatto, C; Souza, DSM; Stoco, PH; Duarte, RTD; da Cruz, ACC; Wagner, G; Treichel, H</t>
  </si>
  <si>
    <t>Fongaro, Gislaine; Maia, Guilherme Augusto; Rogovski, Paula; Cadamuro, Rafael Dorighello; Lopes, Joana Camila; Moreira, Renato Simoes; Camargo, Aline Frumi; Scapini, Thamarys; Stefanski, Fabio Spitza; Bonatto, Charline; Marques Souza, Doris Sobral; Stoco, Patricia Hermes; Delgado Duarte, Rubens Tadeu; Cabral da Cruz, Ariadne Cristiane; Wagner, Glauber; Treichel, Helen</t>
  </si>
  <si>
    <t>Extremophile Microbial Communities and Enzymes for Bioenergetic Application Based on Multi-Omics Tools</t>
  </si>
  <si>
    <t>CURRENT GENOMICS</t>
  </si>
  <si>
    <t>Biodiversity; microorganisms; enzymes; molecular methods; multi-omics; extremophiles</t>
  </si>
  <si>
    <t>CHAIN ALCOHOL-DEHYDROGENASE; ANTARCTIC BACTERIUM; PSEUDOALTEROMONAS-HALOPLANKTIS; SULFOLOBUS-SOLFATARICUS; BIOTECHNOLOGICAL APPLICATIONS; THERMOPHILIC ENZYMES; ETHANOL-PRODUCTION; BETA-GLUCOSIDASE; PICHIA-PASTORIS; MOLECULAR-BASIS</t>
  </si>
  <si>
    <t>Genomic and proteomic advances in extremophile microorganism studies are increasingly demonstrating their ability to produce a variety of enzymes capable of converting biomass into bioenergy. Such microorganisms are found in environments with nutritional restrictions, anaerobic environments, high salinity, varying pH conditions and extreme natural environments such as hydrothermal vents, soda lakes, and Antarctic sediments. As extremophile microorganisms and their enzymes are found in widely disparate locations, they generate new possibilities and opportunities to explore biotechnological prospecting, including biofuels (biogas, hydrogen and ethanol) with an aim toward using multi-omics tools that shed light on biotechnological breakthroughs.</t>
  </si>
  <si>
    <t>[Fongaro, Gislaine; Maia, Guilherme Augusto; Rogovski, Paula; Cadamuro, Rafael Dorighello; Lopes, Joana Camila; Moreira, Renato Simoes; Marques Souza, Doris Sobral; Stoco, Patricia Hermes; Delgado Duarte, Rubens Tadeu; Wagner, Glauber] Univ Fed Santa Catarina, Dept Microbiol Immunol &amp; Parasitol, Florianopolis, SC, Brazil; [Camargo, Aline Frumi; Scapini, Thamarys; Stefanski, Fabio Spitza; Bonatto, Charline; Treichel, Helen] Fed Univ Fronteira Sul, Lab Microbiol &amp; Bioproc, Erechim, RS, Brazil; [Bonatto, Charline] Univ Fed Santa Catarina, Dept Chem &amp; Food Engn, Florianopolis, SC, Brazil; [Cabral da Cruz, Ariadne Cristiane] Univ Fed Santa Catarina, Dept Dent, Florianopolis, SC, Brazil</t>
  </si>
  <si>
    <t>Universidade Federal de Santa Catarina (UFSC); Universidade Federal da Fronteira Sul; Universidade Federal de Santa Catarina (UFSC); Universidade Federal de Santa Catarina (UFSC)</t>
  </si>
  <si>
    <t>Treichel, H (corresponding author), Fed Univ Fronteira Sul, Lab Microbiol &amp; Bioproc, Erechim, RS, Brazil.</t>
  </si>
  <si>
    <t>helentreichel@gmail.com</t>
  </si>
  <si>
    <t>souza, doris s m/B-8166-2016; Cruz, Ariadne/A-7702-2015; Simões Moreira, Renato/HGV-1223-2022; Cadamuro, Rafael Dorighello/ABX-9948-2022; Duarte, Rubens/AAH-1692-2019; Stoco, Patricia Hermes/G-6535-2015; Fongaro, Gislaine/ABH-8445-2020; Cruz, Ariadne/AAK-8565-2021; Scapini, Thamarys/R-1267-2018; souza, doris/AAD-4287-2022; Frumi Camargo, Aline/R-1272-2018; Wagner, Glauber/B-2369-2013</t>
  </si>
  <si>
    <t>souza, doris s m/0000-0001-7854-7661; Cadamuro, Rafael Dorighello/0000-0002-4096-9022; Cruz, Ariadne/0000-0001-7306-4708; souza, doris/0000-0001-7854-7661; Frumi Camargo, Aline/0000-0003-4760-6221; Stefanski, Fabio/0000-0002-2444-2239; Lopes, Joana Camila/0000-0003-1878-1768; Simoes Moreira, Renato/0000-0002-4246-8045; Scapini, Thamarys/0000-0003-1184-3049; Fongaro, Gislaine/0000-0001-5596-3320; Rogovski, Paula/0000-0003-1541-3636; Duarte, Rubens/0000-0002-9939-3400; Bonatto, Charline/0000-0002-9958-7475; Wagner, Glauber/0000-0001-5003-6595; Maia, Guilherme/0000-0001-6000-1361</t>
  </si>
  <si>
    <t>CAPES/PRINT Project [88881.310783/2018-01]; CNPq; CAPES</t>
  </si>
  <si>
    <t>CAPES/PRINT Project; CNPq(Conselho Nacional de Desenvolvimento Cientifico e Tecnologico (CNPQ)); CAPES(Coordenacao de Aperfeicoamento de Pessoal de Nivel Superior (CAPES))</t>
  </si>
  <si>
    <t>The UFSC group is supported by the CAPES/PRINT Project (project number 88881.310783/2018-01) and scholarships by CNPq and CAPES agencies.</t>
  </si>
  <si>
    <t>BENTHAM SCIENCE PUBL LTD</t>
  </si>
  <si>
    <t>SHARJAH</t>
  </si>
  <si>
    <t>EXECUTIVE STE Y-2, PO BOX 7917, SAIF ZONE, 1200 BR SHARJAH, U ARAB EMIRATES</t>
  </si>
  <si>
    <t>1389-2029</t>
  </si>
  <si>
    <t>1875-5488</t>
  </si>
  <si>
    <t>CURR GENOMICS</t>
  </si>
  <si>
    <t>Curr. Genomics</t>
  </si>
  <si>
    <t>10.2174/1389202921999200601144137</t>
  </si>
  <si>
    <t>Biochemistry &amp; Molecular Biology; Genetics &amp; Heredity</t>
  </si>
  <si>
    <t>MY9RI</t>
  </si>
  <si>
    <t>WOS:000558758800002</t>
  </si>
  <si>
    <t>Munoz, G; Cartes, FD</t>
  </si>
  <si>
    <t>Munoz, G.; Cartes, F. D.</t>
  </si>
  <si>
    <t>Endoparasitic diversity from the Southern Ocean: is it really low in Antarctic fish?</t>
  </si>
  <si>
    <t>JOURNAL OF HELMINTHOLOGY</t>
  </si>
  <si>
    <t>Parasite community; diversity indices; taxonomic distinctness; marine fish</t>
  </si>
  <si>
    <t>METAZOAN PARASITES; BIODIVERSITY; PATTERNS; ACANTHOCEPHALA; ODONTESTHES; COMMUNITIES; SPECIFICITY; SIMILARITY; AUSTRALIS; RICHNESS</t>
  </si>
  <si>
    <t>The biodiversity and composition of endoparasites in fish obtained from the Antarctic and subantarctic zones are compared in this study. Several fish were collected in the summer from Antarctica (King George Island) and the Southern Pacific coast (Strait of Magellan and Almirante Montt Gulf). This database was complemented with published information on fish endoparasite communities from both zones, with specimens of fish sample sizen &gt;= 15. Thus, 31 fish species were analysed in this study, which altogether had 79 parasite species. Diversity indices were calculated for the parasite community of each fish species. Then they were compared between the Antarctic and subantarctic zones. Parasite species composition and host specificity (as the number of fish species used by a parasite species) were also analysed and compared between zones. The diversity indices and the abundance of parasites were significantly higher in the Antarctic than the subantarctic fish. Few parasite species (7.6%) were shared between fish from both zones, showing significant differences in parasite composition. Antarctic parasites were less host-specific than subantarctic parasites, which allowed the coexistence of several parasite species in the fish. The high parasite abundance in Antarctic fish could trigger sympatric speciation in certain parasitic lineages or the exploitation of new resources, resulting in more parasite species than those in subantarctic environments. The high abundance of Antarctic parasites implies different methods and rates of transmission than those of subantarctic parasites. In addition, more alternative fish hosts were used by the Antarctic than subantarctic parasites. This altogether indicates that host-parasite interaction dynamics significantly differ between the Antarctic and subantarctic systems.</t>
  </si>
  <si>
    <t>[Munoz, G.; Cartes, F. D.] Univ Valparaiso, Fac Ciencias Mar &amp; Recursos Nat, Ctr Costa R, Ave Borgono 16344, Vina Del Mar, Chile</t>
  </si>
  <si>
    <t>Universidad de Valparaiso</t>
  </si>
  <si>
    <t>Munoz, G (corresponding author), Univ Valparaiso, Fac Ciencias Mar &amp; Recursos Nat, Ctr Costa R, Ave Borgono 16344, Vina Del Mar, Chile.</t>
  </si>
  <si>
    <t>gabriela.munoz@uv.cl</t>
  </si>
  <si>
    <t>Munoz, Gabriela/0000-0002-9915-7555</t>
  </si>
  <si>
    <t>Instituto Antartico Chileno [INACH RT 32-16]</t>
  </si>
  <si>
    <t>Instituto Antartico Chileno</t>
  </si>
  <si>
    <t>This work was supported by a project from the Instituto Antartico Chileno (G.M., grant number INACH RT 32-16).</t>
  </si>
  <si>
    <t>0022-149X</t>
  </si>
  <si>
    <t>1475-2697</t>
  </si>
  <si>
    <t>J HELMINTHOL</t>
  </si>
  <si>
    <t>J. Helminthol.</t>
  </si>
  <si>
    <t>e180</t>
  </si>
  <si>
    <t>10.1017/S0022149X20000590</t>
  </si>
  <si>
    <t>Parasitology; Zoology</t>
  </si>
  <si>
    <t>MX6MQ</t>
  </si>
  <si>
    <t>WOS:000557835800001</t>
  </si>
  <si>
    <t>Perera, E; Rodriguez-Viera, L; Montero-Alejo, V; Perdomo-Morales, R</t>
  </si>
  <si>
    <t>Perera, Erick; Rodriguez-Viera, Leandro; Montero-Alejo, Vivian; Perdomo-Morales, Rolando</t>
  </si>
  <si>
    <t>Crustacean Proteases and Their Application in Debridement</t>
  </si>
  <si>
    <t>TROPICAL LIFE SCIENCES RESEARCH</t>
  </si>
  <si>
    <t>Crustaceans; Proteases; Thermal Stability; Tropical Species; Trypsin; Debridement</t>
  </si>
  <si>
    <t>TRYPSIN-LIKE-ENZYME; ANTARCTIC KRILL; DIGESTIVE ENZYMES; SERINE-PROTEASE; SPINY LOBSTER; MIDGUT GLAND; BIOCHEMICAL-CHARACTERIZATION; THERMAL-STABILITY; ANIONIC TRYPSIN; WOUND TREATMENT</t>
  </si>
  <si>
    <t>Digestive proteases from marine organisms have been poorly applied to biomedicine. Exceptions are trypsin and other digestive proteases from a few cold-adapted or temperate fish and crustacean species. These enzymes are more efficient than enzymes from microorganism and higher vertebrates that have been used traditionally. However, the biomedical potential of digestive proteases from warm environment species has received less research attention. This review aims to provide an overview of this unrealised biomedical potential, using the debridement application as a paradigm. Debridement is intended to remove nonviable, necrotic and contaminated tissue, as well as fibrin clots, and is a key step in wound treatment. We discuss the physiological role of enzymes in wound healing, the use of exogenous enzymes in debridement, and the limitations of cold-adapted enzymes such as their poor thermal stability. We show that digestive proteases from tropical crustaceans may have advantages over their cold-adapted counterparts for this and similar uses. Differences in thermal stability, auto-proteolytic stability, and susceptibility to proteinase inhibitors are discussed. Furthermore, it is proposed that the feeding behaviour of the source organism may direct the evaluation of enzymes for particular applications, as digestive proteases have evolved to fill a wide variety of feeding habitats, natural substrates, and environmental conditions. We encourage more research on the biomedical application of digestive enzymes from tropical marine crustaceans.</t>
  </si>
  <si>
    <t>[Perera, Erick] CSIC, IATS, Nutrigen &amp; Fish Growth Endocrinol, Valencia, Spain; [Rodriguez-Viera, Leandro] Univ Havana, Ctr Marine Res, Havana, Cuba; [Montero-Alejo, Vivian; Perdomo-Morales, Rolando] Ctr Pharmaceut Res &amp; Dev, Dept Biochem, Havana, Cuba</t>
  </si>
  <si>
    <t>Consejo Superior de Investigaciones Cientificas (CSIC); CSIC - Instituto de Acuicultura de Torre de la Sal (IATS); Universidad de la Habana</t>
  </si>
  <si>
    <t>Perera, E (corresponding author), CSIC, IATS, Nutrigen &amp; Fish Growth Endocrinol, Valencia, Spain.</t>
  </si>
  <si>
    <t>erick.perera@csic.es</t>
  </si>
  <si>
    <t>Montero-Alejo, Vivian/AAY-1316-2020; Rodriguez-Viera, Leandro/AAA-8942-2020; SÁNCHEZ PINCHI, ROXANA RUBÍ/JNS-1705-2023; Perera, Erick/E-9908-2018</t>
  </si>
  <si>
    <t>Montero-Alejo, Vivian/0000-0002-0089-7925; Rodriguez-Viera, Leandro/0000-0002-2392-0075; Perera, Erick/0000-0001-6108-1340; Perdomo-Morales, Rolando/0000-0001-5598-6864</t>
  </si>
  <si>
    <t>International Foundation for Science [A/4306-1]; Agencia Espanola de Cooperacion Internacional/Asociacion Universitaria Iberoamericana de Postgrado (AUIP/AECI) from Spain</t>
  </si>
  <si>
    <t>International Foundation for Science(International Foundation for Science); Agencia Espanola de Cooperacion Internacional/Asociacion Universitaria Iberoamericana de Postgrado (AUIP/AECI) from Spain</t>
  </si>
  <si>
    <t>Most of the work performed on the biochemical characterisation of digestive proteases from tropical crustaceans was supported by the International Foundation for Science (No. A/4306-1 and No. A/4306-2) granted to EP, and other support to EP from the Agencia Espanola de Cooperacion Internacional/Asociacion Universitaria Iberoamericana de Postgrado (AUIP/AECI) from Spain.</t>
  </si>
  <si>
    <t>UNIV SAINS MALAYSIA</t>
  </si>
  <si>
    <t>PULAU PINANG</t>
  </si>
  <si>
    <t>SCH BIOL SCI, PULAU PINANG, 00000, MALAYSIA</t>
  </si>
  <si>
    <t>1985-3718</t>
  </si>
  <si>
    <t>2180-4249</t>
  </si>
  <si>
    <t>TROP LIFE SCI RES</t>
  </si>
  <si>
    <t>Trop. Life Sci. Res.</t>
  </si>
  <si>
    <t>10.21315/tlsr2020.31.2.10</t>
  </si>
  <si>
    <t>MX7LR</t>
  </si>
  <si>
    <t>WOS:000557902900010</t>
  </si>
  <si>
    <t>Li, T; Zhang, BG; Xiao, W; Cheng, X; Li, ZH; Zhao, J</t>
  </si>
  <si>
    <t>Li, Teng; Zhang, Baogang; Xiao, Wen; Cheng, Xiao; Li, Zhenhong; Zhao, Jian</t>
  </si>
  <si>
    <t>UAV-Based Photogrammetry and LiDAR for the Characterization of Ice Morphology Evolution</t>
  </si>
  <si>
    <t>Ice; Laser radar; Unmanned aerial vehicles; Morphology; Antarctica; Feature extraction; Satellites; Antarctica; change detection; digital elevation model (DEM); ice doline; light detection and ranging (LiDAR); structure-from-motion (SfM); unmanned aerial vehicle (UAV)</t>
  </si>
  <si>
    <t>STRUCTURE-FROM-MOTION; UNMANNED AERIAL SURVEY; GROUND CONTROL; DALK GLACIER; LOW-COST; TERRESTRIAL; UNCERTAINTY; TOPOGRAPHY; GLACIOLOGY; DYNAMICS</t>
  </si>
  <si>
    <t>Ice doline is a particular kind of ice morphology, usually scattered on ice streams which are mostly far from the existing research bases. For this reason, glaciologists rarely have opportunities to document its developments in detail. Satellite observations are too coarse to capture such fine features, whereas unmanned aerial vehicle (UAV)-based structure-from-motion (SfM) and light detection and ranging (LiDAR) technologies have revolutionized geosciences research, especially in less accessed polar regions. We developed two bespoke UAV systems for glaciological investigation and carried out four campaigns during two consecutive Chinese Antarctic expeditions in 2017 and 2018. Founded on manual co-registration and accuracy assessment, a successful application to characterize a doline's spatio-temporal evolution is presented in this article. The overlying weight of surface melting directly triggered the collapse event on Jan 30, 2017 near the Dalk Glacier, and thenthe newborn doline grew for another 8135.6 m(2) in area and 280 303.38 m(3) in volume by early 2018. The UAV-based results revealed the doline's changes during a year, showing a maximum horizontal extension of 50 m and vertical subsidence of more than 10 m. Furthermore, we evaluate the photogrammetry and LiDAR systems and find the former is cost-effective and time-efficient on a large-scale survey, while the latter enjoys a better capability to characterize ice morphological details. Based on systematic comparisons, other pros and cons of the two techniques are discussed. To achieve the best performance for relevant applications in similar scenarios, we recommend adopting an integrated approach, in which the LiDAR restores the fine features on the basis of extensive SfM coverage.</t>
  </si>
  <si>
    <t>[Li, Teng; Zhang, Baogang; Zhao, Jian] Beijing Normal Univ, Sate Key Lab Remote Sensing Sci, Coll Global Change &amp; Earth Syst Sci GCESS, Beijing 100875, Peoples R China; [Li, Teng; Zhang, Baogang; Cheng, Xiao; Zhao, Jian] Univ Corp Polar Res UCPR, Beijing 100875, Peoples R China; [Xiao, Wen; Li, Zhenhong] Newcastle Univ, Sch Engn, Newcastle Upon Tyne NE1 7RU, Tyne &amp; Wear, England; [Cheng, Xiao] Sun Yat Sen Univ, Sch Geospatial Engn &amp; Sci, Southern Marine Sci &amp; Engn Guangdong Lab, Zhuhai 519082, Peoples R China; [Li, Zhenhong] Changan Univ, Coll Geol Engn &amp; Geomat, Xian 710054, Peoples R China</t>
  </si>
  <si>
    <t>Beijing Normal University; Newcastle University - UK; Southern Marine Science &amp; Engineering Guangdong Laboratory; Sun Yat Sen University; Chang'an University</t>
  </si>
  <si>
    <t>Cheng, X (corresponding author), Univ Corp Polar Res UCPR, Beijing 100875, Peoples R China.;Cheng, X (corresponding author), Sun Yat Sen Univ, Sch Geospatial Engn &amp; Sci, Southern Marine Sci &amp; Engn Guangdong Lab, Zhuhai 519082, Peoples R China.</t>
  </si>
  <si>
    <t>congratulation1992@163.com; zhang_bob@bnu.edu.cn; wen.xiao@newcastle.ac.uk; chengxiao9@mail.sysu.edu.cn; zhenhong.li@newcastle.ac.uk; zhaojian@bnu.edu.cn</t>
  </si>
  <si>
    <t>Li, Zhenhong/F-8705-2010; Li, Teng/E-9284-2018; Xiao, Wen/IVH-8940-2023</t>
  </si>
  <si>
    <t>Li, Zhenhong/0000-0002-8054-7449; Xiao, Wen/0000-0003-4922-8228; Zhang, Baogang/0000-0002-0686-9220; Li, Teng/0000-0002-5620-3662</t>
  </si>
  <si>
    <t>National Natural Science Foundation of China [41830536, 41925027, 41676182]; Chinese Polar Environment Comprehensive Investigation and Assessment Program; UK NERC SHEAR Project: WeACT [NE/S005919/1]; CSC UK-China Joint Research and Innovation Partnership Fund Ph.D. Placement Program; NERC [NE/S005919/1] Funding Source: UKRI</t>
  </si>
  <si>
    <t>National Natural Science Foundation of China(National Natural Science Foundation of China (NSFC)); Chinese Polar Environment Comprehensive Investigation and Assessment Program; UK NERC SHEAR Project: WeACT; CSC UK-China Joint Research and Innovation Partnership Fund Ph.D. Placement Program; NERC(UK Research &amp; Innovation (UKRI)Natural Environment Research Council (NERC))</t>
  </si>
  <si>
    <t>This work was supported in part by the National Natural Science Foundation of China under Grant 41830536, Grant 41925027, and Grant 41676182, in part by the Chinese Polar Environment Comprehensive Investigation and Assessment Program, and in part by the UK NERC SHEAR Project: WeACT (NE/S005919/1). The work of T. Li was supported by the CSC UK-China Joint Research and Innovation Partnership Fund Ph.D. Placement Program.UK NERC SHEAR Project: WeACT</t>
  </si>
  <si>
    <t>10.1109/JSTARS.2020.3010069</t>
  </si>
  <si>
    <t>MW9LC</t>
  </si>
  <si>
    <t>WOS:000557351700002</t>
  </si>
  <si>
    <t>Sierra, NL</t>
  </si>
  <si>
    <t>Llanos Sierra, Nelson</t>
  </si>
  <si>
    <t>OUR CLAIM CANNOT BE SAID TO BE VERY STRONG. BRITISH EXPANSION IN THE ANTARCTIC REGION, 1904-1917</t>
  </si>
  <si>
    <t>REVISTA ESTUDIOS HEMISFERICOS Y POLARES</t>
  </si>
  <si>
    <t>United Kingdom; Antarctica; Whaling; Letters patent</t>
  </si>
  <si>
    <t>This article analyzes how the United Kingdom managed to establish a territorial claim in Antarctica and the Southern Seas, without having a solid historical and legal background to do it. Some of the factors to be considered are; the fragile international law of the time; implementation of imperialist policies previously applied in other regions of the globe; control of the whaling business; and disinterest of other actors involved in Antarctica. It is suggested that criticism from academic and legal spheres would have lead to the rectification of the British claim in 1917. The main research sources are specialized bibliography and press materials of the time.</t>
  </si>
  <si>
    <t>[Llanos Sierra, Nelson] Univ Playa Ancha, Valparaiso, Chile</t>
  </si>
  <si>
    <t>Universidad de Playa Ancha</t>
  </si>
  <si>
    <t>Sierra, NL (corresponding author), Univ Playa Ancha, Fac Humanidades, Av Playa Ancha 850, Valparaiso, Chile.</t>
  </si>
  <si>
    <t>nelson.llanos@upla.cl</t>
  </si>
  <si>
    <t>CENTRO ESTUDIOS HEMISFERICOS &amp; POLARES</t>
  </si>
  <si>
    <t>VINA DEL MAR</t>
  </si>
  <si>
    <t>CALLE ROMA, 116, CALETA ABARCA, VINA DEL MAR, 2580060, CHILE</t>
  </si>
  <si>
    <t>0718-9230</t>
  </si>
  <si>
    <t>REV ESTUD HEMISFERIC</t>
  </si>
  <si>
    <t>Rev. Estud. Hemisfericos Polares</t>
  </si>
  <si>
    <t>JAN-JUN</t>
  </si>
  <si>
    <t>Area Studies</t>
  </si>
  <si>
    <t>MX1RX</t>
  </si>
  <si>
    <t>WOS:000557505500001</t>
  </si>
  <si>
    <t>Fernández, MJ</t>
  </si>
  <si>
    <t>Jara Fernandez, Mauricio</t>
  </si>
  <si>
    <t>REFLECTION ON ANTARCTIC IN THE MANUALS AND INSTRUCTIONAL TEXTS OF HISTORY AND GEOGRAPHY OF CHILE, 1922-1992</t>
  </si>
  <si>
    <t>Chilean Antarctic teaching; Chilean Antarctic history and geography; Manuals and instructional texts on Chilean history and geography</t>
  </si>
  <si>
    <t>It is analyzed how Antarctica was presented in Chilean manuals and instructional texts on the history and geography of Chile with the purpose of establishing eventual qualitative differences between these two types of pedagogical works regarding this subject of national interest.</t>
  </si>
  <si>
    <t>[Jara Fernandez, Mauricio] Univ Playa Ancha, Valparaiso, Chile</t>
  </si>
  <si>
    <t>Fernández, MJ (corresponding author), Univ Playa Ancha, Fac Humanidades, Av Playa Ancha 850, Valparaiso, Chile.</t>
  </si>
  <si>
    <t>mjara@upla.cl</t>
  </si>
  <si>
    <t>WOS:000557505500002</t>
  </si>
  <si>
    <t>Yang, WX; Dou, YK; Lang, SN; Guo, JX; Zuo, GY; Chen, Y; Wang, YC</t>
  </si>
  <si>
    <t>Yang, Wangxiao; Dou, Yinke; Lang, Shinan; Guo, Jingxue; Zuo, Guangyu; Chen, Yan; Wang, Yuchen</t>
  </si>
  <si>
    <t>Distribution of Shallow Isochronous Layers in East Antarctica Inferred from Frequency-Modulated Continuous-Wave (FMCW) Radar</t>
  </si>
  <si>
    <t>ANNALS OF GEOPHYSICS</t>
  </si>
  <si>
    <t>Frequency Modulated Continuous Wave (FMCW) radar; Shallow isochronous layer; Horizon data extraction; Distribution characteristics; Horizon fluctuation</t>
  </si>
  <si>
    <t>SURFACE MASS-BALANCE; ICE CORE; TEMPORAL VARIABILITY; ZHONGSHAN STATION; SNOW ACCUMULATION; DOME; THICKNESS; SOUNDER; DIVIDE; ORIGIN</t>
  </si>
  <si>
    <t>During the 32nd Chinese National Antarctic Research Expedition, the Frequency-Modulated Continuous-Wave (FMCW) radar was used for the first time to obtain the distribution of shallow isochronous layers within the East Antarctic region extending from Zhongshan Station to Kunlun Station. Taking a typical area as a case study, this article describes the complete workflow used in radar data processing, including signal processing and extraction of isochronous layers. The wave velocity model is established according to an empirical formula to calculate the depth of the layer, and the result is compared and corrected with the volcanic record in ice core DT263; the relative error of depth is only approximately 5%. The echograms of the isochronous layers in three regions are presented, including the area around the Dome A, the area 100 km from the Dome A and the area in the Lambert Glacier. A comparison of the echograms within the three regions shows that the isochronous layers are relatively stable in the Dome A and change more intensely in the Lambert Glacier, while the folding of the layer occurs in a concentrated area near Dome A. This folding may be due to the local layer mixing and compression caused by the ice flow and wind-driven processes. The analysis of the distribution of the shallow isochronous layers and age-depth information from different regions provides important data that support the calculation of large-scale accumulation rates and flow history in the Antarctic.</t>
  </si>
  <si>
    <t>[Yang, Wangxiao; Dou, Yinke; Zuo, Guangyu; Chen, Yan; Wang, Yuchen] Taiyuan Univ Technol, Coll Elect &amp; Power Engn, Taiyuan 030024, Peoples R China; [Lang, Shinan] Beijing Univ Technol, Sch Informat &amp; Commun Engn, Beijing 100124, Peoples R China; [Guo, Jingxue] Polar Res Inst China, Shanghai 200136, Peoples R China</t>
  </si>
  <si>
    <t>Taiyuan University of Technology; Beijing University of Technology; Polar Research Institute of China</t>
  </si>
  <si>
    <t>Dou, YK (corresponding author), Taiyuan Univ Technol, Elect &amp; Power Engn, Taiyuan, Peoples R China.</t>
  </si>
  <si>
    <t>douyk8888cn@126.com</t>
  </si>
  <si>
    <t>National Natural Science Foundation of China [41776199]</t>
  </si>
  <si>
    <t>This work was supported by the National Natural Science Foundation of China (41776199) and was carried out during the 32nd China Antarctic Scientific Expedition. Thanks to Yuzhong ZHANG and Xueyuan TANG for providing us with the radar principle and data processing help. Taiyuan University of Technology and the Polar Research Institute of China provided logistical support.</t>
  </si>
  <si>
    <t>IST NAZIONALE DI GEOFISICA E VULCANOLOGIA</t>
  </si>
  <si>
    <t>ROME</t>
  </si>
  <si>
    <t>VIA VIGNA MURATA 605, ROME, 00143, ITALY</t>
  </si>
  <si>
    <t>1593-5213</t>
  </si>
  <si>
    <t>2037-416X</t>
  </si>
  <si>
    <t>ANN GEOPHYS-ITALY</t>
  </si>
  <si>
    <t>RS413</t>
  </si>
  <si>
    <t>10.4401/ag-7794</t>
  </si>
  <si>
    <t>MV8BP</t>
  </si>
  <si>
    <t>WOS:000556576500001</t>
  </si>
  <si>
    <t>Mytrokhyn, OV; Bakhmulov, VG; Marushchenko, OL; Andreyev, OV; Khlon, OA</t>
  </si>
  <si>
    <t>Mytrokhyn, O., V; Bakhmulov, V. G.; Marushchenko, O. L.; Andreyev, O., V; Khlon, O. A.</t>
  </si>
  <si>
    <t>PETROLOGY, MINERALOGY AND ORE POTENTIAL OF THE BARCHANS-FORGE GRANITOIDS (ARGENTINE ISLANDS, WEST ANTARCTICA)</t>
  </si>
  <si>
    <t>petrology; mineralogy; granitoids; West Antarctica</t>
  </si>
  <si>
    <t>Paleogen granitoids of Barchans and Forge Islands are the last phase of granitoid magmatism in the Ukrainian Antarctic Station region. The new data concerning the geology and petrographic diversity of the Barchans-Forge granitoids massif (BFGM) were obtained by seasonal investigations in 22nd and 24th Ukrainian Antarctic Expeditions. Optical and electron microscopical investigations, electron microprobe and XRF analyses were carried out. The objectives were the investigation of the geological position of the Barchans-Forge granitoids, the clarification of their petrographical and mineralogical features, and the evaluation of their ore potential. The data testify that only the lateral, marginal part of the large granitoid massif crops out on the Barchans and Forge Islands. Their major part probably locates below sea level north and west from Argentine Islands. The authors argue that the BFGM was formed in the Paleocene as the abyssal level intrusion. Previously published results of K-Ar, Rb-Sr and Ar-Ar isotope dating give an age range 55-60 Ma. The enclosing strata for BFGM are metamorphized volcanic rocks in contact with granitoids on the north-east flank of the massif. Other country rocks are possibly diorites and gabbroids that occur as the xenoliths in the granitoids. The major part of the BFGM consists of granodiorites, as estimated from the petrographical characterization. They are petrographically similar to granodiorites exposed on the Petennan Island located approximately 8 km to the north-east. The Neogene age of exhumation for BFGM was assumed by analogy to the Peterman Island granodiorites, for which previous researchers estimated the exhumation age near 11 Ma. Based on mineralogical and petrographical features, the Barchans-Forge granodiorites are labeled as I-type granitoids. The basic and intermediate igneous rocks are supposedly their magmatic sources. For evaluation of the ore potential of the BFGM the authors recommend to pay attention to their primary magmatic allanite-thorite mineralization as well as to the hydrothermal molybdenite-chalcopyrite mineralization.</t>
  </si>
  <si>
    <t>[Mytrokhyn, O., V; Marushchenko, O. L.; Andreyev, O., V; Khlon, O. A.] Kyiv Taras Shevchenko Natl Univ, Educ Sci Inst, Inst Geol, 90 Vasylkivska Str, UA-03022 Kiev, Ukraine; [Bakhmulov, V. G.] NAS Ukraine, SI Subbotin Inst Geophys, 32 Acad Palladin Ave, UA-03142 Kiev, Ukraine</t>
  </si>
  <si>
    <t>Ministry of Education &amp; Science of Ukraine; Taras Shevchenko National University of Kyiv; National Academy of Sciences Ukraine; Institute of Geological Sciences, National Academy of Sciences of Ukraine; Banking University; National Academy of Sciences Ukraine; Subbotin Institute of Geophysics, National Academy of Sciences of Ukraine</t>
  </si>
  <si>
    <t>mitrokhin.a.v@ukr.net; bakhmutovvg@gmail.com; lesymarush@gmail.com; andreev@univ.kiev.ua; khlon@univ.kiev.ua</t>
  </si>
  <si>
    <t>Mytrokhyn, Oleksandr/I-2020-2018; Volodymyr, Bakhmutov/A-8508-2019; Khlon, Olena/B-7260-2019</t>
  </si>
  <si>
    <t>Mytrokhyn, Oleksandr/0000-0001-6269-0092; Marushchenko, Oleksandra/0000-0002-7423-3849; Bakhmutov, Vladimir/0000-0003-3804-9953; Khlon, Olena/0000-0001-6750-0489</t>
  </si>
  <si>
    <t>10.15407/mineraljournal.42.02.032</t>
  </si>
  <si>
    <t>MU1JH</t>
  </si>
  <si>
    <t>WOS:000555426000004</t>
  </si>
  <si>
    <t>Glaude, Q; Amory, C; Berger, S; Derauw, D; Pattyn, F; Barbier, C; Orban, A</t>
  </si>
  <si>
    <t>Glaude, Quentin; Amory, Charles; Berger, Sophie; Derauw, Dominique; Pattyn, Frank; Barbier, Christian; Orban, Anne</t>
  </si>
  <si>
    <t>Empirical Removal of Tides and Inverse Barometer Effect on DInSAR From Double DInSAR and a Regional Climate Model</t>
  </si>
  <si>
    <t>Antarctica; differential synthetic aperture radar (SAR) interferometry (DInSAR); double DInSAR (DDInSAR); ice shelf; inverse barometer effect (IBE); tides</t>
  </si>
  <si>
    <t>CAMPBELL GLACIER TONGUE; ANTARCTIC ICE SHELVES; MASS-BALANCE; REPRESENTATION; EVOLUTION; VELOCITY; FLEXURE; FLOW</t>
  </si>
  <si>
    <t>Ice shelves-the floating extensions of the Antarctic ice sheet-regulate the Antarctic contribution to sea-level rise by restraining the grounded ice flowing from upstream. Therefore, ice-shelf change (e.g., ice-shelf thinning) results in accelerated ice discharge into the ocean, which has a direct effect on sea level. Studying ice-shelf velocity allows the monitoring of the ice shelves' stability and evolution. Differential synthetic aperture radar interferometry (DInSAR) is a common technique from which highly accurate velocity maps can be inferred at high resolution. Because ice shelves are afloat, small sea-level changes-i.e., ocean tides and varying atmospheric pressure (aka inverse barometer effect) lead to vertical displacements. If not accounted for in the interferometric process, these effects will induce a strong bias in the horizontal velocity estimation. In this article, we present an empirical DInSAR correction technique from geophysical models and double DInSAR, with a study on its variance propagation. The method is developed to be used at large coverage on short timescales, essential for the near-continuous monitoring of rapidly changing areas on polar ice sheets. We used Sentinel-1SAR acquisitions in interferometric wide and extra-wide swath modes. The vertical interferometric bias is estimated using a regional climate model (MAR) and a tide model (CATS2008). The study area is located on the Roi Baudouin Ice Shelf in Dronning Maud Land, East Antarctica. Results show a major decrease (67 m.a(-1)) in the vertical-induced displacement bias.</t>
  </si>
  <si>
    <t>[Glaude, Quentin] Univ Libre Bruxelles, Lab Glaciol, B-1050 Brussels, Belgium; [Glaude, Quentin; Derauw, Dominique; Barbier, Christian; Orban, Anne] Univ Liege, Ctr Spatial Liege, B-4031 Angleur, Belgium; [Amory, Charles] Univ Liege, Lab Climatol, B-4031 Liege, Belgium; [Berger, Sophie] Helmholtz Zentrum Polar &amp; Meeresforsch, Alfred Wegener Inst, D-27570 Bremerhaven, Germany; [Derauw, Dominique] Univ Nacl Rio Negro, Inst Invest Paleobiol &amp; Geol, RA-27570 General Roca, Argentina; [Pattyn, Frank] Univ Libre Bruxelles, Lab Glaciol, B-8332 Brussels, Belgium</t>
  </si>
  <si>
    <t>Universite Libre de Bruxelles; University of Liege; University of Liege; Helmholtz Association; Alfred Wegener Institute, Helmholtz Centre for Polar &amp; Marine Research; Universite Libre de Bruxelles</t>
  </si>
  <si>
    <t>Glaude, Q (corresponding author), Univ Libre Bruxelles, Lab Glaciol, B-1050 Brussels, Belgium.</t>
  </si>
  <si>
    <t>qglaude@ulb.ac.be; charles.amory@uliege.be; sophie.berger@awi.de; dderauw@uliege.be; fpattyn@ulb.ac.be; cbarbier@ulg.ac.be; aorban@ulg.ac.be</t>
  </si>
  <si>
    <t>Pattyn, Frank/AAA-9640-2019</t>
  </si>
  <si>
    <t>Pattyn, Frank/0000-0003-4805-5636; Glaude, Quentin/0000-0002-1719-3270; Amory, Charles/0000-0002-5906-4303; Derauw, Dominique/0000-0002-8354-100X; Berger, Sophie/0000-0003-4095-9323</t>
  </si>
  <si>
    <t>French Community of Belgium; Belgian Science Policy [SR/00/336]</t>
  </si>
  <si>
    <t>French Community of Belgium; Belgian Science Policy(Belgian Federal Science Policy Office)</t>
  </si>
  <si>
    <t>This work was supported by the French Community of Belgium in the funding context of an FRIA grant and carried out in the framework of the MIMO (Monitoring melt where Ice Meets Ocean) Project funded by the Belgian Science Policy contract SR/00/336.</t>
  </si>
  <si>
    <t>10.1109/JSTARS.2020.3008497</t>
  </si>
  <si>
    <t>MT3SZ</t>
  </si>
  <si>
    <t>WOS:000554889400004</t>
  </si>
  <si>
    <t>Chinn, WGH; Chinn, TJH</t>
  </si>
  <si>
    <t>Chinn, W. G. H.; Chinn, T. J. H.</t>
  </si>
  <si>
    <t>Tracking the snow line: Responses to climate change by New Zealand alpine invertebrates</t>
  </si>
  <si>
    <t>Alpine ecosystems; climate change; snow line elevation; invertebrate communities; weta; New Zealand glaciers</t>
  </si>
  <si>
    <t>SEA-SURFACE TEMPERATURE; ICE VOLUME CHANGES; BREWSTER GLACIER; ATMOSPHERIC CIRCULATION; SOUTHERN ALPS; INTERANNUAL VARIABILITY; MASS-BALANCE; GIANT WETA; RECORD; TREE</t>
  </si>
  <si>
    <t>We review and test an ecological paradigm that asserts that alpine invertebrate communities may shift upslope with climate warming. Our model couples the end of summer snow line (EOSS) elevation with invertebrate populations in New Zealand's Southern Alps, using a forty-year data set, from fifty index glaciers. We show the snow line has risen an average 3.7 m a(-1). This is equivalent to raising alpine isotherms by almost 150 m and presents alpine biotic populations with four possible scenarios: upslope tracking, stasis, horizontal dispersal, or local adaptation. We characterize the alpine invertebrate biota (AIB) and present two case studies that show that high-elevation taxa have tracked the snow line within a narrow range (&lt;20 m), whereas lower elevation taxa have potentially shifted by tens of meters. Relationships between the EOSS and Southern Oscillation Index (SOI) are investigated because precipitation and temperature influence snow line elevation by 25 percent. We also highlight the utility of invertebrates for monitoring climate change impacts on alpine ecosystems with a proposal for alpine climate monitoring units (CMUs), complementing an existing network of ecological management units (EMUs). We include an annotated list of New Zealand alpine invertebrates as potential indicators of climate change.</t>
  </si>
  <si>
    <t>[Chinn, W. G. H.; Chinn, T. J. H.] Christchurch Mail Ctr, Dept Conservat Ecosyst &amp; Species, Christchurch, New Zealand; [Chinn, T. J. H.] Alpine &amp; Polar Proc Consultancy, Lake Hawea, Otago, New Zealand</t>
  </si>
  <si>
    <t>Chinn, WGH (corresponding author), Dept Conservat Ecosyst &amp; Species, Private Bag 4715, Christchurch, New Zealand.</t>
  </si>
  <si>
    <t>wchinn@doc.govt.nz</t>
  </si>
  <si>
    <t>National Institute of Water and Atmosphere (NIWA)</t>
  </si>
  <si>
    <t>The authors acknowledge the National Institute of Water and Atmosphere (NIWA) for materials, data, and funding for the End of Summer Snowline program.</t>
  </si>
  <si>
    <t>10.1080/15230430.2020.1773033</t>
  </si>
  <si>
    <t>MR7UV</t>
  </si>
  <si>
    <t>WOS:000553797000001</t>
  </si>
  <si>
    <t>Atkinson, DM; Hung, JKY; Gregory, FM; Scott, NA; Treitz, PM</t>
  </si>
  <si>
    <t>Atkinson, David M.; Hung, Jacqueline K. Y.; Gregory, Fiona M.; Scott, Neal A.; Treitz, Paul M.</t>
  </si>
  <si>
    <t>High spatial resolution remote sensing models for landscape-scale CO2 exchange in the Canadian Arctic</t>
  </si>
  <si>
    <t>Carbon dioxide exchange; net ecosystem exchange (NEE); normalized difference vegetation index (NDVI); Arctic</t>
  </si>
  <si>
    <t>LEAF-AREA INDEX; CARBON-DIOXIDE EXCHANGE; FUNCTIONAL CONVERGENCE; VEGETATION COMMUNITY; TUNDRA ECOSYSTEMS; NITROGEN-FIXATION; FLUX; ALASKA; WINTER; COVER</t>
  </si>
  <si>
    <t>Climate warming is affecting terrestrial ecosystems in the Canadian Arctic, potentially altering the carbon balance of the landscape and contributing additional CO(2)to the atmosphere. High spatial resolution remote sensing data can enhance models of net ecosystem exchange (NEE) and its component fluxes, gross ecosystem exchange (GEE), and ecosystem respiration (ER) by quantifying vegetation structure and function over time. In this study, we explored the variability of daytime CO(2)exchange rates for three vegetation types along a natural moisture gradient at ecologically distinct mid- and high Arctic sites. We demonstrated that for the two sites studied, there was no statistically significant variation in CO(2)exchange rates for the vegetation types through the peak growing season. Hence, the capacity to model these rates with a limited number of satellite data acquisitions is feasible. Simple bivariate models relating the Normalized Difference Vegetation Index (NDVI) to CO(2)exchange processes (GEE, ER, and NEE) were developed independent of vegetation type and geographic location and validated using independent data. The spectral models explain between 33 and 94 percent of the variation in CO(2)exchange rates at each site, indicating a high level of functional convergence in ecosystem-level structure and function within Arctic landscapes.</t>
  </si>
  <si>
    <t>[Atkinson, David M.] Ryerson Univ, Dept Geog &amp; Environm Studies, Toronto, ON, Canada; [Hung, Jacqueline K. Y.; Gregory, Fiona M.; Scott, Neal A.; Treitz, Paul M.] Queens Univ, Dept Geog &amp; Planning, Kingston, ON K7L 3N6, Canada</t>
  </si>
  <si>
    <t>Toronto Metropolitan University; Queens University - Canada</t>
  </si>
  <si>
    <t>Treitz, PM (corresponding author), Queens Univ, Dept Geog &amp; Planning, Kingston, ON K7L 3N6, Canada.</t>
  </si>
  <si>
    <t>paul.treitz@queensu.ca</t>
  </si>
  <si>
    <t>Treitz, Paul/AFM-0165-2022</t>
  </si>
  <si>
    <t>Treitz, Paul/0000-0003-2109-9671; Scott, Neal/0000-0002-2965-4185; Hung, Jacqueline/0000-0001-5245-0896; Gregory, Fiona/0000-0002-8782-6854</t>
  </si>
  <si>
    <t>Polar Continental Shelf Program; Northern Scientific Training Program; Natural Sciences and Engineering Research Council of Canada (NSERC) [388581]</t>
  </si>
  <si>
    <t>Polar Continental Shelf Program; Northern Scientific Training Program; Natural Sciences and Engineering Research Council of Canada (NSERC)(Natural Sciences and Engineering Research Council of Canada (NSERC))</t>
  </si>
  <si>
    <t>This work was supported by the Polar Continental Shelf Program with travel assistance received from the Department of Indian Affairs and Northern Development and the Northern Scientific Training Program. Funding was provided by the Natural Sciences and Engineering Research Council of Canada (NSERC) in the form of Postgraduate Doctoral Scholarship to David Atkinson and a Discovery Grant (No. 388581) to Dr. Paul Treitz.</t>
  </si>
  <si>
    <t>10.1080/15230430.2020.1750805</t>
  </si>
  <si>
    <t>MO6OI</t>
  </si>
  <si>
    <t>WOS:000551642300001</t>
  </si>
  <si>
    <t>Leigh, JR; Stokes, CR; Evans, DJA; Carr, RJ; Andreassen, LM</t>
  </si>
  <si>
    <t>Leigh, J. R.; Stokes, C. R.; Evans, D. J. A.; Carr, R. J.; Andreassen, L. M.</t>
  </si>
  <si>
    <t>Timing of Little Ice Age maxima and subsequent glacier retreat in northern Troms and western Finnmark, northern Norway</t>
  </si>
  <si>
    <t>Glacier change; remote sensing; lichenometry; 'Little Ice Age'; northern Norway</t>
  </si>
  <si>
    <t>CENTRAL BROOKS RANGE; SOUTHERN NORWAY; LICHEN GROWTH; MASS-BALANCE; HOLOCENE GLACIER; MOUNTAIN GLACIERS; MORAINE SEQUENCES; ROCKY-MOUNTAINS; FLUCTUATIONS; CLIMATE</t>
  </si>
  <si>
    <t>Glaciers are important indicators of climate change, and recent observations worldwide document increasing rates of mountain glacier recession. Here we present approximately 200 years of change in mountain glacier extent in northern Troms and western Finnmark, northern Norway. This was achieved through (1) mapping and lichenometric dating of major moraine systems within a subset of the main study area (the Rotsund Valley) and (2) mapping recent (post-1980s) changes in ice extent from remotely sensed data. Lichenometric dating reveals that the Little Ice Age (LIA) maximum occurred approximately 1814 (+/- 41 years), which is before the early twentieth-century LIA maximum proposed on the nearby Lyngen Peninsula but younger than LIA maximum limits in southern and central Norway (mid-eighteenth century). Between LIA maximum and 1989, a small sample of measured glaciers (n= 15) shrank a total of 3.9 km(2)(39 percent), and those that shrank by more than 50 percent are fronted by proglacial lakes. Between 1989 and 2018, the total area of glaciers within the study area (n= 219 in 1989) shrank by approximately 35 km(2). Very small glaciers (&lt;0.5 km(2)) show the highest relative rates of shrinkage, and 90 percent of mapped glaciers within the study area were less than 0.5 km(2)in 2018.</t>
  </si>
  <si>
    <t>[Leigh, J. R.; Stokes, C. R.; Evans, D. J. A.] Univ Durham, Dept Geog, Sci Site, Durham DH1 3LE, England; [Carr, R. J.] Newcastle Univ, Sch Geog Polit &amp; Sociol, Newcastle Upon Tyne, Tyne &amp; Wear, England; [Andreassen, L. M.] Norwegian Water Resources &amp; Energy Directorate NV, Sect Glaciers Ice &amp; Snow, Oslo, Norway</t>
  </si>
  <si>
    <t>Durham University; Newcastle University - UK; Norwegian Water Resources &amp; Energy Directorate</t>
  </si>
  <si>
    <t>Leigh, JR (corresponding author), Univ Durham, Dept Geog, Sci Site, Durham DH1 3LE, England.</t>
  </si>
  <si>
    <t>joshua.r.leigh@durham.ac.uk</t>
  </si>
  <si>
    <t>Stokes, Chris R/A-1957-2011; Leigh, Joshua/B-9993-2018</t>
  </si>
  <si>
    <t>Leigh, Joshua/0000-0002-2719-9748</t>
  </si>
  <si>
    <t>IAPETUS DTP; Natural Environment Research Council UK studentship [NE/L002590/1]; project Copernicus bretjeneste (Copernicus Glacier Service Norway) [NIT.06.15.5]; Alpkit Foundation</t>
  </si>
  <si>
    <t>IAPETUS DTP; Natural Environment Research Council UK studentship(UK Research &amp; Innovation (UKRI)Natural Environment Research Council (NERC)); project Copernicus bretjeneste (Copernicus Glacier Service Norway); Alpkit Foundation</t>
  </si>
  <si>
    <t>We acknowledge the IAPETUS DTP and the Alpkit Foundation, whose grants provided JRL funding for fieldwork in northern Troms. JRL is supported by a Natural Environment Research Council UK studentship (NE/L002590/1). This work will also act as a contribution to the project Copernicus bretjeneste (Copernicus Glacier Service Norway, Contract NIT.06.15.5).</t>
  </si>
  <si>
    <t>10.1080/15230430.2020.1765520</t>
  </si>
  <si>
    <t>MO6OB</t>
  </si>
  <si>
    <t>WOS:000551641600001</t>
  </si>
  <si>
    <t>Aartsma, P; Asplund, J; Odland, A; Reinhardt, S; Renssen, H</t>
  </si>
  <si>
    <t>Aartsma, Peter; Asplund, Johan; Odland, Arvid; Reinhardt, Stefanie; Renssen, Hans</t>
  </si>
  <si>
    <t>Surface albedo of alpine lichen heaths and shrub vegetation</t>
  </si>
  <si>
    <t>Lichen; shrub; Betula nana; albedo; alpine tundra</t>
  </si>
  <si>
    <t>CLIMATE-CHANGE; MOUNTAIN SUMMITS; TUNDRA; COVER; RESPONSES; GROWTH; TEMPERATURE; FEEDBACKS; INCREASES; ABUNDANCE</t>
  </si>
  <si>
    <t>Lichen heaths are declining in abundance while shrubs are increasing their range in alpine and arctic areas due to climate change. This can have a large impact on the surface albedo of these areas. The aim of this article is to quantify the difference in albedo between lichen heaths and shrub-dominated vegetation and the variability within lichen heaths. Several environmental conditions that can influence the albedo measurements are considered. We measured the albedo of twenty lichen- and shrub-dominated plots on an alpine mountain area in southern Norway in the summer of 2018 with two radiometers using a paired plot design. With this design, we ensured similar weather conditions, aspects, and zenith angles between the paired lichen- and shrub-dominated plots. In addition, we collected patches ofCladonia stellarisandFlavocetraria nivalisto measure their albedo. The average difference in albedo between the lichen- and shrub-dominated plots is 0.124. The albedo of the lichen-dominated plots varies between 0.227 and 0.284, and that of the shrub-dominated plots varies between 0.115 and 0.148. This variation in albedo is explained by differences in aspect and vegetation composition. Further studies should focus on the consequences of this decrease in albedo for the microclimate in alpine and arctic areas.</t>
  </si>
  <si>
    <t>[Aartsma, Peter; Odland, Arvid; Reinhardt, Stefanie; Renssen, Hans] Univ South Eastern Norway, Dept Nat Sci &amp; Environm Hlth, N-3800 Bo, Norway; [Asplund, Johan] Norwegian Univ Life Sci, Fac Environm Sci &amp; Nat Resource Management, As, Norway</t>
  </si>
  <si>
    <t>Norwegian University of Life Sciences</t>
  </si>
  <si>
    <t>Aartsma, P (corresponding author), Univ South Eastern Norway, Dept Nat Sci &amp; Environm Hlth, N-3800 Bo, Norway.</t>
  </si>
  <si>
    <t>peter.aartsma@usn.no</t>
  </si>
  <si>
    <t>Reinhardt, Stefanie/0000-0002-9285-3443; Aartsma, Peter/0000-0001-5086-856X; Asplund, Johan/0000-0001-5610-4480</t>
  </si>
  <si>
    <t>University of South-Eastern Norway; Research Council of Norway [249902/F20]</t>
  </si>
  <si>
    <t>University of South-Eastern Norway; Research Council of Norway(Research Council of Norway)</t>
  </si>
  <si>
    <t>This study was funded by the University of South-Eastern Norway. This study was also supported by a grant from the Research Council of Norway (249902/F20) to JA.</t>
  </si>
  <si>
    <t>10.1080/15230430.2020.1778890</t>
  </si>
  <si>
    <t>MO6NX</t>
  </si>
  <si>
    <t>WOS:000551641200001</t>
  </si>
  <si>
    <t>Noffsinger, C; Cripps, CL; Horak, E</t>
  </si>
  <si>
    <t>Noffsinger, Chance; Cripps, Cathy L.; Horak, Egon</t>
  </si>
  <si>
    <t>A 200-year history of arctic and alpine fungi in North America: Early sailing expeditions to the molecular era</t>
  </si>
  <si>
    <t>Biodiversity; Basidiomycota; cold climate; past and present; species checklist</t>
  </si>
  <si>
    <t>YUKON-TERRITORY; DIVERSITY; TUNDRA; COMMUNITIES; ALASKA; SOIL; SYSTEMATICS; AGARICALES; MOUNTAINS; LACTARIUS</t>
  </si>
  <si>
    <t>Mushrooms and other fleshy fungi are important components of arctic and alpine habitats where they enhance nutrient uptake in plants and replenish poor soils through decomposition. Here we assemble the 200-year (1819-2019) record of their discovery in North America, beginning with early Arctic sailing expeditions, followed by intense taxonomic studies, and concluding with the molecular era, all of which highlight the difficulty of exhaustively revealing their biodiversity in these extreme, cold-dominated habitats. Compiled biogeographic data reveal that a majority of arctic fungi have large intercontinental distributions with disjunct alpine populations. A newly compiled checklist of 170 species of Basidiomycota in fifty-one genera and twenty families in the Rocky Mountain alpine zone provides current baseline data prior to expected environmental shifts.</t>
  </si>
  <si>
    <t>[Noffsinger, Chance; Cripps, Cathy L.] Montana State Univ, Dept Plant Sci &amp; Plant Pathol, Bozeman, MT 59717 USA</t>
  </si>
  <si>
    <t>Montana State University System; Montana State University Bozeman</t>
  </si>
  <si>
    <t>Cripps, CL (corresponding author), Montana State Univ, Dept Plant Sci &amp; Plant Pathol, Bozeman, MT 59717 USA.</t>
  </si>
  <si>
    <t>ccripps@montana.edu</t>
  </si>
  <si>
    <t>National Science Foundation [9971210]; University of Colorado Boulder; Division Of Environmental Biology; Direct For Biological Sciences [9971210] Funding Source: National Science Foundation</t>
  </si>
  <si>
    <t>National Science Foundation(National Science Foundation (NSF)); University of Colorado Boulder; Division Of Environmental Biology; Direct For Biological Sciences(National Science Foundation (NSF)NSF - Directorate for Biological Sciences (BIO))</t>
  </si>
  <si>
    <t>We acknowledge the National Science Foundation for the original grant (9971210) that initiated the discipline of alpine mycology in the Rocky Mountains. Fieldwork was supported by the John W. Marr Fund provided by the University of Colorado Boulder.</t>
  </si>
  <si>
    <t>10.1080/15230430.2020.1771869</t>
  </si>
  <si>
    <t>MO6NS</t>
  </si>
  <si>
    <t>WOS:000551640700001</t>
  </si>
  <si>
    <t>Rist, A; Roth, L; Veit, H</t>
  </si>
  <si>
    <t>Rist, Armin; Roth, Lotti; Veit, Heinz</t>
  </si>
  <si>
    <t>Elevational ground/air thermal gradients in the Swiss inner Alpine Valais</t>
  </si>
  <si>
    <t>Ground thermal regime; elevational gradient; slope aspect; land cover; mountains</t>
  </si>
  <si>
    <t>TEMPERATURE LAPSE RATES; NEAR-SURFACE SOIL; COLD-AIR POOL; ECOSYSTEM; EVOLUTION; MOISTURE; NORTHERN; VALLEY; SNOW</t>
  </si>
  <si>
    <t>The dependence of air temperature on elevation (i.e., its elevational gradient) in the mountains is well known. However, the elevational gradient of near-surface ground temperatures and derived thermal parameters is much less understood. In this study, we investigated how these parameters depend on elevation by one-year temperature measurements along a transect in the Valais Alps (Switzerland) between 700 and 2,600 m a.s.l. In addition, we studied the effect of differences in slope aspect (north/south) and land cover (open field/forest). Air temperatures were measured as a reference. The results show that the ground thermal regime distinctly differs from that of the air. These differences could mainly be attributed to radiation, snow cover, and ground heat transfer. Our findings have far-reaching implications for ecosystems, agriculture, and forestry in mountains because a large portion of the living biomass is underground and thus affected by ground thermal processes.</t>
  </si>
  <si>
    <t>[Rist, Armin; Roth, Lotti; Veit, Heinz] Univ Bern, Inst Geog, Hallerstr 12, CH-3012 Bern, Switzerland</t>
  </si>
  <si>
    <t>University of Bern</t>
  </si>
  <si>
    <t>Rist, A (corresponding author), Univ Bern, Inst Geog, Hallerstr 12, CH-3012 Bern, Switzerland.;Rist, A (corresponding author), ILA Inst Laufbahn &amp; Arbeit GmbH, Eichenstr 16, CH-3074 Muri, Switzerland.</t>
  </si>
  <si>
    <t>armin.rist@giub.unibe.ch</t>
  </si>
  <si>
    <t>10.1080/15230430.2020.1742022</t>
  </si>
  <si>
    <t>MO6NL</t>
  </si>
  <si>
    <t>WOS:000551640000001</t>
  </si>
  <si>
    <t>Bublyk, O; Andreev, I; Parnikoza, I; Kunakh, V</t>
  </si>
  <si>
    <t>Bublyk, Olena; Andreev, Igor; Parnikoza, Ivan; Kunakh, Viktor</t>
  </si>
  <si>
    <t>POPULATION GENETIC STRUCTURE OF IRIS PUMILA L. IN UKRAINE: EFFECTS OF HABITAT FRAGMENTATION</t>
  </si>
  <si>
    <t>ACTA BIOLOGICA CRACOVIENSIA SERIES BOTANICA</t>
  </si>
  <si>
    <t>conservation; genetic polymorphism; habitat fragmentation; ISSR markers; population genetics</t>
  </si>
  <si>
    <t>PLANT-POPULATIONS; APHYLLA L.; DIVERSITY; CONSEQUENCES; RARE; CONSERVATION; BIODIVERSITY; VARIABILITY; IRIDACEAE; PATTERNS</t>
  </si>
  <si>
    <t>Habitat fragmentation is one of serious threats to biodiversity of nature in today's world. The present study of a typical steppe species Iris pumila L. (Iridaceae) has analyzed the impacts of geographical isolation and population size on genetic diversity and population structure in conditions of habitat fragmentation. The key indices of population genetic variability calculated from the ISSR markers data were on average as follows: Shannon diversity index (S) - 0.188; unbiased Nei's gene diversity (H-e) - 0.123; and the average measure of Jaccard's genetic distances between individuals within populations - 58.4%. Although the largest population had significantly higher values of S and He, the small and marginal populations also showed a comparable level of variation. Most of the genetic variation of I. pumila was distributed within the populations. A strong correlation was found between Nei's genetic distances and geographic distances between the populations. According to the Bayesian analysis, genetic structure of the populations was highly homogeneous; however, the presence of admixed genotypes indicated the possibility of gene flow between the populations at present.</t>
  </si>
  <si>
    <t>[Bublyk, Olena; Andreev, Igor; Parnikoza, Ivan; Kunakh, Viktor] NAS Ukraine, Inst Mol Biol &amp; Genet, Akad Zabolotny Str 150, UA-03143 Kiev, Ukraine; [Parnikoza, Ivan] Natl Antarctic Sci Ctr Ukraine, Blvd Tarasa Shevchenka 16, UA-01601 Kiev, Ukraine</t>
  </si>
  <si>
    <t>National Academy of Sciences Ukraine; Institute of Molecular Biology &amp; Genetics of NASU; Ministry of Education &amp; Science of Ukraine; State Institution National Antarctic Scientific Center</t>
  </si>
  <si>
    <t>Andreev, I (corresponding author), NAS Ukraine, Inst Mol Biol &amp; Genet, Akad Zabolotny Str 150, UA-03143 Kiev, Ukraine.</t>
  </si>
  <si>
    <t>i.o.andreev@imbg.org.ua</t>
  </si>
  <si>
    <t>Andreev, Igor/G-6194-2016; Parnikoza, Ivan/I-2398-2016; Kunakh, Viktor A./HKV-4993-2023; Bublyk, Olena/G-7997-2016</t>
  </si>
  <si>
    <t>Andreev, Igor/0000-0002-3706-8514; Bublyk, Olena/0000-0002-9110-0271</t>
  </si>
  <si>
    <t>National Academy of Sciences of Ukraine through the Targeted interdisciplinary program of scientific research Fundamentals of molecular and cellular biotechnology (2010-2014)</t>
  </si>
  <si>
    <t>The authors thank Dr. Mykhaylo V. Ruchko (University of South Alabama, USA) for his assistance in editing the manuscript. This work was carried out with the financial support from the National Academy of Sciences of Ukraine through the Targeted interdisciplinary program of scientific research Fundamentals of molecular and cellular biotechnology (2010-2014).</t>
  </si>
  <si>
    <t>POLSKA AKAD NAUK, POLISH ACAD SCIENCES, PAS BRANCH CRACOW</t>
  </si>
  <si>
    <t>PL DEFILAD 1, 00-901 WARSZAWA, POLAND</t>
  </si>
  <si>
    <t>0001-5296</t>
  </si>
  <si>
    <t>1898-0295</t>
  </si>
  <si>
    <t>ACTA BIOL CRACOV BOT</t>
  </si>
  <si>
    <t>Acta Biol. Crac. Ser. Bot.</t>
  </si>
  <si>
    <t>10.24425/abcsb.2020.131665</t>
  </si>
  <si>
    <t>MN8KF</t>
  </si>
  <si>
    <t>WOS:000551090100005</t>
  </si>
  <si>
    <t>Kñazková, M; Hrbácek, F; Kavan, J; Nyvlt, D</t>
  </si>
  <si>
    <t>Knazkova, M.; Hrbacek, F.; Kavan, J.; Nyvlt, D.</t>
  </si>
  <si>
    <t>EFFECT OF HYALOCLASTITE BRECCIA BOULDERS ON MESO-SCALE PERIGLACIAL-AEOLIAN LANDSYSTEM IN SEMI-ARID ANTARCTIC ENVIRONMENT, JAMES ROSS ISLAND, ANTARCTIC PENINSULA</t>
  </si>
  <si>
    <t>CUADERNOS DE INVESTIGACION GEOGRAFICA</t>
  </si>
  <si>
    <t>Ground sorting; periglacial environment; Antarctica; wind accumulation; snowmelt</t>
  </si>
  <si>
    <t>MCMURDO DRY VALLEYS; EOLIAN SEDIMENT; GLACIAL HISTORY; THERMAL REGIME; VICTORIA LAND; SNOW COVER; ICE; TRANSPORT; DYNAMICS; SAND</t>
  </si>
  <si>
    <t>In this study we aim to describe the processes leading to the creation of a specific periglacial and aeolian landsystem, which evolves around the hyaloclastite breccia boulders on James Ross Island, north-eastern Antarctic Peninsula. These boulders were deposited as a result of the Late Holocene advance of Whisky Glacier, forming a well-developed boulder train approximately 5-km long, stretching front Whisky Glacier moraine to Brandy Bay. The combination of ground temperature monitoring, snow cover measurements, grain size analysis and field survey were used to quantify and understand the interplay of periglacial and aeolian processes leading to the formation of the specific meso-scale landsystent around the boulders. The ground temperature probes were installed during January 2017 in the vicinity of two selected boulders. The two study sites, at Monolith Lake (large boulder) and Keller Stream (smaller boulder), were also fitted with snow stakes and trail cameras. An automatic weather station (AWS) on the Abernethy Flats, located approximately two kilometres to the north-west, was used as a reference site for ground temperature and snow cover thickness. The hyaloclastite breccia boulders act as obstacles to wind and trap wind-blown snow, resulting in the formation of snow accumulations on their windward and lee sides. These accumulations affect ground thermal regime and lead to the transport of fine particles by meltwater from the snow during the summer season. The snow cover also traps wind-blown fine sand resulting in the formation of finegrained rims on the windward and lee sides of the boulders after the snow has melted. Furthermore, the meltwater affects ground moisture content, creating favourable, but spatially limited conditions for colonisation by mosses and lichens.</t>
  </si>
  <si>
    <t>[Knazkova, M.; Hrbacek, F.; Kavan, J.; Nyvlt, D.] Masaryk Univ, Dept Geog, Brno, Czech Republic</t>
  </si>
  <si>
    <t>Masaryk University Brno</t>
  </si>
  <si>
    <t>Kñazková, M (corresponding author), Masaryk Univ, Dept Geog, Brno, Czech Republic.</t>
  </si>
  <si>
    <t>michaelaknazkova@gmail.com</t>
  </si>
  <si>
    <t>Kavan, Jan/ACU-4986-2022; Nyvlt, Daniel/J-6504-2019; Hrbacek, Filip/ABG-4319-2020</t>
  </si>
  <si>
    <t>Nyvlt, Daniel/0000-0002-6876-490X; Hrbacek, Filip/0000-0001-5032-9216; Kavan, Jan/0000-0003-4524-3009</t>
  </si>
  <si>
    <t>Ministry of Education, Youth and Sports of the Czech Republic [LM2015078, Z.02.1.01/0.0/0.0/16_013/0001708]; Masaryk University [MUNI/A/1251/2017]</t>
  </si>
  <si>
    <t>Ministry of Education, Youth and Sports of the Czech Republic(Ministry of Education, Youth &amp; Sports - Czech Republic); Masaryk University</t>
  </si>
  <si>
    <t>Research was supported by Ministry of Education, Youth and Sports of the Czech Republic projects LM2015078 and Z.02.1.01/0.0/0.0/16_013/0001708 and by the Masaryk University project MUNI/A/1251/2017. We thank Stephen J.A. Jennings for his contribution regarding proofreading of the manuscript.</t>
  </si>
  <si>
    <t>UNIV RIOJA, SERV PUBLICACIONES</t>
  </si>
  <si>
    <t>LA RIOJA</t>
  </si>
  <si>
    <t>C/ PISCINAS S/N, LOGRONO, LA RIOJA, 26004, SPAIN</t>
  </si>
  <si>
    <t>0211-6820</t>
  </si>
  <si>
    <t>1697-9540</t>
  </si>
  <si>
    <t>CUAD INVESTIG GEOGR</t>
  </si>
  <si>
    <t>Cuad. Investig. Geogr.</t>
  </si>
  <si>
    <t>10.18172/cig.3800</t>
  </si>
  <si>
    <t>MN9UR</t>
  </si>
  <si>
    <t>WOS:000551185100001</t>
  </si>
  <si>
    <t>De Pablo, MA; Jiménez, JJ; Ramos, M; Prieto, M; Molina, A; Vieira, G; Hidalgo, MA; Fernández, S; Recondo, C; Calleja, JF; Peon, JJ; Corbea-Pérez, A; Maior, CN; Morales, M; Mora, C</t>
  </si>
  <si>
    <t>De Pablo, M. A.; Jimenez, J. J.; Ramos, M.; Prieto, M.; Molina, A.; Vieira, G.; Hidalgo, M. A.; Fernandez, S.; Recondo, C.; Calleja, J. F.; Peon, J. J.; Corbea-Perez, A.; Maior, C. N.; Morales, M.; Mora, C.</t>
  </si>
  <si>
    <t>FROZEN GROUND AND SNOW COVER MONITORING IN LIVINGSTON AND DECEPTION ISLANDS, ANTARCTICA: PRELIMINARY RESULTS OF THE 2015-2019 PERMASNOW PROJECT</t>
  </si>
  <si>
    <t>Permafrost; active layer; snow cover; Antarctica; remote sensing</t>
  </si>
  <si>
    <t>LAYER THERMAL REGIME; SITU TEMPERATURE-MEASUREMENTS; ACTIVE-LAYER; BYERS PENINSULA; PERIGLACIAL PROCESSES; SURFACE TEMPERATURES; SOUTH SHETLAND; PERMAFROST; CLIMATE; ALBEDO</t>
  </si>
  <si>
    <t>Since 2006, our research team has been establishing in the islands of Livingston and Deception, (South Shetland archipelago, Antarctica) several monitoring stations of the active layer thickness within the international network Circumpolar Active Layer Monitoring (CALM), and the ground thermal regime for the Ground Terrestrial Network-Permafrost (GTN-P). Both networks were developed within the International Permafrost Association (IPA). In the GTN-P stations, in addition to the temperature of the air, soil, and terrain at different depths, the snow thickness is also monitored by snow poles. Since 2006, a delay in the disappearance of the snow layer has been observed, which could explain the variations we observed in the active layer thickness and permafrost temperatures. Therefore, in late 2015 our research group started the PERMASNOW project (2015-2019) to pay attention to the effect of snow cover on ground thermal This project had two different ways to study the snow cover. On the first hand, in early 2017 we deployed new instrumentation, including new time lapse cameras, snow poles with high number of sensors and a complete and complex set of instruments and sensors to configure a snow pack analyzer station providing 32 environmental and snow parameters. We used the data acquired along 2017 and 2018 years with the new instruments, together with the available from all our already existing sensors, to study in detail the snow cover. On the other hand, remote sensing data were used to try to map the snow cover, not only at our monitoring stations but the entire islands in order to map and study the snow cover distribution, as well as to start the way for future permafrost mapping in the entire islands. MODIS-derived surface temperatures and albedo products were used to detect the snow cover and to test the surface temperature. Since cloud presence limited the acquisition of valid observations of MODIS sensor, we also analyzed Terrasar X data to overcome this limitation. Remote sensing data validation required the acquirement of in situ ground-true data, consisting on data front our permanent instruments, as well as ad hoc measurements in the field (snow cover mapping, snow pits, albedo characterization, etc.). Although the project is finished, the data analysis is still ongoing. We present here the different research tasks we are developing as well as the most important results we already obtained about the snow cover. These results confirm how the snow cover duration has been changing in the last years, affecting the ground thermal behavior.</t>
  </si>
  <si>
    <t>[De Pablo, M. A.; Maior, C. N.; Morales, M.] Univ Alcala, Dept Geol Geog &amp; Environm, Madrid, Spain; [Jimenez, J. J.; Ramos, M.; Hidalgo, M. A.] Univ Alcala, Dept Phys &amp; Math, Madrid, Spain; [Prieto, M.] Univ Alcala, Dept Automat, Madrid, Spain; [Molina, A.] Ctr Astrobiol CSIC INTA, Dept Planetary Geol, Madrid, Spain; [Vieira, G.; Mora, C.] Univ Lisbon, Ctr Geog Studies IGOT, Lisbon, Portugal; [Fernandez, S.] Univ Oviedo, Dept Geol, Oviedo, Spain; [Recondo, C.; Peon, J. J.; Corbea-Perez, A.] Univ Oviedo, Dept Min Exploitat &amp; Prospecting, Oviedo, Spain; [Calleja, J. F.] Univ Oviedo, Dept Phys, Oviedo, Spain</t>
  </si>
  <si>
    <t>Universidad de Alcala; Universidad de Alcala; Universidad de Alcala; Consejo Superior de Investigaciones Cientificas (CSIC); CSIC - Centro de Astrobiologia (INTA); Universidade de Lisboa; University of Oviedo; University of Oviedo; University of Oviedo</t>
  </si>
  <si>
    <t>De Pablo, MA (corresponding author), Univ Alcala, Dept Geol Geog &amp; Medio Ambiente, Unidad Geol, Edificio Ciencias,Campus Cient Tecnol,Ctra A-2, Madrid 28805, Spain.</t>
  </si>
  <si>
    <t>miguelangel.depablo@uah.es</t>
  </si>
  <si>
    <t>Mora, Carla/D-2706-2012; Vieira, Goncalo/G-5958-2010; Prieto, Manuel/K-8822-2014; Peón, Juanjo/K-1637-2014; Calleja, Javier/K-8230-2014; De Pablo, Miguel Ángel/J-6442-2014; Recondo, Carmen/B-1215-2012; Molina, Antonio/AAE-1314-2020; Pérez, Alejandro I Corbea/I-4944-2018</t>
  </si>
  <si>
    <t>Mora, Carla/0000-0002-0843-3658; Vieira, Goncalo/0000-0001-7611-3464; Prieto, Manuel/0000-0003-3050-3445; Peón, Juanjo/0000-0001-7551-2236; Calleja, Javier/0000-0003-0536-9934; De Pablo, Miguel Ángel/0000-0002-4496-2741; Recondo, Carmen/0000-0001-9813-6798; Molina, Antonio/0000-0002-5038-2022;</t>
  </si>
  <si>
    <t>Ministry of Economy of the Government of Spain by the Polar Research Program [PERMASNOW CTM201452021-R]; University of Alcala; Spanish Institute of Geology and Mining; Spanish Polar Committee</t>
  </si>
  <si>
    <t>Ministry of Economy of the Government of Spain by the Polar Research Program; University of Alcala; Spanish Institute of Geology and Mining; Spanish Polar Committee</t>
  </si>
  <si>
    <t>This work has been supported by funds from the Ministry of Economy of the Government of Spain by the Polar Research Program (PERMASNOW CTM201452021-R) and the PERMATHERMAL arrangement between the University of Alcala, the Spanish Institute of Geology and Mining, and the Spanish Polar Committee for the maintenance of the monitoring stations in Deception and Livingston Islands. We thank to the 2016-2017, 2017-2018 and 2018-2019 crews of Gabriel de Castilla and Juan Carlos I Spanish Antarctic Stations in Deception and Livingston Islands respectively for their support on the development of the field tasks of the PERMASNOW project. Part of this research was possible thank to the Research Agreement with the Deutsches Zentrum fur Luft-und Raumfahrt (German Government) for the acquisition of TerraSAR X images. Authors want to thank to the two anonymous referees for their useful comments that helped to improve the manuscript.</t>
  </si>
  <si>
    <t>10.18172/cig.4381</t>
  </si>
  <si>
    <t>WOS:000551185100009</t>
  </si>
  <si>
    <t>Kawamata, M; Suganuma, Y; Doi, K; Sawagaki, T; Hattori, A</t>
  </si>
  <si>
    <t>Kawamata, Moto; Suganuma, Yusuke; Doi, Koichiro; Sawagaki, Takanobu; Hattori, Akihisa</t>
  </si>
  <si>
    <t>Reconstruction of Ice Sheet Retreat History at Skarvsnes, Southern Part of the Soya Coast, East Antarctica, Based on Glacial Landforms and Surface Exposure Ages</t>
  </si>
  <si>
    <t>East Antarctica; Soya Coast; glacial landforms; surface exposure ages; Last Glacial Maximum</t>
  </si>
  <si>
    <t>LUTZOW-HOLM BAY; SOR-RONDANE MOUNTAINS; HALF-LIFE; BE-10; EROSION; AL-26; RATES; ROCKS</t>
  </si>
  <si>
    <t>The purpose of geomorphological studies in East Antarctica is to understand past fluctuations of the Antarctic Ice Sheet, which is essential to constrain ice sheet models and predict future behavior of the East Antarctic Ice Sheet. Here we show a deglacial history of Skarvsnes, at the southern part of the Soya Coast, East Antarctica based on a geomorphological field survey and newly obtained surface exposure ages. Bedrock higher than ca. 250 m a.s.l. at the northwest part of Skarvsnes(Skjegget)is weathered extensively, whereas bedrock below ca. 250 m a.s.l. is relatively unweathered. The degree of weathering of bedrock above 250 m a.s.l. is similar to that at the northern part of the Soya Coast, which is thought to have been ice-free throughout the last glacial period. Therefore, a clear difference in the degree of weathering depending on altitude probably indicates the lower limit of the ice sheet elevation during the last glacial period at Skarvsnes. Judging from the multiple directions of glacial striae, the ice sheet covering the area retreated while changing flow direction under the influence of the bedrock topography after the last glacial period. Since ca. 9 ka, the ice sheet is thought to have thinned and eventually divided into two major ice streams(northward and southward)that were obstructed by a 362 m a.s.l. mountain(Shirasuso-Yama), at the southeastern part of Skarvsnes. However, the timing of the initiation of the ice sheet retreat and its duration remain unclear. Therefore, additional surface exposure ages from various areas and heights at Skarvsnes are required for a detailed reconstruction of the ice retreat history and to understand its mechanism.</t>
  </si>
  <si>
    <t>[Kawamata, Moto; Suganuma, Yusuke; Doi, Koichiro; Hattori, Akihisa] Grad Univ Adv Studies SOKENDAI, Sch Multidisciplinary Sci, Dept Polar Sci, Tachikawa, Tokyo 1908518, Japan; [Suganuma, Yusuke; Doi, Koichiro] Natl Inst Polar Res, Tachikawa, Tokyo 1908518, Japan; [Sawagaki, Takanobu] Hosei Univ, Fac Social Sci, Machida, Tokyo 1940298, Japan</t>
  </si>
  <si>
    <t>Graduate University for Advanced Studies - Japan; Research Organization of Information &amp; Systems (ROIS); National Institute of Polar Research (NIPR) - Japan; Hosei University</t>
  </si>
  <si>
    <t>Kawamata, M (corresponding author), Grad Univ Adv Studies SOKENDAI, Sch Multidisciplinary Sci, Dept Polar Sci, Tachikawa, Tokyo 1908518, Japan.</t>
  </si>
  <si>
    <t>Sawagaki, Takanobu/C-7632-2012</t>
  </si>
  <si>
    <t>Kawamata, Moto/0000-0002-0220-079X; Hattori, Akihisa/0000-0003-2956-3694</t>
  </si>
  <si>
    <t>10.5026/jgeography.129.315</t>
  </si>
  <si>
    <t>MO4TJ</t>
  </si>
  <si>
    <t>WOS:000551520200001</t>
  </si>
  <si>
    <t>Polyakov, V; Abakumov, E</t>
  </si>
  <si>
    <t>Polyakov, V; Abakumov, E.</t>
  </si>
  <si>
    <t>Stabilization of organic material from soils and soil-like bodies in the Lena River Delta (13C-NMR spectroscopy analysis)</t>
  </si>
  <si>
    <t>SPANISH JOURNAL OF SOIL SCIENCE</t>
  </si>
  <si>
    <t>Permafrost soils; SOM; Arctica; CP/MAS; humic acids</t>
  </si>
  <si>
    <t>HUMIC SUBSTANCES; MOLECULAR COMPOSITION; ELEMENTAL COMPOSITION; TUNDRA SOILS; ARCTIC SOILS; CARBON; PERMAFROST; MATTER; CLIMATE; SIBERIA</t>
  </si>
  <si>
    <t>The Arctic ecosystem has a huge reservoir of soil organic carbon stored in permafrost-affected soils and biosediments. During the short vegetation season, humification and mineralization processes in the active soil layer result in the formation of specific soil organic substances - humic substances. Humic acids are high molecular, specific, thermodynamically stable macromolecules. The study was conducted in the Lena River Delta, the largest river delta located in the Arctic. Cryosol-type soils on alluvial deposits of the river form an area of about 45 thousand km(2) under permafrost conditions. The vegetation cover is represented by moss-lichen communities with the presence of Salix glauca in the flooded areas, as well as Betula nana in the areas not subject to flooding. The paper presents the elemental and molecular composition of humic acids isolated from soils, integral indicators of humification (stabilization) of organic matter in the soils of the Lena River Delta. The study was conducted using the C-13 (CP/MAS) NMR spectroscopy method. In the work, it was revealed that up to 33% of aromatic and up to 15% COOR fragments are accumulated in humic acids. The AR/AL ratio ranged from 0.69 to 0.89. The studied soils are variants of modern soil formation (not subjected to alluvial processes) and soil-like bodies that melted from the IC of the river delta. A relatively high degree of condensation of humic acid macromolecules in comparison with other polar regions of the Arctic and Antarctic was noted.</t>
  </si>
  <si>
    <t>[Polyakov, V; Abakumov, E.] St Petersburg State Univ, Fac Biol, Dept Appl Ecol, 16th Liniya VO,29, St Petersburg 199178, Russia; [Polyakov, V] Arctic &amp; Antarctic Res Inst, Beringa 38, St Petersburg 199397, Russia</t>
  </si>
  <si>
    <t>Polyakov, V (corresponding author), St Petersburg State Univ, Fac Biol, Dept Appl Ecol, 16th Liniya VO,29, St Petersburg 199178, Russia.;Polyakov, V (corresponding author), Arctic &amp; Antarctic Res Inst, Beringa 38, St Petersburg 199397, Russia.</t>
  </si>
  <si>
    <t>Abakumov, e_abakumov@mail.ru/ADJ-1297-2022; Abakumov, Evgeny/AAO-8580-2020; Polyakov, Vyacheslav/H-5483-2016</t>
  </si>
  <si>
    <t>Abakumov, e_abakumov@mail.ru/0000-0002-5248-9018; Abakumov, Evgeny/0000-0002-5248-9018; Polyakov, Vyacheslav/0000-0001-6171-3221</t>
  </si>
  <si>
    <t>Russian Foundation for Basic Reasearch [19-05-50107]</t>
  </si>
  <si>
    <t>Russian Foundation for Basic Reasearch(Russian Foundation for Basic Research (RFBR))</t>
  </si>
  <si>
    <t>This work was supported by the Russian Foundation for Basic Reasearch, project No 19-05-50107.</t>
  </si>
  <si>
    <t>UNIVERSIA</t>
  </si>
  <si>
    <t>MADRID</t>
  </si>
  <si>
    <t>AVDA CANTABRIA S-N, BOADILLA MONTE, MADRID, 28660, SPAIN</t>
  </si>
  <si>
    <t>2253-6574</t>
  </si>
  <si>
    <t>SPAN J SOIL SCI</t>
  </si>
  <si>
    <t>Span. J. Soil Sci.</t>
  </si>
  <si>
    <t>10.3232/SJSS.2020.V10.N2.05</t>
  </si>
  <si>
    <t>MO2OH</t>
  </si>
  <si>
    <t>WOS:000551371500005</t>
  </si>
  <si>
    <t>Hallegraeff, G; Eriksen, R; Davies, C; Slotwinski, A; McEnnulty, F; Coman, F; Uribe-Palomino, J; Tonks, M; Richardson, A</t>
  </si>
  <si>
    <t>Hallegraeff, Gustaaf; Eriksen, Ruth; Davies, Claire; Slotwinski, Anita; McEnnulty, Felicity; Coman, Frank; Uribe-Palomino, Julian; Tonks, Mark; Richardson, Anthony</t>
  </si>
  <si>
    <t>The marine planktonic dinoflagellate Tripos: 60 years of species-level distributions in Australian waters</t>
  </si>
  <si>
    <t>AUSTRALIAN SYSTEMATIC BOTANY</t>
  </si>
  <si>
    <t>GENUS CERATIUM; NEOCERATIUM; NORTH</t>
  </si>
  <si>
    <t>We reviewed 15 572 Australian species-level records of the marine planktonic dinoflagellate Tripos Bory (formerly Ceratium Schrank, a genus now restricted to freshwater species). The genus is represented by over 50 species and numerous varieties and forms in Australian tropical, subtropical and temperate marine waters and the Southern Ocean. There exists considerable plasticity in the morphology of many species, which has confounded species delimitations and created uncertainty around their spatial distributions. We newly illustrate by light and electron microscopy the rarely reported Tripos hundhausenii (Schrod.) Hallegr. &amp; Huisman comb. nov. first described from the Arabian Sea, but increasingly being observed in Sydney coastal waters. A large number of Tripos species are widely distributed in temperate, subtropical and tropical waters and their distributions have remained remarkably stable in Australian waters over the past 60-80 years. By contrast, we identified a narrow group of warm-water species, including T. belone (Cleve) F.Gomez, T. cephalotus (Lemmerm.) F. Gomez, T. dens (Ostenf. &amp; E.J.Schmidt) F.Gomez, T. digitatus (F.Schutt) F.Gomez, T. gravidus (Gourret) F.Gomez, T. incisus (G.Karst.) F.Gomez, T. paradoxides (Cleve) F.Gomez and T. praelongus (Lemmerm.) F.Gomez, that are commonly encountered off Sydney, rarely found down to Eden and Batemans Bay or Bass Strait, but occasionally occur as far south as King Island and Maria Island, Tasmania. These rare tropical Tripos species are carried southward by the East Australian and Leeuwin Currents and deserve careful attention in monitoring for future range expansions, changes in seasonality or upwelling or incursion of deep tropical waters.</t>
  </si>
  <si>
    <t>[Hallegraeff, Gustaaf] Univ Tasmania, Inst Marine &amp; Antarctic Studies, Private Bag 129, Hobart, Tas 7001, Australia; [Eriksen, Ruth; Davies, Claire; Slotwinski, Anita; McEnnulty, Felicity] CSIRO Oceans &amp; Atmosphere, Hobart, Tas 7000, Australia; [Coman, Frank; Uribe-Palomino, Julian; Tonks, Mark; Richardson, Anthony] CSIRO Oceans &amp; Atmosphere, Queensland BioSci Precinct QBP, St Lucia, Qld 4072, Australia; [Richardson, Anthony] Univ Queensland, Ctr Applicat Nat Resource Math, Sch Math &amp; Phys, St Lucia, Qld 4072, Australia</t>
  </si>
  <si>
    <t>University of Tasmania; Commonwealth Scientific &amp; Industrial Research Organisation (CSIRO); Commonwealth Scientific &amp; Industrial Research Organisation (CSIRO); University of Queensland</t>
  </si>
  <si>
    <t>Hallegraeff, G (corresponding author), Univ Tasmania, Inst Marine &amp; Antarctic Studies, Private Bag 129, Hobart, Tas 7001, Australia.</t>
  </si>
  <si>
    <t>hallegraeff@utas.edu.au</t>
  </si>
  <si>
    <t>Richardson, Anthony J/B-3649-2010; Davies, Claire H/G-6888-2013; Hallegraeff, Gustaaf/C-8351-2013</t>
  </si>
  <si>
    <t>Richardson, Anthony J/0000-0002-9289-7366; Davies, Claire H/0000-0002-0424-1835; Hallegraeff, Gustaaf/0000-0001-8464-7343</t>
  </si>
  <si>
    <t>Australian Government</t>
  </si>
  <si>
    <t>Australian Government(Australian Government)</t>
  </si>
  <si>
    <t>IMOS is a National Collaborative Research Infrastructure, supported by the Australian Government.</t>
  </si>
  <si>
    <t>1030-1887</t>
  </si>
  <si>
    <t>1446-5701</t>
  </si>
  <si>
    <t>AUST SYST BOT</t>
  </si>
  <si>
    <t>Aust. Syst. Bot.</t>
  </si>
  <si>
    <t>10.1071/SB19043</t>
  </si>
  <si>
    <t>MJ9VU</t>
  </si>
  <si>
    <t>WOS:000548434100004</t>
  </si>
  <si>
    <t>Xing, ZF; Yu, YR; Duan, SB; Li, ZL; Gao, MF; Leng, P; Zhang, X; Shang, GF</t>
  </si>
  <si>
    <t>Xing, Zefeng; Yu, Yanru; Duan, Si-Bo; Li, Zhao-Liang; Gao, Maofang; Leng, Pei; Zhang, Xia; Shang, Guofei</t>
  </si>
  <si>
    <t>Modeling Year-to-Year Variations of Clear-Sky Land Surface Temperature Using Aqua/MODIS Data</t>
  </si>
  <si>
    <t>IEEE ACCESS</t>
  </si>
  <si>
    <t>Land surface temperature; annual temperature cycle; modeling; MODIS</t>
  </si>
  <si>
    <t>TIME-SERIES; UNITED-STATES; CYCLE; DYNAMICS; PRODUCTS</t>
  </si>
  <si>
    <t>Land surface temperature (LST) and its annual or inter-annual variations play an important role in understanding global climate change, urban heat island, and the process of land-atmosphere energy exchange. Many annual temperature cycle (ATC) models [i.e., ATC with three or five parameters (ACP3 or ACP5)] have been proposed to analyze the annual variations of LST in the past decades. In this study, two year-to-year continuous and derivable models (YYCD_ACP3 and YYCD_ACP5 models) were proposed to model several years of ATCs. The fitting results of the YYCD_ACP3 model with global Aqua/MODIS daytime LSTs from 2014 to 2018 show that the YYCD_ACP3 model achieved a good performance in fitting the time-series LSTs with an overall normalized root-mean-square error (NRMSE) of 0.21, coefficient of determination (R-2) of 0.74, and refined index of agreement ( $d$ ) of 0.85. In addition, the modeling results of ten representative samples covering different climatic conditions and land cover worldwide show that, except for two sites located in tropical and Antarctic, the YYCD_ACP3 model could show a good performance with R-2 greater than 0.6. Although the ACP3 model shows similar performance to the YYCD_ACP3 model, the fitting curve of the YYCD_ACP3 model is continuous and smooth for describing the interannual variations of LST. When the LSTs of 2014-2018 are fitted as a whole by using both models, the YYCD_ACP3 model shows a slightly better performance than that of the ACP3 model. The application of the YYCD_ACP3 model with the global MODIS LSTs from 2003 to 2018 indicates that the results of the YYCD_ACP3 model have the potential to reveal the interannual variations of LST. Therefore, we conclude that the YYCD models are valuable for modeling the variations of LST over several years and can be widely applied.</t>
  </si>
  <si>
    <t>[Xing, Zefeng; Yu, Yanru; Duan, Si-Bo; Li, Zhao-Liang; Gao, Maofang; Leng, Pei] Chinese Acad Agr Sci, Minist Agr, Key Lab Agr Remote Sensing, Inst Agr Resources &amp; Reg Planning, Beijing 100081, Peoples R China; [Xing, Zefeng; Li, Zhao-Liang] CNRS, UdS, ICube, F-67412 Illkirch Graffenstaden, France; [Zhang, Xia; Shang, Guofei] Hebei GEO Univ, Sch Land Resources &amp; Urban Rural Planning, Shijiazhuang 050031, Hebei, Peoples R China</t>
  </si>
  <si>
    <t>Ministry of Agriculture &amp; Rural Affairs; Chinese Academy of Agricultural Sciences; Institute of Agricultural Resources &amp; Regional Planning, CAAS; Universites de Strasbourg Etablissements Associes; Universite de Strasbourg; Centre National de la Recherche Scientifique (CNRS); Hebei GEO University</t>
  </si>
  <si>
    <t>Li, ZL (corresponding author), Chinese Acad Agr Sci, Minist Agr, Key Lab Agr Remote Sensing, Inst Agr Resources &amp; Reg Planning, Beijing 100081, Peoples R China.;Li, ZL (corresponding author), CNRS, UdS, ICube, F-67412 Illkirch Graffenstaden, France.;Shang, GF (corresponding author), Hebei GEO Univ, Sch Land Resources &amp; Urban Rural Planning, Shijiazhuang 050031, Hebei, Peoples R China.</t>
  </si>
  <si>
    <t>lizhaoliang@caas.cn; shangguofei@hgu.edu.cn</t>
  </si>
  <si>
    <t>Duan, Si-Bo/AAF-4296-2019; Li, Zhaoliang/AFV-2619-2022; Gao, Maofang/GXM-4416-2022</t>
  </si>
  <si>
    <t>Li, Zhaoliang/0000-0001-9504-4492; Zhang, Xia/0000-0003-3651-9691</t>
  </si>
  <si>
    <t>China Scholarship Council (CSC) [201800320098]; [1610132019049]</t>
  </si>
  <si>
    <t>China Scholarship Council (CSC)(China Scholarship Council);</t>
  </si>
  <si>
    <t>This work was supported in part by the Fundamental Research Funds for Central Non-pro~t Scienti~c Institution under Grant 1610132019049. The work of Zefeng Xing was supported by the China Scholarship Council (CSC) under Grant 201800320098.</t>
  </si>
  <si>
    <t>2169-3536</t>
  </si>
  <si>
    <t>IEEE Access</t>
  </si>
  <si>
    <t>10.1109/ACCESS.2020.3003990</t>
  </si>
  <si>
    <t>Computer Science, Information Systems; Engineering, Electrical &amp; Electronic; Telecommunications</t>
  </si>
  <si>
    <t>Computer Science; Engineering; Telecommunications</t>
  </si>
  <si>
    <t>ML0PA</t>
  </si>
  <si>
    <t>WOS:000549177800001</t>
  </si>
  <si>
    <t>Kerkar, AU; Venkataramana, V; Tripathy, SC</t>
  </si>
  <si>
    <t>Kerkar, Anvita U.; Venkataramana, Vankara; Tripathy, Sarat C.</t>
  </si>
  <si>
    <t>Morphometric estimation of copepod carbon biomass in coastal Antarctica: a case study in Prydz Bay</t>
  </si>
  <si>
    <t>JOURNAL OF CRUSTACEAN BIOLOGY</t>
  </si>
  <si>
    <t>Antarctic shelf; copepod standing stock; multi plankton sampler; time series</t>
  </si>
  <si>
    <t>ZOOPLANKTON COMMUNITY STRUCTURE; SOUTHERN-OCEAN; REDUCED CALCIFICATION; PHYTOPLANKTON BLOOM; POPULATION-DYNAMICS; GRAZING IMPACT; CLIMATE-CHANGE; MESOZOOPLANKTON; SEA; SUMMER</t>
  </si>
  <si>
    <t>Estimation of copepod carbon (C) biomass is essential in studies of secondary production and ecology in aquatic systems. The coastal Antarctic region belonging to the Indian Ocean sector of the Southern Ocean is a globally well-known sink for carbon and is extremely sensitive to climate change. During the austral summer, an attempt was made in Prydz Bay to measure copepod prosomal length and use regression equations to derive copepod C-biomass. The technique involved microscopic measurements, by means of a digital imaging device, of copepods collected at four intervals during a period of 48 hr, and the application of appropriate conversion factors to convert these values into C-biomass. Totals of 10.38 mgC m(-3) and 25.55 mgC m(-3) were recorded in the upper 200 m on day 1 and day 2, respectively. Out of the six copepod species present, Paraeuchaeta antarctica (Giesbrecht, 1902) (31.12 +/- 11.10 mu g m(-3)) and Oithona similis (Claus, 1866) (1.01 +/- 0.42 mu g m(-3)) represented the highest contributors to C-biomass amongst the calanoids and cyclopoids, respectively. Reports on copepod C-biomass estimates in general are extremely sparse. To our knowledge, this study is the first of its kind in the study area that provides species-specific estimates of C at every time point using a labor-saving and non-destructive method that allows preservation of the samples for further analyses. Based on the C estimates from our study, it can be said that copepod community is an extremely important component of the carbon cycle in coastal Antarctica.</t>
  </si>
  <si>
    <t>[Kerkar, Anvita U.; Venkataramana, Vankara; Tripathy, Sarat C.] Minist Earth Sci, ESSO Natl Ctr Polar &amp; Ocean Res NCPOR, Vasco Da Gama 403804, Goa, India</t>
  </si>
  <si>
    <t>Tripathy, SC (corresponding author), Minist Earth Sci, ESSO Natl Ctr Polar &amp; Ocean Res NCPOR, Vasco Da Gama 403804, Goa, India.</t>
  </si>
  <si>
    <t>sarat@ncaor.gov.in</t>
  </si>
  <si>
    <t>Kerkar, Anvita/HLG-7680-2023</t>
  </si>
  <si>
    <t>Venkataramana, Vankara/0000-0002-3925-015X; Tripathy, Dr. Sarat Chandra/0000-0002-2437-8660</t>
  </si>
  <si>
    <t>Ministry of Earth Sciences, Government of India; Department of Science and Technology (DST), Government of India</t>
  </si>
  <si>
    <t>Ministry of Earth Sciences, Government of India(Ministry of Earth Science (MoES), Government of India); Department of Science and Technology (DST), Government of India(Department of Science &amp; Technology (India))</t>
  </si>
  <si>
    <t>The authors are grateful to the Ministry of Earth Sciences, Government of India, for financial support. Our sincere thanks go to the Director, National Centre for Polar and Ocean Research, and Group Director, Ocean Sciences Group, for their support and encouragement. We acknowledge the Chief Scientist of the expedition as well as the captain and all the crew of SA Agulhas 1 for their invaluable help during the voyage. The first author extends her sincere thanks to the Department of Science and Technology (DST), Government of India, for a DST-INSPIRE fellowship for doctoral research and Goa University, Goa for research administrative facilities. We are indebted to the anonymous reviewers for providing valuable comments that substantially improved the manuscript. This is NCPOR contribution number J-30/2019-20.</t>
  </si>
  <si>
    <t>0278-0372</t>
  </si>
  <si>
    <t>1937-240X</t>
  </si>
  <si>
    <t>J CRUSTACEAN BIOL</t>
  </si>
  <si>
    <t>J. Crustac. Biol.</t>
  </si>
  <si>
    <t>10.1093/jcbiol/ruz077</t>
  </si>
  <si>
    <t>ML3EK</t>
  </si>
  <si>
    <t>WOS:000549353300006</t>
  </si>
  <si>
    <t>Arana, PM; Rolleri, R</t>
  </si>
  <si>
    <t>Arana, Patricio M.; Rolleri, Renzo</t>
  </si>
  <si>
    <t>Incidental catch of marine organisms registered in the Chilean Antarctic krill fishery, years 2012-2016</t>
  </si>
  <si>
    <t>Euphausia superba; bycatch; interaction; fishes; seabirds; marine mammals; Antarctic waters</t>
  </si>
  <si>
    <t>MITIGATION; MORTALITY; TRAWLERS; SEABIRDS; BYCATCH</t>
  </si>
  <si>
    <t>Krill (Euphausia superba) catch is currently the most relevant fishery industry in Antarctic waters. This resource is a keystone species in the Antarctic food web, sustaining the contribution to the trophic ecology of many invertebrate and vertebrate species. To catch hill, part of the fleet in this fishery uses large mid-water nets that also retain a diversity of other organisms like plankton, meroplankton, and fish species as bycatch. Therefore, it is necessary to understand and evaluate the magnitude of this incidental catch, as well as the potential interactions between hill fishing gear with seabirds and mammals. To estimate the composition and extent of bycatch for this fishery included 784 samples of 25 kg and an equal number of 1 kg sub-samples obtained from Antarctic hill catches in Subarea 48, between years 2012 and 2016. A total of 15 fish species were identified along with the record of five other taxa and other unidentified specimens. The most relevant fish species bycaught by weight were mackerel icefish Champsocephalus gunnari, South Georgia icefish Pseudochaenichthys georgianus, and painted notie Lepidonotothen larseni. Additionally, 20 interactions with seabirds and nine interactions with Antarctic fur seals (Arctocephalus gazella) were registered. In the five years of operations, only three seabirds died, and only two individuals of A. gazelle caught by the net were killed.</t>
  </si>
  <si>
    <t>[Arana, Patricio M.; Rolleri, Renzo] Pontificia Univ Catolica Valparaiso, Escuela Ciencias Mar, Valparaiso, Chile</t>
  </si>
  <si>
    <t>Pontificia Universidad Catolica de Valparaiso</t>
  </si>
  <si>
    <t>Arana, PM (corresponding author), Pontificia Univ Catolica Valparaiso, Escuela Ciencias Mar, Valparaiso, Chile.</t>
  </si>
  <si>
    <t>patricio.arana@pucv.cl</t>
  </si>
  <si>
    <t>10.3856/vol48-issue3-fulltext-2434</t>
  </si>
  <si>
    <t>MI3SL</t>
  </si>
  <si>
    <t>WOS:000547330500008</t>
  </si>
  <si>
    <t>Lang, SN; Cui, XB; Zhao, YK; Xu, B; Liu, XJ; Cai, YH; Wu, Q</t>
  </si>
  <si>
    <t>Lang, Shinan; Cui, Xiangbin; Zhao, Yukai; Xu, Ben; Liu, Xiaojun; Cai, Yiheng; Wu, Qiang</t>
  </si>
  <si>
    <t>A Novel Range Processing Method of Surface-Based FMCW Ice-Sounding Radar for Accurately Mapping the Internal Reflecting Horizons in Antarctica</t>
  </si>
  <si>
    <t>Frequency-modulated continuous wave (FMCW) ice-sounding radar; frequency ramp nonlinearity; nonlinear signal model; signal-to-noise ratio (SNR)</t>
  </si>
  <si>
    <t>SNOW THICKNESS; SYSTEM; BAND</t>
  </si>
  <si>
    <t>In this article, we establish the nonlinear signal model of the surface-based frequency-modulated continuous wave ice-sounding radar, and propose a novel range processing strategy that aims at removing the frequency ramp nonlinearity effectively. The proposed algorithm takes full consideration of the dependence of nonlinearity on the round-trip delay time while providing certain robustness of noise. The theory analysis and implementation steps of the proposed algorithm are demonstrated. The full-scale simulations with different kinds of nonlinearities and various signal-to-noise ratios verify the effectiveness and robustness of the proposed algorithm. We also apply the proposed method to real dataset collected during the 31st Chinese Antarctic Research Expedition (CHINARE 31) and CHINARE 33. The result shows the effectiveness of our algorithm on illustrating clarified internal reflecting horizons of ice sheets. Compared with the echograms processed by the typical range processing scheme, our algorithm performs better in nonlinearity elimination.</t>
  </si>
  <si>
    <t>[Lang, Shinan; Zhao, Yukai; Xu, Ben; Cai, Yiheng; Wu, Qiang] Beijing Univ Technol, Fac Informat Technol, Beijing 100124, Peoples R China; [Cui, Xiangbin] Polar Res Inst China, Shanghai 200136, Peoples R China; [Liu, Xiaojun] Chinese Acad Sci, Key Lab Electromagnet Radiat &amp; Sensing Technol, Beijing 100190, Peoples R China; [Liu, Xiaojun] Chinese Acad Sci, Inst Elect, Beijing 100190, Peoples R China</t>
  </si>
  <si>
    <t>Beijing University of Technology; Polar Research Institute of China; Chinese Academy of Sciences; Chinese Academy of Sciences; Institute of Electronics, CAS</t>
  </si>
  <si>
    <t>Cui, XB (corresponding author), Polar Res Inst China, Shanghai 200136, Peoples R China.</t>
  </si>
  <si>
    <t>langshinan@gmail.com; cuixiangbin@pric.org.cn; 649471834@qq.com; 877266460@qq.com; lxjdr@mail.ie.ac.cn; caiyiheng@bjut.edu.cn; wuqiang@bjut.edu.cn</t>
  </si>
  <si>
    <t>Liu, Gui/JHU-8707-2023; wang, zhenhui/JMQ-0550-2023</t>
  </si>
  <si>
    <t>Cui, Xiangbin/0000-0002-4269-8086</t>
  </si>
  <si>
    <t>National Natural Science Foundation of China [41606219, 41776186]; Scientific Research Project of Beijing Educational Committee [KM 201910005027]; Rixin Fund of Beijing University of Technology</t>
  </si>
  <si>
    <t>National Natural Science Foundation of China(National Natural Science Foundation of China (NSFC)); Scientific Research Project of Beijing Educational Committee; Rixin Fund of Beijing University of Technology</t>
  </si>
  <si>
    <t>This work was supported in part by the National Natural Science Foundation of China under Grant 41606219 and Grant 41776186, in part by the Scientific Research Project of Beijing Educational Committee (KM 201910005027), and in part by the Rixin Fund of Beijing University of Technology.</t>
  </si>
  <si>
    <t>10.1109/JSTARS.2020.3004357</t>
  </si>
  <si>
    <t>MH7FQ</t>
  </si>
  <si>
    <t>WOS:000546890600009</t>
  </si>
  <si>
    <t>Hocking, DP; Marx, FG; Parker, WMG; Rule, JP; Cleuren, SGC; Mitchell, AD; Hunter, M; Bell, JD; Fitzgerald, EMG; Evans, AR</t>
  </si>
  <si>
    <t>Hocking, D. P.; Marx, F. G.; Parker, W. M. G.; Rule, J. P.; Cleuren, S. G. C.; Mitchell, A. D.; Hunter, M.; Bell, J. D.; Fitzgerald, E. M. G.; Evans, A. R.</t>
  </si>
  <si>
    <t>Inferring diet, feeding behaviour and causes of mortality from prey-induced injuries in a New Zealand fur seal</t>
  </si>
  <si>
    <t>Arctocephalus forsteri; Elephant fish; Stingray; Injury; Pinniped; Prey processing</t>
  </si>
  <si>
    <t>ARCTOCEPHALUS-FORSTERI; AGE; DNA; STINGRAY; GROWTH</t>
  </si>
  <si>
    <t>New Zealand fur seals Arctocephalus forsteri are the most abundant of the 4 otariid (eared seal) species distributed across Australasia. Analyses of stomach contents, scats and regurgitates suggest a diet dominated by bony fish and squid, with cartilaginous species (e.g. sharks and rays) either absent or underrepresented because of a lack of preservable hard parts. Here we report on a subadult specimen from south-eastern Australia, which was found ashore emaciated and with numerous puncture wounds across its lips, cheeks, throat and the inside of its oral cavity. Fish spines embedded in the carcass revealed that these injuries were inflicted by chimaeras and myliobatiform rays (stingrays and relatives), which matches reports on the diet of A. forsteri from New Zealand, but not South Australia. Shaking and tearing of prey at the surface may help to avoid ingestion of the venomous spines, perhaps contributing to their absence from scats and regurgitates. Nevertheless, the number and severity of the facial stab wounds, some of which led to local necrosis, likely affected the animal's ability to feed, and may account for its death. Despite their detrimental effects, fish spine-related injuries are difficult to spot, and may be a common, albeit cryptic, type of trauma. We therefore recommend that stranded seals be systematically examined for this potentially life-threatening pathology.</t>
  </si>
  <si>
    <t>[Hocking, D. P.; Marx, F. G.; Parker, W. M. G.; Rule, J. P.; Cleuren, S. G. C.; Fitzgerald, E. M. G.; Evans, A. R.] Monash Univ, Sch Biol Sci, Clayton, Vic 3800, Australia; [Hocking, D. P.; Marx, F. G.; Parker, W. M. G.; Rule, J. P.; Fitzgerald, E. M. G.; Evans, A. R.] Museums Victoria, Geosci, Melbourne, Vic 3001, Australia; [Marx, F. G.] Museum New Zealand Te Papa Tongarewa, Wellington 6011, New Zealand; [Rule, J. P.] Monash Univ, Biomed Discovery Inst, Dept Anat &amp; Dev Biol, Clayton, Vic 3800, Australia; [Mitchell, A. D.] Dept Environm Land Water &amp; Planning, Orbost, Vic 3888, Australia; [Hunter, M.] Gembrook Vet Clin, Gembrook, Vic 3783, Australia; [Bell, J. D.] Victorian Fisheries Author, Queenscliff, Vic 3225, Australia; [Bell, J. D.] Univ Tasmania, Inst Marine &amp; Antarctic Studies, Hobart, Tas 7004, Australia</t>
  </si>
  <si>
    <t>Monash University; Melbourne Genomics Health Alliance; Monash University; University of Tasmania</t>
  </si>
  <si>
    <t>Hocking, DP (corresponding author), Monash Univ, Sch Biol Sci, Clayton, Vic 3800, Australia.;Hocking, DP (corresponding author), Museums Victoria, Geosci, Melbourne, Vic 3001, Australia.</t>
  </si>
  <si>
    <t>david@dphocking.com</t>
  </si>
  <si>
    <t>Evans, Alistair/D-4239-2011; Rule, James/AAX-1860-2021; Hocking, David Philip/A-2666-2017; Marx, Felix Georg/AAI-3480-2021</t>
  </si>
  <si>
    <t>Evans, Alistair/0000-0002-4078-4693; Rule, James/0000-0001-7256-2393; Hocking, David Philip/0000-0001-6848-1208; Marx, Felix Georg/0000-0002-1029-4001; Cleuren, Silke/0000-0001-7458-8925; Parker, William/0000-0001-9289-5646</t>
  </si>
  <si>
    <t>Australian Research Council DECRA fellowship [DE190101052]; Australian Government Research Training Program; Monash Museums Victoria (Robert Blackwood) Scholarship; Monash Graduate Scholarship; Monash International Tuition Scholarship; Australian Research Council Discovery Project [DP180101797]; Australian Research Council [DE190101052] Funding Source: Australian Research Council</t>
  </si>
  <si>
    <t>Australian Research Council DECRA fellowship(Australian Research Council); Australian Government Research Training Program(Australian Government); Monash Museums Victoria (Robert Blackwood) Scholarship; Monash Graduate Scholarship(Monash University); Monash International Tuition Scholarship; Australian Research Council Discovery Project(Australian Research Council); Australian Research Council(Australian Research Council)</t>
  </si>
  <si>
    <t>We thank the Victorian Department of Environment, Land, Water and Planning for their crucial assistance in securing the specimen and information on its initial assessment; Martin Gomon for his help in identifying the fish spines; Martin Gomon, Dianne Bray, Karen Roberts, Ricky-Lee Erickson and Kevin Rowe for access to collections at Museums Victoria; Alexander McDonald, Justin Adams and Michael de Veer for CT scanning the specimen (Michael de Veer is a Fellow of the National Imaging Facility, a National Collaborative Research Infrastructure Strategy [NCRIS] capability at Monash Biomedical Imaging [MBI], which is a Technology Research Platform at Monash University); Tahlia Pollock for assistance during the dissection; Rebecca McIntosh for discussion of fur seal diet; and Vincent Antony for providing photographs of a wild Aus-tralian fur seal processing an elephant fish. F.G.M. was supported by an Australian Research Council DECRA fellowship (DE190101052). W.M.G.P. and J.P.R. were supported by an Australian Government Research Training Program Stipend and a Monash Museums Victoria (Robert Blackwood) Scholarship. S.G.C.C. was supported by a Monash Graduate Scholarship and a Monash International Tuition Scholarship. A.R.E. and D.P.H. were supported by an Australian Research Council Discovery Project (DP180101797).</t>
  </si>
  <si>
    <t>10.3354/dao03473</t>
  </si>
  <si>
    <t>MG3AE</t>
  </si>
  <si>
    <t>WOS:000545906200007</t>
  </si>
  <si>
    <t>Golubev, S</t>
  </si>
  <si>
    <t>Golubev, Sergey</t>
  </si>
  <si>
    <t>Vagrants and visitors in the avifauna of the Haswell archipelago, East Antarctica</t>
  </si>
  <si>
    <t>Antarctic; Haswell Islands; Mirny Station; birds; out-of-range individuals</t>
  </si>
  <si>
    <t>SOUTHERN GIANT PETRELS; EUDYPTES-CHRYSOLOPHUS; MIRNY STATION; ISLANDS; DISPERSAL; RECORDS; ADELIE; BIRDS; LAND</t>
  </si>
  <si>
    <t>The purpose of the work is to provide a comprehensive review of the available historical and current records of vagrant and visiting individuals sighted at the Haswell archipelago, near the Russian Antarctic station Mirny (Davis Sea, southern Indian Ocean), from 1956 to 2016. Three rare vagrant species (eight observations) were recorded: the Chinstrap Penguin (Pygoscelis antarctica), Macaroni Penguin (Eudyptes chrysolophus) and Kelp Gull (Larus dominicanus). The Southern Giant Petrel (Macronectes giganteus; ten observations) and Pomarine Jaeger (Stercorarius pomarinus; a single observation) were visitors of the archipelago. Southern Giant Petrels and all vagrant individuals are of southern origin, the Pomarine Jaeger is a Holarctic breeding species. A single vagrant (and one uncertain case) appeared in the austral spring, and another eight - in the summer. Three cases of visitors were recorded in the austral spring, and eight in the summer. Records of vagrancy and visitors cover the dynamic period of changes in ice conditions. While most vagrants and visitors were sighted only for one day, two Macaroni Penguins stayed for several days at the archipelago. The most detailed issues in this work are those related to the study of vagrancy. I evaluate the possibilities of limited existence of vagrants and visitors into groups of endemic species as well as interspecific interactions. I also discuss the physical condition of vagrant individuals and factors contributing to their survival, ponder on the origin of vagrant individuals and visitors, their association with specific populations and causes of vagrancy.</t>
  </si>
  <si>
    <t>[Golubev, Sergey] Russian Antarctic Expedit, 38 Bering St, St Petersburg 199397, Russia</t>
  </si>
  <si>
    <t>Golubev, S (corresponding author), Russian Antarctic Expedit, 38 Bering St, St Petersburg 199397, Russia.</t>
  </si>
  <si>
    <t>10.24425/ppr.2020.133010</t>
  </si>
  <si>
    <t>MG1HK</t>
  </si>
  <si>
    <t>WOS:000545783800002</t>
  </si>
  <si>
    <t>Zidarova, R; Ivanov, P; Dzhembekova, N</t>
  </si>
  <si>
    <t>Zidarova, Ralitsa; Ivanov, Plamen; Dzhembekova, Nina</t>
  </si>
  <si>
    <t>Diatom colonization and community development in Antarctic marine waters - a short-term experiment</t>
  </si>
  <si>
    <t>Antarctica; diatoms; colonization; artificial substrates; marine benthos</t>
  </si>
  <si>
    <t>KING-GEORGE-ISLAND; SOUTH SHETLAND ISLANDS; BENTHIC DIATOMS; ADMIRALTY BAY; POTTER COVE; SEA-ICE; PHYTOPLANKTON BLOOM; PERIPHYTIC DIATOMS; EPIPHYTIC DIATOMS; COASTAL WATERS</t>
  </si>
  <si>
    <t>Main aim of the study was to search for possible differences in diatom colonization and their communities under the influence of glacier meltwater inflow and when unaffected by glacier meltwater, and also to define the time needed for the development of diatom communities on newly submerged substrates at small depths in Antarctica. We used artificial substrates (Plexiglass (c) tiles), submerged at a depth of 1 m below the sea surface at two locations at the South Bay of Livingston Island: (1) Johnsons Dock - a cove, known to receive glacier meltwater with sediments, and (2) outside the cove, generally unaffected by glacial meltwater. Samples from the natural epilithon at similar depth were also taken as a reference for diatom community structure. Statistical testing the differences between the two sites was not possible this time, but the samples allowed us to compare the sites in terms of diatom growth, species richness, diversity and evenness changes in diatom communities along the time of the experiment at both sites and with the natural epilithon at similar depths. Diatom colonization followed the three-phases scheme (colonization, logarithmic growth and equilibrium) as in other latitudes. Based on the valve density and community indices e.g. species richness, diversity (1-D) and evenness (J'), we consider that at least three weeks might be necessary to obtain sufficiently representative for the environment diatom communities on new substrates at small depths in Antarctica, in conditions similar to those of South Bay. No particular differences between the sites were noted in the colonization scheme, but the diversity (1-D) and evenness (J') were higher at glacier influenced site, as well as the number of the valves on the substrates. Sea ice diatoms prevailed at the glacier influenced site. We suggest that species exchange between the sea ice and other hard substrates do exist, at least for some taxa, and such species might be indicative for variations in both salinity and water transparency, related to glacial meltwater inflow.</t>
  </si>
  <si>
    <t>[Zidarova, Ralitsa; Dzhembekova, Nina] Bulgarian Acad Sci, Dept Marine Biol &amp; Ecol, Inst Oceanol, 40 Purvi May Str, Varna 9000, Bulgaria; [Ivanov, Plamen] Bulgarian Acad Sci, Inst Biodivers &amp; Ecosyst Res, Dept Aquat Ecosyst, 2 Yurii Gagarin Str, Sofia 1113, Bulgaria</t>
  </si>
  <si>
    <t>Bulgarian Academy of Sciences; Bulgarian Academy of Sciences</t>
  </si>
  <si>
    <t>Zidarova, R (corresponding author), Bulgarian Acad Sci, Dept Marine Biol &amp; Ecol, Inst Oceanol, 40 Purvi May Str, Varna 9000, Bulgaria.</t>
  </si>
  <si>
    <t>zidarova.r@gmail.com</t>
  </si>
  <si>
    <t>Dzhembekova, Nina/HTN-3019-2023; Zidarova, Ralitsa/I-3793-2017</t>
  </si>
  <si>
    <t>Dzhembekova, Nina/0000-0001-9620-6422; Zidarova, Ralitsa/0000-0002-6451-0099</t>
  </si>
  <si>
    <t>National Center for Polar Studies (Bulgaria) [80-10-239/2018]</t>
  </si>
  <si>
    <t>National Center for Polar Studies (Bulgaria)</t>
  </si>
  <si>
    <t>The study was funded by the National Center for Polar Studies (Bulgaria) within Contract 80-10-239/2018. Logistic support was provided by the Bulgarian Antarctic Institute. Members of the 27th Bulgarian Antarctic Expedition are greatly acknowledged for their help and support during field work in the South Bay, Livingston Island, in November and December 2018. We thank Mr. Richard Hudson (issuma.com) for the extensive and constructive discussions on how-to-anchor in Antarctica, and to all reviewers of the manuscript for their valuable suggestions and comments.</t>
  </si>
  <si>
    <t>10.24425/ppr.2020.133012</t>
  </si>
  <si>
    <t>WOS:000545783800004</t>
  </si>
  <si>
    <t>Rozzi, R; Vezzani, P</t>
  </si>
  <si>
    <t>RossiLinnemann, C; DeMartini, G</t>
  </si>
  <si>
    <t>Rozzi, Ricardo; Vezzani, Paola</t>
  </si>
  <si>
    <t>Artistic activism and narratives on environment</t>
  </si>
  <si>
    <t>ART IN SCIENCE MUSEUMS: TOWARDS A POST-DISCIPLINARY APPROACH</t>
  </si>
  <si>
    <t>Routledge Research in Museum Studies</t>
  </si>
  <si>
    <t>[Rozzi, Ricardo; Vezzani, Paola] Univ Magallanes, Sub Antarctic Biocultural Conservat Program, Punta Arenas, Chile; [Rozzi, Ricardo] North Texas Univ, Denton, TX 76203 USA</t>
  </si>
  <si>
    <t>Universidad de Magallanes; University of North Texas System; University of North Texas Denton</t>
  </si>
  <si>
    <t>Rozzi, R (corresponding author), Univ Magallanes, Sub Antarctic Biocultural Conservat Program, Punta Arenas, Chile.;Rozzi, R (corresponding author), North Texas Univ, Denton, TX 76203 USA.</t>
  </si>
  <si>
    <t>Rozzi, Ricardo/G-1047-2012</t>
  </si>
  <si>
    <t>Rozzi, Ricardo/0000-0001-5265-8726</t>
  </si>
  <si>
    <t>978-0-429-49159-7; 978-1-138-58952-0</t>
  </si>
  <si>
    <t>ROUT RES MUS STUD</t>
  </si>
  <si>
    <t>Art</t>
  </si>
  <si>
    <t>BO9ZL</t>
  </si>
  <si>
    <t>WOS:000533467700016</t>
  </si>
  <si>
    <t>Brijs, J; Axelsson, M; Rosengren, M; Jutfelt, F; Gräns, A</t>
  </si>
  <si>
    <t>Brijs, Jeroen; Axelsson, Michael; Rosengren, Malin; Jutfelt, Fredrik; Grans, Albin</t>
  </si>
  <si>
    <t>Extreme blood-boosting capacity of an Antarctic fish represents an adaptation to life in a sub-zero environment</t>
  </si>
  <si>
    <t>Blood pressure; Cardiac workload; Cold adaptation; Haematocrit; Metabolism; Notothenioids</t>
  </si>
  <si>
    <t>CARDIOVASCULAR-RESPONSES; PAGOTHENIA-BORCHGREVINKI; CATECHOLAMINE RELEASE; TREMATOMUS-BERNACCHII; NOTOTHENIOID FISH; OXYGEN-TRANSPORT; AEROBIC SCOPE; STRESS; SPLEEN; VOLUME</t>
  </si>
  <si>
    <t>Blood doping, the practice of boosting the oxygen carrying capacity of blood, is an illegal strategy used by human athletes to enhance aerobic capacity and athletic performance. Interestingly, the practice of boosting blood oxygen carrying capacity is also naturally prevalent in the animal kingdom via the splenic release of stored erythrocytes. Here, we demonstrate that an Antarctic notothenioid fish, the bald notothen (Pagothenia borchgrevinki), is a master of this practice. Because of the sub-zero environment these fish inhabit, they sequester a large proportion of erythrocytes in the spleen during times of inactivity to reduce the energetic and physiological costs associated with continuously pumping highly viscous blood around the body. However, in response to metabolically demanding situations (i.e. exercise and feeding), these fish contract the spleen to eject stored erythrocytes into circulation, which boosts blood oxygen carrying capacity by up to 207% (cf. exercise-induced increases of similar to 40-60% in a range of other vertebrates and similar to 5-25% in blood-doping athletes). By evaluating cardiorespiratory differences between splenectomized (unable to release erythrocytes from the spleen) and sham-operated individuals, we demonstrate the metabolic benefits (i.e. aerobic scope increase of 103%) and the cardiovascular trade-offs (i.e. ventral aortic blood pressure and cardiac workload increase of 12% and 30%, respectively) associated with the splenic blood-boosting strategy. In conclusion, this strategy provides bald notothens with an extraordinary facultative aerobic scope that enables an active lifestyle in the extreme Antarctic marine environment, while minimizing the energetic and physiological costs of transporting highly viscous blood during times of reduced energetic demand.</t>
  </si>
  <si>
    <t>[Brijs, Jeroen; Grans, Albin] Swedish Univ Agr Sci, Dept Anim Environm &amp; Hlth, S-40530 Gothenburg, Sweden; [Axelsson, Michael] Univ Gothenburg, Dept Biol &amp; Environm Sci, S-40530 Gothenburg, Sweden; [Rosengren, Malin] Univ Gothenburg, Dept Marine Sci, S-40530 Gothenburg, Sweden; [Jutfelt, Fredrik] Norwegian Univ Sci &amp; Technol, Dept Biol, N-7491 Trondheim, Norway</t>
  </si>
  <si>
    <t>Swedish University of Agricultural Sciences; University of Gothenburg; University of Gothenburg; Norwegian University of Science &amp; Technology (NTNU)</t>
  </si>
  <si>
    <t>Brijs, J (corresponding author), Swedish Univ Agr Sci, Dept Anim Environm &amp; Hlth, S-40530 Gothenburg, Sweden.</t>
  </si>
  <si>
    <t>jeroen.brijs@slu.se</t>
  </si>
  <si>
    <t>Brijs, Jeroen/H-3714-2019; Jutfelt, Fredrik/B-6988-2014; Axelsson, Michael/D-1412-2009</t>
  </si>
  <si>
    <t>Brijs, Jeroen/0000-0002-3671-5038; Jutfelt, Fredrik/0000-0001-9838-3991; Axelsson, Michael/0000-0002-7839-3233; Grans, Albin/0000-0003-0268-1199</t>
  </si>
  <si>
    <t>National Science Foundation (NSF); Swedish Polar Research Secretariat; Goteborg University Research Platform on Integrative Physiology (GRIP); Vetenskapsradet; Helge Ax:son Johnson Stiftelse; Royal Society of Arts and Sciences in Goteborg (Kungliga Vetenskaps och Vitterhets-Samhallet); Stiftelserna Wilhelm och Martina Lundgrens</t>
  </si>
  <si>
    <t>National Science Foundation (NSF)(National Science Foundation (NSF)); Swedish Polar Research Secretariat; Goteborg University Research Platform on Integrative Physiology (GRIP); Vetenskapsradet(Swedish Research Council); Helge Ax:son Johnson Stiftelse; Royal Society of Arts and Sciences in Goteborg (Kungliga Vetenskaps och Vitterhets-Samhallet); Stiftelserna Wilhelm och Martina Lundgrens</t>
  </si>
  <si>
    <t>This study was supported by the National Science Foundation (NSF) in collaboration with the Swedish Polar Research Secretariat, Goteborg University Research Platform on Integrative Physiology (GRIP), the Vetenskapsradet, the Helge Ax:son Johnson Stiftelse, the Royal Society of Arts and Sciences in Goteborg (Kungliga Vetenskaps och Vitterhets-Samhallet) and Stiftelserna Wilhelm och Martina Lundgrens.</t>
  </si>
  <si>
    <t>jeb218164</t>
  </si>
  <si>
    <t>10.1242/jeb.218164</t>
  </si>
  <si>
    <t>WOS:000541780500021</t>
  </si>
  <si>
    <t>Post, AL; Lavoie, C; Domack, EW; Leventer, A; Fernandez, R</t>
  </si>
  <si>
    <t>Harris, PT; Baker, E</t>
  </si>
  <si>
    <t>Post, Alexandra L.; Lavoie, Caroline; Domack, Eugene W.; Leventer, Amy; Fernandez, Rodrigo</t>
  </si>
  <si>
    <t>Shipboard Sci Party</t>
  </si>
  <si>
    <t>Dropstones on a glaciated continental shelf as key habitat, Sabrina Shelf, East Antarctica</t>
  </si>
  <si>
    <t>SEAFLOOR GEOMORPHOLOGY AS BENTHIC HABITAT: GEOHAB ATLAS OF SEAFLOOR GEOMORPHIC FEATURES AND BENTHIC HABITATS, 2ND EDITION</t>
  </si>
  <si>
    <t>Benthic habitat; biodiversity; continental shelf; hard substrate; epifauna; colonization</t>
  </si>
  <si>
    <t>PALEO-ICE STREAM; PINE ISLAND BAY; SUBGLACIAL BEDFORMS; SEA; MORPHOLOGY; EVOLUTION; FACIES; SHEET; LAND</t>
  </si>
  <si>
    <t>Glaciated margins on the Antarctic continental shelf comprise a mixture of substrate types, with areas of hard bedrock exposed by glacial erosion, glacial diamict deposits comprising mixed clasts, and dropstones deposited during ice sheet retreat and iceberg melt. Soft sediments accumulate in deeply eroded glacial troughs and depressions. Seabed substrates clearly delineate benthic habitats on the Sabrina Coast shelf, with significant increases in taxa diversity, abundance, and biological cover observed on hard substrates such as dropstones and areas of exposed bedrock, compared to soft substrates. Some taxa, including the hexactinellid sponge Anoxycalyx joubini, branching hydrocorals, several gorgonians, and colonial ascidians, were found only in areas of hard substrates. The largely random distribution of dropstones across glaciated shelves creates fine-scale habitat heterogeneity that is important not only for the distribution of the seafloor biota, but also for their dispersal.</t>
  </si>
  <si>
    <t>[Post, Alexandra L.] Geosci Australia, Canberra, ACT, Australia; [Lavoie, Caroline] Univ Aveiro, Dept Geosci, CESAM, Aveiro, Portugal; [Domack, Eugene W.] Univ S Florida, Coll Marine Sci, St Petersburg, FL USA; [Leventer, Amy] Colgate Univ, Dept Geol, New York, NY USA; [Fernandez, Rodrigo] Univ Texas Austin, Inst Geophys, Jackson Sch Geosci, Austin, TX USA</t>
  </si>
  <si>
    <t>Geoscience Australia; Universidade de Aveiro; State University System of Florida; University of South Florida; Colgate University; University of Texas System; University of Texas Austin</t>
  </si>
  <si>
    <t>Post, AL (corresponding author), Geosci Australia, Canberra, ACT, Australia.</t>
  </si>
  <si>
    <t>Fernandez, Rodrigo/GRF-1350-2022; Fernandez, Rodrigo/ABC-8361-2020</t>
  </si>
  <si>
    <t>Leventer, Amy/0000-0001-9401-0987</t>
  </si>
  <si>
    <t>NSF Office of Polar Programs [ANT-1143834, 1143836, 1143837, 1143843, 1313826]; Directorate For Geosciences; Office of Polar Programs (OPP) [1143843, 1143836] Funding Source: National Science Foundation; Office of Polar Programs (OPP); Directorate For Geosciences [1143834, 1143837, 1313826] Funding Source: National Science Foundation</t>
  </si>
  <si>
    <t>NSF Office of Polar Programs(National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</si>
  <si>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Our thanks to the captain, crew, and Shipboard Science Party from the Nathaniel B. Palmer voyage NPB 1402. A special thanks to the ASC staff, including Barry Bjork and Sheldon Blackman, for their technical assistance in setting up and repairing the yoyo camera. We thank Rachel Downey (Senckenberg Research Institute), Rachel Przeslawski (Geoscience Australia), and Andrew Carroll (Geoscience Australia) for assistance with biological identifications. This project was supported by NSF Office of Polar Programs grants ANT-1143834, 1143836, 1143837, 1143843, and 1313826. ALP publishes with the permission of the Chief Executive Officer, Geoscience Australia.</t>
  </si>
  <si>
    <t>978-0-12-814961-4; 978-0-12-814960-7</t>
  </si>
  <si>
    <t>10.1016/B978-0-12-814960-7.00038-5</t>
  </si>
  <si>
    <t>10.1016/C2017-0-02139-0</t>
  </si>
  <si>
    <t>BP1MY</t>
  </si>
  <si>
    <t>WOS:000540371300040</t>
  </si>
  <si>
    <t>Watson, SJ; Lucieer, V; Whittaker, J; Fox, JM; Hill, N; Coffin, MF</t>
  </si>
  <si>
    <t>Watson, Sally J.; Lucieer, Vanessa; Whittaker, Joanne; Fox, Jodi M.; Hill, Nicole; Coffin, Millard F.</t>
  </si>
  <si>
    <t>Submarine sedimentary bedforms and benthos surrounding the Heard and McDonald Islands World Heritage site</t>
  </si>
  <si>
    <t>Sedimentary bedforms; sub-Antarctic; glacial retreat; invertebrate communities; shallow marine; World Heritage site</t>
  </si>
  <si>
    <t>LAST GLACIAL MAXIMUM; SOUTHERN-OCEAN</t>
  </si>
  <si>
    <t>We present highlights of the first multibeam and bottom sampling survey surrounding the UNESCO World Heritage listed Heard and McDonald Islands (HIMI), conducted in the HIMI Marine Reserve Inner Marine Zone. These insular shelf data reveal that persistent eastward flowing currents and retreating glaciers drive patterns of sediment distribution. Sedimentary bedform directionality, corroborated by drifter data, suggest that the prevailing energy in this region dominates from west to east, and is deflected in an anticlockwise direction around Heard Island, causing sediment deposition to be concentrated on the eastern (down-current) side of the islands. Sediment bedform morphology likely mirrors the eastward flowing Antarctic Circumpolar Current and oscillating east-west tidal currents. Thick sediment accumulations north of Heard Island may be related to deglaciation since the Last Glacial Maximum. Sample sites on the northern down-current side of Heard Islands and on the western up-current side of the McDonald Islands contain a diverse range of taxonomic groups compared to all other sample sites. Benthic specimens obtained in rock dredges and sediment grabs show a range of invertebrate species that are likely endemic to the HIMI region.</t>
  </si>
  <si>
    <t>[Watson, Sally J.] Natl Inst Water &amp; Atmospher Res NIWA, Wellington, New Zealand; [Watson, Sally J.; Lucieer, Vanessa; Whittaker, Joanne; Fox, Jodi M.; Hill, Nicole; Coffin, Millard F.] Univ Tasmania, Inst Marine &amp; Antarctic Studies IMAS, Hobart, Tas, Australia; [Fox, Jodi M.] Univ Tasmania, Sch Nat Sci, Hobart, Tas, Australia; [Fox, Jodi M.] Univ Tasmania, CODES, Hobart, Tas, Australia; [Coffin, Millard F.] Univ Maine, Sch Earth &amp; Climate Sci, Orono, ME USA; [Coffin, Millard F.] Woods Hole Oceanog Inst, Dept Geol &amp; Geophys, Barnstable, MA USA</t>
  </si>
  <si>
    <t>National Institute of Water &amp; Atmospheric Research (NIWA) - New Zealand; University of Tasmania; University of Tasmania; University of Tasmania; University of Maine System; University of Maine Orono</t>
  </si>
  <si>
    <t>Watson, SJ (corresponding author), Natl Inst Water &amp; Atmospher Res NIWA, Wellington, New Zealand.;Watson, SJ (corresponding author), Univ Tasmania, Inst Marine &amp; Antarctic Studies IMAS, Hobart, Tas, Australia.</t>
  </si>
  <si>
    <t>Fox, Jodi/0000-0003-2493-6623; Whittaker, Joanne/0000-0002-3170-3935</t>
  </si>
  <si>
    <t>Australia's Marine National Facility (MNF); Australian Antarctic Science Program grant [4338]</t>
  </si>
  <si>
    <t>Australia's Marine National Facility (MNF); Australian Antarctic Science Program grant</t>
  </si>
  <si>
    <t>We thank Australia's Marine National Facility (MNF) for its support in the form of sea time on R/V Investigator, support personnel, scientific equipment, and data management. All data and samples acquired on the voyage are made publicly available in accordance with MNF Policy. We are especially grateful to Charles Tambiah from the Australian National University (ANU) for providing photographic images of benthic biological specimens, and to Kirrily Moore from the Tasmanian Museum and Art Gallery (TMAG) for her expertise in identifying biota. We thank Rebecca Carey from UTAS CODES for sediment processing advice. Thank you to Justy Siwabessy from Geoscience Australia for his valuable guidance and assistance with acoustic backscatter processing. We acknowledge the support of Australian Antarctic Science Program grant 4338.</t>
  </si>
  <si>
    <t>10.1016/B978-0-12-814960-7.00042-7</t>
  </si>
  <si>
    <t>WOS:000540371300044</t>
  </si>
  <si>
    <t>Smith, J; Post, AL; O'Brien, PE; Riddle, MJ</t>
  </si>
  <si>
    <t>Smith, J.; Post, Alexandra L.; O'Brien, P. E.; Riddle, M. J.</t>
  </si>
  <si>
    <t>New evidence to support the distribution of dense hydrocoral-sponge communities along George V slope, East Antarctica</t>
  </si>
  <si>
    <t>Bottom water; hydrocorals; vulnerable marine ecosystem; submarine canyons; continental slope</t>
  </si>
  <si>
    <t>MERTZ GLACIER POLYNYA; WILKES LAND MARGIN; CONTINENTAL-SHELF; STRATIGRAPHIC EVIDENCE; WATER PRODUCTION; ICE; ADELIE; BEHAVIOR; RECORD</t>
  </si>
  <si>
    <t>Shelf-incising canyons on the upper continental slope are important conduits for the export of dense, organic-rich shelf waters from the East Antarctic margin. This interaction of geomorphic features and oceanography plays an important role in controlling benthic community composition in this environment. Dense hydrocoral-sponge communities have been identified at new sites within a shelf-incising canyon on the upper continental slope (430-640 m) off George V Land, East Antarctica, adjacent to sites previously identified and declared Vulnerable Marine Ecosystems by the Commission for the Conservation of Antarctic Marine Living Resources. Sparse hydrocoral communities were also found at several sites along the continental slope receiving dense shelf waters. These findings provide further evidence of hydrocoral communities along the George V Land slope and support previous hypotheses regarding the importance of Antarctic Bottom Water export from the shelf providing an abundant food source for the benthos within shelf-incising canyons.</t>
  </si>
  <si>
    <t>[Smith, J.; Post, Alexandra L.] Geosci Australia, Canberra, ACT, Australia; [O'Brien, P. E.] Macquarie Univ, Sydney, NSW, Australia; [Riddle, M. J.] Australian Antarctic Div, Hobart, Tas, Australia</t>
  </si>
  <si>
    <t>Geoscience Australia; Macquarie University; Australian Antarctic Division</t>
  </si>
  <si>
    <t>Smith, J (corresponding author), Geosci Australia, Canberra, ACT, Australia.</t>
  </si>
  <si>
    <t>10.1016/B978-0-12-814960-7.00053-1</t>
  </si>
  <si>
    <t>WOS:000540371300055</t>
  </si>
  <si>
    <t>Trathan, PN; Grant, SM</t>
  </si>
  <si>
    <t>Humphreys, J; Clark, RWE</t>
  </si>
  <si>
    <t>Trathan, P. N.; Grant, S. M.</t>
  </si>
  <si>
    <t>The South Orkney Islands Southern Shelf Marine Protected Area: towards the establishment of marine spatial protection within international waters in the Southern</t>
  </si>
  <si>
    <t>MARINE PROTECTED AREAS: SCIENCE, POLICY AND MANAGEMENT</t>
  </si>
  <si>
    <t>Albatrosses and petrels; Antarctic krill fishery; Benthic ecology; Bioregionalisation; Demersal fisheries; Pelagic ecology; Pygoscelis penguins; Systematic conservation planning; Weddell front</t>
  </si>
  <si>
    <t>WEDDELL SEA; ANTARCTIC PENINSULA; PENGUIN POPULATIONS; BOUNDARY REGION; CLIMATE-CHANGE; FIN WHALES; KRILL; OCEAN; VARIABILITY; CIRCULATION</t>
  </si>
  <si>
    <t>The South Orkney Islands Southern Shelf Marine Protected Area (SOI SS MPA) was the first MPA established in international waters anywhere in the World Ocean and as such was a landmark conservation achievement. Here, we consider how the Commission for the Conservation of Antarctic Marine Living Resources (CCAMLR) overcame historical over-exploitation to implement a precautionary ecosystem-based management framework that continues to evolve over time. We describe the background to the designation of the SOI SS MPA, in the context of CCAMLR's ambition to implement a system of spatial protection that will provide a comprehensive, adequate and representative network of MPAs that will contribute to the long-term ecological viability of marine systems, maintain ecological processes, and protect Antarctic marine biodiversity at all levels. We highlight the bioregionalisation and systematic conservation planning approaches used by CCAMLR and describe how CCAMLR has now adopted a formalised process for designating MPAs to ensure that common principles and practices are in place across the CAMLR Convention Area. We discuss how continued designation of further MPAs is now falling short of the initial ambition. Only two MPAs have been agreed, while three others are under active consideration, but with little progress towards designation. The SOI SS MPA was the first to be implemented by CCAMLR, it helped shape the MPA debate during its earliest stages by providing concrete examples of planning approaches, data requirements and steps towards designation. It was a catalyst that helped shape and form the general framework for further MPA development. The SOI SS MPA was the first to offer a draft research and monitoring plan, and to report on MPA research activities during review. The SOI SS MPA remains part of a process that has not yet reached its final conclusion.</t>
  </si>
  <si>
    <t>[Trathan, P. N.; Grant, S. M.] British Antarctic Survey, Nat Environm Res Council, Cambridge, England</t>
  </si>
  <si>
    <t>Trathan, PN (corresponding author), British Antarctic Survey, Nat Environm Res Council, Cambridge, England.</t>
  </si>
  <si>
    <t>978-0-08-102699-1; 978-0-08-102698-4</t>
  </si>
  <si>
    <t>10.1016/B978-0-08-102698-4.00004-6</t>
  </si>
  <si>
    <t>10.1016/C2017-0-02525-9</t>
  </si>
  <si>
    <t>Biodiversity Conservation; Environmental Studies; Water Resources</t>
  </si>
  <si>
    <t>Biodiversity &amp; Conservation; Environmental Sciences &amp; Ecology; Water Resources</t>
  </si>
  <si>
    <t>BP1WN</t>
  </si>
  <si>
    <t>WOS:000540900300006</t>
  </si>
  <si>
    <t>Pipo, ML; Iglesias, A; Bodnar, J</t>
  </si>
  <si>
    <t>Pipo, M. Laura; Iglesias, Ari; Bodnar, Josefina</t>
  </si>
  <si>
    <t>A new vesselless angiosperm stem with a cambial variant from the Upper Cretaceous of Antarctica</t>
  </si>
  <si>
    <t>ACTA PALAEONTOLOGICA POLONICA</t>
  </si>
  <si>
    <t>Angiospermae; Chloranthales; Chloranthaceae; cambial variant; Campanian; Antarctica; James Ross Island</t>
  </si>
  <si>
    <t>JAMES-ROSS-ISLAND; SANTA-MARTA FORMATION; LACHMAN CRAGS MEMBER; PALEOENVIRONMENTAL CHANGES; REPRODUCTIVE STRUCTURES; PERMINERALIZED STEMS; MARAMBIO GROUP; FOSSIL WOODS; LARSEN BASIN; 1ST RECORD</t>
  </si>
  <si>
    <t>We sectioned a permineralized stem preserved in marine calcareous concretions from the Campanian (Upper Cretaceous) of James Ross Island, Antarctic Peninsula using the cellulose-acetate peel technique. The material is a slender stem displaying a combination of characters such as: (i) absence of vessels and axial parenchyma, (ii) presence of a cambial variant which produces axial vascular elements in segments (AVES pattern), and (iii) elongated upright ray cells. This character combination allows us to assign this fossil to family Chloranthaceue and to relate it to an extant genus Satrcrndra. Consequently we describe Sarcandraxylon sanjosense gen. et sp. nov., representing the first vegetative fossil of Chloranthaceae-a basal angiosperm family with a fossil record extending back into the Early Cretaceous and dominated by pollen grains and a limited number of reproductive mesofossils. Besides doubtfully assigned leaves, there are no reported Cretaceous macrofossils of Chloranthaceae, which hinders our understanding of the overall pattern of morphological evolution for the family. The new fossil constitutes the first fossil occurrence of the Sarcandra Glade in high latitudes of Western Gondwana. The particular wood anatomy and small diameter suggest a new plant habit (subshrub) for the physiognomy of the Cretaceous Antarctic floras.</t>
  </si>
  <si>
    <t>[Pipo, M. Laura; Iglesias, Ari] CONICET UNCOMA, Inst Invest Biodiversidad &amp; Medioambiente INIBIOM, Quintral 1250, RA-8400 San Carlos De Bariloche, Rio Negro, Argentina; [Bodnar, Josefina] Univ Nacl La Plata, CONICET, Fac Ciencias Nat &amp; Museo, Div Paleobot, Paseo Bosque S-N,B1900FWA, La Plata, Buenos Aires, Argentina</t>
  </si>
  <si>
    <t>Universidad Nacional del Comahue; Consejo Nacional de Investigaciones Cientificas y Tecnicas (CONICET); National University of La Plata; Museo La Plata; Consejo Nacional de Investigaciones Cientificas y Tecnicas (CONICET)</t>
  </si>
  <si>
    <t>Pipo, ML (corresponding author), CONICET UNCOMA, Inst Invest Biodiversidad &amp; Medioambiente INIBIOM, Quintral 1250, RA-8400 San Carlos De Bariloche, Rio Negro, Argentina.</t>
  </si>
  <si>
    <t>laurapipo2@gmail.com; ari_iglesias@yahoo.com; jbodnar@fcnym.unlp.edu.ar</t>
  </si>
  <si>
    <t>CONICET; [PICTO-2010-0093]</t>
  </si>
  <si>
    <t>CONICET(Consejo Nacional de Investigaciones Cientificas y Tecnicas (CONICET));</t>
  </si>
  <si>
    <t>We would like to thank Instituto Antartico Argentino (IAA) and Fuerza Aerea Argentina for logistic in the Antarctic expedition. To Marcelo A. Reguero, Jose O ' Gorman, Marta Fernandez, Juan J. Moly (all Universidad Nacional de La Plata, La Plata, Argentina), and Rodolfo Coria (Museo Carmen Funes, Plaza Huincul, Argentina) for field assistance. We thank Eduardo Lucio (Museo de Piedras de El Bolson, El Bolson, Argentina) for the use of rock sectioning lab; the INIBIOMA sede Salmonicultura for the use of fluorescence microscopy, and Paula Troyon and Manuel Corte from the Servicio de Microscopia y Rayos X (Centro Atomico Bariloche, San Carlos de Bariloche, Argentina) for SEM imaging. We are grateful to Brian A. Atkinson (Kansas University, Lawrence, Kansas, USA) for the early review and comments on the manuscript. We also would like to thank Nathan Jud (William Jewell College, Liberty, MO, USA) and an anonymous reviewer for their comments that improved the manuscript. Research was founded by grant PICTO-2010-0093 to Marcelo A. Reguero, and CONICET Ph.D. grant to MLP.</t>
  </si>
  <si>
    <t>INST PALEOBIOLOGII PAN</t>
  </si>
  <si>
    <t>UL TWARDA 51/55, 00-818 WARSAW, POLAND</t>
  </si>
  <si>
    <t>0567-7920</t>
  </si>
  <si>
    <t>1732-2421</t>
  </si>
  <si>
    <t>ACTA PALAEONTOL POL</t>
  </si>
  <si>
    <t>Acta Palaeontol. Pol.</t>
  </si>
  <si>
    <t>10.4202/app.00697.2019</t>
  </si>
  <si>
    <t>LW3FR</t>
  </si>
  <si>
    <t>WOS:000539030100004</t>
  </si>
  <si>
    <t>Wilcox, PS; Fowell, SJ; Baichtal, JF</t>
  </si>
  <si>
    <t>Wilcox, Paul S.; Fowell, Sarah J.; Baichtal, James F.</t>
  </si>
  <si>
    <t>A mild Younger Dryas recorded in southeastern Alaska</t>
  </si>
  <si>
    <t>Late glacial; paleoclimate; paleoecology; North Pacific</t>
  </si>
  <si>
    <t>VEGETATION HISTORY; HOLOCENE CLIMATE; BRITISH-COLUMBIA; NORTH-ATLANTIC; ICE-SHEET; PACIFIC; ISLAND; POLLEN; LAKE; SPELEOTHEM</t>
  </si>
  <si>
    <t>Palynological and sedimentological analyses of lacustrine cores from Baker Island, located in southeastern Alaska's Alexander Archipelago, indicate that the beginning of the Younger Dryas chronozone, between approximately 12,900 cal yr BP and approximately 12,600 cal yr BP, was cooler and drier than modern conditions, based on decreases in the percentages of Pinus (pine) and Tsuga mertensiana (mountain hemlock) pollen accompanied by increases in Alnus (alder) pollen and fern spores. This initial cool period, lasting only 300 years, was relatively mild compared to the North Atlantic region, with an estimated temperature reduction of approximately 2 degrees C from modern. Further, there is no sedimentological evidence of glaciation within the lake basin during this time interval. A subsequent increase in the percentages of Pinus and Picea cf. sitchensis (Sitka spruce) indicates that conditions ameliorated during the latter portion of the YD, between approximately 12,600 cal yr BP and approximately 11,700 cal yr BP.</t>
  </si>
  <si>
    <t>[Wilcox, Paul S.; Fowell, Sarah J.] Univ Alaska Fairbanks, Dept Geosci, Fairbanks, AK USA; [Wilcox, Paul S.] Univ Innsbruck, Inst Geol, 52 Innrain, A-6020 Innsbruck, Austria; [Baichtal, James F.] US Forest Serv, Dept Geol, Tongass Natl Forest, Thorne Bay, AK USA</t>
  </si>
  <si>
    <t>University of Alaska System; University of Alaska Fairbanks; University of Innsbruck; United States Department of Agriculture (USDA); United States Forest Service</t>
  </si>
  <si>
    <t>Wilcox, PS (corresponding author), Univ Innsbruck, Inst Geol, 52 Innrain, A-6020 Innsbruck, Austria.</t>
  </si>
  <si>
    <t>paul.wilcox@uibk.ac.at</t>
  </si>
  <si>
    <t>Wilcox, Paul/0000-0003-4190-237X</t>
  </si>
  <si>
    <t>National Geographic Society Committee for Research and Exploration [9541-14]; David and Rachel Hopkins Fellowship</t>
  </si>
  <si>
    <t>National Geographic Society Committee for Research and Exploration(National Geographic Society); David and Rachel Hopkins Fellowship</t>
  </si>
  <si>
    <t>This work was supported by grant 9541-14 from the National Geographic Society Committee for Research and Exploration and by the David and Rachel Hopkins Fellowship, administered by the Alaska Quaternary Center at the University of Alaska Fairbanks.</t>
  </si>
  <si>
    <t>10.1080/15230430.2020.1760504</t>
  </si>
  <si>
    <t>LW6SG</t>
  </si>
  <si>
    <t>WOS:000539273300001</t>
  </si>
  <si>
    <t>Heglasová, I; Nezhybová, V; Prikrylová, I</t>
  </si>
  <si>
    <t>Heglasova, I.; Nezhybova, V.; Prikrylova, I.</t>
  </si>
  <si>
    <t>An amended description of two Gyrodactylus species (Platyhelminthes: Monogenea) parasitizing Antarctic Notothenioid fish</t>
  </si>
  <si>
    <t>Antarctica; ITS rDNA; morphology; Notothenia; phylogeny; Trematomus</t>
  </si>
  <si>
    <t>PHYLOGENETIC ANALYSIS; HOST-SPECIFICITY; HIGH DIVERSITY; NILOTICUS L.; VON NORDMANN; CICHLIDAE; TELEOSTEI; INFERENCE; ALIGNMENT; BIOLOGY</t>
  </si>
  <si>
    <t>Species identification based on the morphometry of opisthaptoral hard parts, in combination with internal transcribed spacer ribosomal DNA (ITS rDNA) region sequences, confirmed the presence of four viviparous Gyrodactylus von Nordman, 1832 (Plathyhelminthes, Monogenea) species on Nototheniid fish from the Prince Gustav Channel (Weddell Sea, Antarctica). Gyrodactylus antarcticus Gusev, 1967 was found mostly on Trematomus newnesi Boulenger (93 specimens) but also on T. bernacchii Boulenger (one specimen), the latter representing a new host record for this species. Gyrodactylus byrdi Hargis &amp; Dillon, 1968 and G. coriicepsi Rokicka, Lumme &amp; Zietara, 2009 were recorded on their type hosts, T. newnesi and Notothenia coriiceps Richardson, respectively. Gyrodactylus wilkesi Hargis &amp; Dillon, 1968 was found mostly on the fins of T. bernacchii (29 specimens), but also on T. hansoni Boulenger (one specimen) and T. newnesi (three specimens). The finding of G. wilkesi on T. newnesi represents a new host record. The low number of Gyrodactylus specimens may indicate an accidental infection. The occurence of all four Gyrodactylus species in the Prince Gustav Channel represents a new locality record. According to phylogentic methods, the newly redescribed monogeneans belong to the Antarctic lineage, forming a sister group to North American and European marine Gyrodactylus species, and consist of two species groups, one comprising G. coriicepsi and G. nudifronsi Rokicka, Lumme &amp; Zietara, 2009, and the other G. anarcticus and G. wilkesi.</t>
  </si>
  <si>
    <t>[Heglasova, I.] Comenius Univ, Dept Zool, Fac Sci, Bratislava, Slovakia; [Heglasova, I.] Slovak Acad Sci, Inst Parasitol, Kosice, Slovakia; [Nezhybova, V.] Acad Sci Czech Republ, Inst Vertebrate Biol, Brno, Czech Republic; [Nezhybova, V.; Prikrylova, I.] Masaryk Univ, Dept Bot &amp; Zool, Fac Sci, Brno, Czech Republic; [Prikrylova, I.] North West Univ, Water Res Grp, Unit Environm Sci &amp; Dev, Potchefstroom, South Africa; [Prikrylova, I.] Univ Limpopo, Sch Mol &amp; Life Sci, Dept Biodivers, Sovenga, South Africa</t>
  </si>
  <si>
    <t>Comenius University Bratislava; Slovak Academy of Sciences; Czech Academy of Sciences; Institute of Vertebrate Biology of the Czech Academy of Sciences; Masaryk University Brno; North West University - South Africa; University of Limpopo</t>
  </si>
  <si>
    <t>Prikrylová, I (corresponding author), Masaryk Univ, Dept Bot &amp; Zool, Fac Sci, Brno, Czech Republic.;Prikrylová, I (corresponding author), North West Univ, Water Res Grp, Unit Environm Sci &amp; Dev, Potchefstroom, South Africa.;Prikrylová, I (corresponding author), Univ Limpopo, Sch Mol &amp; Life Sci, Dept Biodivers, Sovenga, South Africa.</t>
  </si>
  <si>
    <t>ivaprik@sci.muni.cz</t>
  </si>
  <si>
    <t>Prikrylova, Iva/0000-0003-4761-8943</t>
  </si>
  <si>
    <t>Czech Science Foundation [P505/12/G112]</t>
  </si>
  <si>
    <t>Czech Science Foundation(Grant Agency of the Czech Republic)</t>
  </si>
  <si>
    <t>Iva Prikrylova and processing of the material were supported by the Czech Science Foundation (Project No. P505/12/G112). We are grateful to the staff of the Czech J. G. Mendel Antarctic Station (James Ross Island; 2013 and 2014 Antarctic expeditions) for their help and support. We also thank Dr Pavel Jurajda for help in collecting the fish. This is contribution number 269 from the NWU-Water Research Group.</t>
  </si>
  <si>
    <t>e20</t>
  </si>
  <si>
    <t>10.1017/S0022149X18001098</t>
  </si>
  <si>
    <t>LV5IU</t>
  </si>
  <si>
    <t>WOS:000538469400001</t>
  </si>
  <si>
    <t>Arzyutov, DV</t>
  </si>
  <si>
    <t>Arzyutov, Dmitry V.</t>
  </si>
  <si>
    <t>AMERICAN DREAMS OF EARLY SOVIET ETHNOGRAPHY: SOME REFLECTIONS ON BOGORAS'S LEGACY</t>
  </si>
  <si>
    <t>AB IMPERIO-STUDIES OF NEW IMPERIAL HISTORY AND NATIONALISM IN THE POST-SOVIET SPACE</t>
  </si>
  <si>
    <t>Dmitry Arzyutov discusses a phenomenon that he defines as American dreams of Russian ethnography in the early twentieth century based on the example of Waldemar Bogoras, one of the founders of early Soviet ethnography. The essay highlights three specific cases that frame the development of this discipline not through the familiar narrative of gradual isolation but as a story of sometimes problematic contacts and exchanges with American anthropologists. The contacts that were established during the joint Jesup North Pacific Expedition (1897-1902) led by Franz Boas continued into the 1920s. Arzyutov shows that the main concepts of Soviet ethnography, such as ethnogenesis and ethnic history, were products of the debates about the origin of the peoples of Arctica and Siberia between Franz Boas and the Russian expedition participants, Bogoras and, to a lesser degree, Lev Shternberg. The second case addresses Bogoras's unrealized project of establishing nature reserves-cum-reservations for the native peoples of Siberia. These were to combine the prerevolutionary idea of nature reserves (popular among Bogoras's geographer colleagues) with the North American practice of Indian reservations. Finally, the third case compares trajectories of the two students of Bogoras and Boas, Julia Averkieva and Archie Phinney. Their stories show how Marxism might have been differently understood and deployed in the transnational context, and how this difference could have generated intellectual and personal disagreements and conflicting versions of identity politics. The three cases taken together testify to the importance of shifting the optics of the history of anthropology from reconstructing national traditions and local genealogies toward tracing dialogue and mutual borrowings.</t>
  </si>
  <si>
    <t>[Arzyutov, Dmitry V.] KTH Royal Inst Technol, Sci Hist, Stockholm, Sweden; [Arzyutov, Dmitry V.] KTH Royal Inst Technol, Stockholm, Sweden</t>
  </si>
  <si>
    <t>Royal Institute of Technology; Royal Institute of Technology</t>
  </si>
  <si>
    <t>Arzyutov, DV (corresponding author), KTH Royal Inst Technol, Sci Hist, Stockholm, Sweden.;Arzyutov, DV (corresponding author), KTH Royal Inst Technol, Stockholm, Sweden.</t>
  </si>
  <si>
    <t>darzyutov@gmail.com</t>
  </si>
  <si>
    <t>Arzyutov, Dmitry/0000-0003-3782-9296</t>
  </si>
  <si>
    <t>ERC project Greening the Poles: Science, the Environment; Creation of the Modern Arctic and Antarctic (GRETPOL); Franz Boas Papers project</t>
  </si>
  <si>
    <t>This work would not have been possible without the support of the ERC project Greening the Poles: Science, the Environment, and the Creation of the Modern Arctic and Antarctic (GRETPOL) led by Peder Roberts. Archival research of holdings of the American Philosophical Society has been supported by The Franz Boas Papers project led by Regna Darnell.</t>
  </si>
  <si>
    <t>AB IMPERIO INC</t>
  </si>
  <si>
    <t>AMHERST</t>
  </si>
  <si>
    <t>116 GLENDALE RD, AMHERST, MA, UNITED STATES</t>
  </si>
  <si>
    <t>2166-4072</t>
  </si>
  <si>
    <t>2164-9731</t>
  </si>
  <si>
    <t>AB IMP</t>
  </si>
  <si>
    <t>Ab Imp.</t>
  </si>
  <si>
    <t>10.1353/imp.2020.0001</t>
  </si>
  <si>
    <t>LU8ND</t>
  </si>
  <si>
    <t>WOS:000538004600005</t>
  </si>
  <si>
    <t>Bashkirov, MB; Antonova, ME</t>
  </si>
  <si>
    <t>Bashkirov, Mikhail B.; Antonova, Marina E.</t>
  </si>
  <si>
    <t>FRANCE IN THE ARCTIC: IN SEARCH OF PLACES UNDER THE SUN</t>
  </si>
  <si>
    <t>SRAVNITELNAYA POLITIKA-COMPARATIVE POLITICS</t>
  </si>
  <si>
    <t>Arctic; Arctic Council; France; Segolene Royal; Michel Rocard</t>
  </si>
  <si>
    <t>The Arctic is not the traditional priority of the French foreign policy, but in recent decades the Arctic has become a firm part of country's national interests. Political experience gained in the Antarctic region gives France grounds to consider itself as a polar nation and claim the status of an Arctic actor. The key message of the national Arctic strategy The Great Challenge of the Arctic: national roadmap for the Arctic of 2016 is an identification of forms of the collaborative governance, that can be appealing for the international community. The closest partner for France in this direction is the European Union. Scenarios of Arctic governance, proposed by non-regional players, are often unacceptable for most Members of the Arctic Council. Presently, it is challenging for France to find new forms of cooperation in the region: France is not among the primary partners for the Arctic states, except for the activities of transnational corporations. Efforts to turn the subarctic archipelago Saint-Pierre et Miquelon into a springboard for France's possible expansion in the Arctic is an unlikely event. Environmental topics play a crucial role in French politics in the circumpolar region. The global nature of environmental issues, especially climate change, is emphasised both in official documents and in statements of the highest authorities of the Fifth Republic. In the near future, under Emmanuel Macron's leadership, France intends to become a world leader in the fight against global warming. In addition, France's new polar ambassador Segolene Royal has a vast experience in solving environmental problems and enjoys considerable authority in this field.</t>
  </si>
  <si>
    <t>[Bashkirov, Mikhail B.] North Eastern Fed Univ, Dept Int Studies, Yakutsk, Russia; [Antonova, Marina E.] Univ Versaille St Quentit En Yvelines, Versailles, France</t>
  </si>
  <si>
    <t>North-Eastern Federal University in Yakutsk</t>
  </si>
  <si>
    <t>Bashkirov, MB (corresponding author), North Eastern Fed Univ, Dept Int Studies, Yakutsk, Russia.</t>
  </si>
  <si>
    <t>bashkiroffm@gmail.com; akayuki@mail.ru</t>
  </si>
  <si>
    <t>Bashkirov, Mikhail/AAP-8711-2020; Antonova, Marina/HLW-5282-2023</t>
  </si>
  <si>
    <t>PUBLISHING HOUSE JURIST</t>
  </si>
  <si>
    <t>26-55, BLDG 7 KOSMODAMIANSKAYA EMB, MOSCOW, 115035, RUSSIA</t>
  </si>
  <si>
    <t>2221-3279</t>
  </si>
  <si>
    <t>2412-4990</t>
  </si>
  <si>
    <t>SRAVN POLIT</t>
  </si>
  <si>
    <t>Sravn. Polit.</t>
  </si>
  <si>
    <t>10.24411/2221-3279-2020-10041</t>
  </si>
  <si>
    <t>Political Science</t>
  </si>
  <si>
    <t>LU8PZ</t>
  </si>
  <si>
    <t>WOS:000538012100010</t>
  </si>
  <si>
    <t>Pavlov, MS; Lira, F; Martinez, JL; Olivares-Pacheco, J; Marshall, SH</t>
  </si>
  <si>
    <t>Pavlov, Maria S.; Lira, Felipe; Martinez, Jose Luis; Olivares-Pacheco, Jorge; Marshall, Sergio H.</t>
  </si>
  <si>
    <t>Pseudomonas fildesensis sp. nov., a psychrotolerant bacterium isolated from Antarctic soil of King George Island, South Shetland Islands</t>
  </si>
  <si>
    <t>pseudomonas; Antarctic bacteria; Pseudomonas fildesensis; psychrotolerant bacterium; King George Island</t>
  </si>
  <si>
    <t>PSYCHROTROPHIC BACTERIUM; IDENTIFICATION; STANDARD</t>
  </si>
  <si>
    <t>The strain KG01(T) was isolated from a soil sample from King George Island, Antarctica. Cells of KG01(T) are rod-shaped and motile by means of multiple polar flagella. The absence of arginine dihydrolase activity could be a key feature to readily distinguish KG01(T) from its closest phylogenetic relative species. The main fatty acids of the strain include summed feature 3 (C-16:1 omega 7c and/or C-15:0 iso 2-OH), C-16:0 and C-18:1 omega 7c. Phylogenetic analysis based on the 16S rRNA gene sequence and on a multilocus sequence analysis (MLSA) using housekeeping genes (16S rRNA, rpoB, rpoD, gyrB) were carried out. These analyses allowed us to include the strain within the Pseudomonas fluorescens group, presenting the highest similarity of multilocus sequence with Pseudomonas veronii LMG 17761(T) (96.67%). The genome of KG01(T) was sequenced and in silico compared with genomes of the most closely related species of the P. fluorescens group. The average nucleotide identity (ANIb) and average amino acid identity (AAI) values of the species phylogenetically closest to KG01(T) were less than 95-96%, threshold currently accepted to define strain as belonging to a bacterial species, the highest scores being those to Pseudomonas veronii LMG 17761(T) (87.98%) and Pseudomonas marginalis ICMP 3553(T) (91.90%). Therefore, the phenotypic and genotypic analyses results, allow us to propose that KG01(T) represents a member of a novel species of the genus Pseudomonas, for which the name Pseudomonas fildesensis is proposed, and KG01(T) (=CECT 9084(T);=DSM 102036(T)) is established as the type strain.</t>
  </si>
  <si>
    <t>[Pavlov, Maria S.; Olivares-Pacheco, Jorge; Marshall, Sergio H.] Pontificia Univ Catolica Valparaiso, Inst Biol, Lab Genet &amp; Inmunol Mol, Ave Univ 330, Valparaiso, Chile; [Lira, Felipe] Univ Angers, Agrocampus Ouest, INRA, IRHS,SFR 4207,QuaSaV, F-49071 Beaucouze, France; [Martinez, Jose Luis] CSIC, CNB, Ctr Nacl Biotecnol, Darwin 3,Campus Cantoblanco, Madrid, Spain; [Olivares-Pacheco, Jorge] Millennium Initiat Collaborat Res Bacterial Resis, Santiago, Chile</t>
  </si>
  <si>
    <t>Pontificia Universidad Catolica de Valparaiso; Institut Agro; Agrocampus Ouest; Universite d'Angers; INRAE; Consejo Superior de Investigaciones Cientificas (CSIC); CSIC - Centro Nacional de Biotecnologia (CNB)</t>
  </si>
  <si>
    <t>Olivares-Pacheco, J; Marshall, SH (corresponding author), Pontificia Univ Catolica Valparaiso, Inst Biol, Lab Genet &amp; Inmunol Mol, Ave Univ 330, Valparaiso, Chile.;Olivares-Pacheco, J (corresponding author), Millennium Initiat Collaborat Res Bacterial Resis, Santiago, Chile.</t>
  </si>
  <si>
    <t>jorge.olivares@pucv.cl; sergio.marshall@pucv.cl</t>
  </si>
  <si>
    <t>Martinez, Jose L/A-4725-2013; Pacheco, Jorge Olivares/M-7714-2017</t>
  </si>
  <si>
    <t>Martinez, Jose L/0000-0001-8813-7607; Pacheco, Jorge Olivares/0000-0002-6841-7182</t>
  </si>
  <si>
    <t>Instituto Antartico Chileno (INACH) [DT_02-13]; CONICYT; Universidad Tecnica Federico Santa Maria; Centro Nacional de Biotecnologia - Madrid, Spain</t>
  </si>
  <si>
    <t>Instituto Antartico Chileno (INACH); CONICYT(Comision Nacional de Investigacion Cientifica y Tecnologica (CONICYT)); Universidad Tecnica Federico Santa Maria; Centro Nacional de Biotecnologia - Madrid, Spain</t>
  </si>
  <si>
    <t>This study was supported by the Instituto Antartico Chileno (INACH) project DT_02-13. Genome sequencing of the strain KG01 was conducted by the Genomic Department of Parque Cientifico de Madrid sponsored by Dr. Jose Luis Martinez (Centro Nacional de Biotecnologia - Madrid, Spain). M.S. Pavlov was the recipient of a doctoral fellowship from CONICYT and a personal financial fellowship from the Universidad Tecnica Federico Santa Maria.</t>
  </si>
  <si>
    <t>10.1099/ijsem.0.004165</t>
  </si>
  <si>
    <t>LT9NI</t>
  </si>
  <si>
    <t>WOS:000537392000038</t>
  </si>
  <si>
    <t>Terekhov, AV; Tarasov, GV; Sidorova, OR; Demidov, VE; Anisimov, MA; Verkulich, SR</t>
  </si>
  <si>
    <t>Terekhov, A., V; Tarasov, G., V; Sidorova, O. R.; Demidov, V. E.; Anisimov, M. A.; Verkulich, S. R.</t>
  </si>
  <si>
    <t>Estimation of mass balance of Aldegondabreen (Spitsbergen) in 2015-2018 based on ArcticDEM, geodetic and glaciological measurements</t>
  </si>
  <si>
    <t>Arctic; ArcticDEM model; digital elevation model; glacier mass balance; Svalbard</t>
  </si>
  <si>
    <t>GLACIERS</t>
  </si>
  <si>
    <t>The Aldegonda (Aldegondabreen) Glacier, located on the Nordenskjold Land, West Spitsbergen, covers the area of about 6 km(2) (in 2018) and does constantly retreat since the very first observations of 1936. In August 2018, a topographic survey of the glacier was carried out. By comparing the results with the ArcticDEM model, built from space images of 2015, the difference in heights of the surface over three years had been calculated. Comparison of this difference with in situ data of glaciological measurements by the ablation stakes, made during the same period 2015-2018, demonstrated a high correlation between them. Considering the almost complete absence of snow cover on the glacier at the end of the summer season, the difference was recalculated into the spatial distribution of the specific mass balance by multiplying the ice density (0.88 g cm(-3)). Using the empirical dependence of the specific mass balance on the altitude above sea level, the obtained values were extrapolated to that part of the glacier which was not surveyed in 2018. The total loss of the Aldegonda Clacier mass for 2015-2018, calculated on the basis of topographic survey and the ArcticDEM, was estimated as 30.3 million tons (about 10.1 million tons per year). This magnitude gives the value of mean annual specific balance of approximately -1.76 m w.e, which is almost 2.5 times larger modulo than the previously published mean for the period 1936-1990, but close to the values of the early 2000s. Despite the small difference in the values obtained by geodetic and glaciological methods, the measurements does not show a systematic shift relative to each other and demonstrate approximately the same intervals of specific balance from the glacier tongue to its upper reaches (-1.08 divided by -3.01 m w.e). This makes possible to conclude that the ArcticDEM model has the satisfactory vertical accuracy (both relative and absolute) to study on its basis changes in the surface height of an individual glacier.</t>
  </si>
  <si>
    <t>[Terekhov, A., V; Tarasov, G., V; Sidorova, O. R.; Demidov, V. E.; Anisimov, M. A.; Verkulich, S. R.] Arctic &amp; Antarctic Res Inst, St Petersburg, Russia</t>
  </si>
  <si>
    <t>Terekhov, AV (corresponding author), Arctic &amp; Antarctic Res Inst, St Petersburg, Russia.</t>
  </si>
  <si>
    <t>antonvterekhov@gmail.com</t>
  </si>
  <si>
    <t>Terekhov, Anton/S-1329-2016; Sidorova, Olga/ABH-1841-2020</t>
  </si>
  <si>
    <t>National Science Foundation [1043681, 1559691, 1542736]</t>
  </si>
  <si>
    <t>The authors gratefully acknowl. edge the members of expedition Spitsbergen-2018 of Russian Arctic Expedition on Svalbard department (Arctic and Antarctic Research Institute, Saint Petersburg, Russia) for helping in organizing and carrying out the field studies. ArcticDEM used in this study was created from DigitalGlobe, Inc., imagery and funded under National Science Foundation awards 1043681, 1559691, and 1542736.The cal. culations of mass balance parameters and the cartographic visualization of all the data were done using open-source QGIS and SAGA GIS.</t>
  </si>
  <si>
    <t>10.31857/S2076673420020033</t>
  </si>
  <si>
    <t>LS9VP</t>
  </si>
  <si>
    <t>WOS:000536726800004</t>
  </si>
  <si>
    <t>Kotlyakov, VM; Osokin, NI; Sosnovsky, AV</t>
  </si>
  <si>
    <t>Kotlyakov, V. M.; Osokin, N., I; Sosnovsky, A., V</t>
  </si>
  <si>
    <t>Dynamics of seasonally thawed layer on Svalbard and the Antarctic Peninsula in the XXI century according to modeling data</t>
  </si>
  <si>
    <t>Antarctica; climate change; mathematical modeling; permafrost; snow cover; Svalbard; the seasonal melt layer</t>
  </si>
  <si>
    <t>SNOW COVER</t>
  </si>
  <si>
    <t>Results of modeling of the dynamics of the seasonally thawing layer in the twenty first century made for two polar points (the Svalbard Archipelago and the Antarctic Peninsula) are discussed in the paper. The loss of thermal stability of a permafrost is usually associated with the formation of non-merging layer that transforms then into a talik. This occurs when the seasonal thaw layer is not fully frozen due to a rise in air temperature and an increase in the snow cover thickness. Climate change (warming) causes an increase in the thickness of the seasonal thaw layer. From 2001 to 2018, the rise of summer air temperature at the Barentsburg weather station was about 0.05 degrees C/year, while in winter -0.21 degrees C/year, and at the Bellingshausen weather station (Antarctic) in the summer period a slight cooling was observed. On the island of West Svalbard in 1968-2000, the average daily summer and winter air temperatures were equal to +3.74 and -9.9 degrees C, respectively, while in 2001-2018 these values were significantly higher, especially in winter: +4.83 and -7.12 degrees C, respectively. On the Antarctic Peninsula, similar values were equal to: +1.03 and -4.05 degrees C (1968-2000) and +0.83 and -3.60 degrees C (2001-2018). Calculations for the conditions of the Bellingshausen weather station did show that if the snow cover thickness exceeded 0.72 m (the average climatic value) but the average values of other parameters were not changed, formation of the non-merging permafrost became possible. With regard for a possible dynamics of the air temperature, the non-merging permafrost may be frozen through at the snow cover thickness lower 0.9 m. According to calculations for the conditions of the West Svalbard Island, it follows that when the snow cover thickness exceeds 1.5 m on the ground with its humidity higher 25% and the absence of moss cover, incomplete freezing of the seasonal thaw layer and the formation of non-merging permafrost becomes possible even at present time. Using data on rates of the air temperature rise and the regional model of the climate change, we show that at the soil moisture of 18% (it corresponds to measured values of air humidity) and the snow cover thickness of 1.5 m formation of a layer of non-merging permafrost may take place in 12 years, while at the thickness of 1 m - in 24 years.</t>
  </si>
  <si>
    <t>[Kotlyakov, V. M.; Osokin, N., I; Sosnovsky, A., V] Russian Acad Sci, Inst Geog, Moscow, Russia</t>
  </si>
  <si>
    <t>Institute of Geography, Russian Academy of Sciences; Russian Academy of Sciences</t>
  </si>
  <si>
    <t>Sosnovsky, AV (corresponding author), Russian Acad Sci, Inst Geog, Moscow, Russia.</t>
  </si>
  <si>
    <t>alexandr_sosnovskiy@mail.ru</t>
  </si>
  <si>
    <t>Osokin, Nikolay I/J-2028-2014; Sosnovskiy, Alexandr/JXB-6959-2024</t>
  </si>
  <si>
    <t>Russian Foundation for Basic Research (RFBR) [17-55-80107 BRICS_a]; RFBR [18-05-60067]; Russian Scientific Center on Spitsbergen (RSCS); [0148-2019-0004]</t>
  </si>
  <si>
    <t>Russian Foundation for Basic Research (RFBR)(Russian Foundation for Basic Research (RFBR)); RFBR(Russian Foundation for Basic Research (RFBR)); Russian Scientific Center on Spitsbergen (RSCS);</t>
  </si>
  <si>
    <t>The mathematical modeling carried out according to the framework of fundamental scientific studies within the project reg. No 0148-2019-0004, processing and analysis of experimental data carried out according to the Russian Foundation for Basic Research (RFBR) 17-55-80107 BRICS_a project; numerical experiments and their analysis support. ed by the RFBR, grant N. 18-05-60067; field studies on Svalbard conducted with financial support from the state assignment and logistical assistance of the Russian Scientific Center on Spitsbergen (RSCS).</t>
  </si>
  <si>
    <t>10.31857/S2076673420020034</t>
  </si>
  <si>
    <t>WOS:000536726800005</t>
  </si>
  <si>
    <t>Hospitaleche, CA; Picasso, MJB</t>
  </si>
  <si>
    <t>Hospitaleche, Carolina Acosta; Picasso, Mariana J. B.</t>
  </si>
  <si>
    <t>Textural ageing in Pygoscelis antarctica (Aves, Sphenisciformes): a new comparative scale for penguin bones</t>
  </si>
  <si>
    <t>VERTEBRATE ZOOLOGY</t>
  </si>
  <si>
    <t>Spheniscidae; seabirds; Antarctica; comparative textures; post-natal ontogeny</t>
  </si>
  <si>
    <t>ONTOGENY; OSSIFICATION; SKELETON; GROWTH</t>
  </si>
  <si>
    <t>Textural ageing is a technique that recognizes the bone texture as a clear indicator of the post-natal ontogenetic stages in birds. Although it was only tested in a few groups of birds, the results obtained in the pioneer works were widely applied. Though convinced of the effectiveness of this technique, we also believe that given the variability that exists between birds, its application should be done using a reliable comparative scale. In this contribution, a post-natal ontogenetic series for Pygoscelis antarctica was built to analyze the textural ageing in penguins. We used the same descriptive terms to characterize each texture as in previous contributions, to make the scales comparable to each other. The variations were standardized, and a new comparative scale for penguins was proposed.</t>
  </si>
  <si>
    <t>[Hospitaleche, Carolina Acosta; Picasso, Mariana J. B.] Univ Nacl La Plata, CONICET, Div Paleontol Vertebrados, Fac Ciencias Nat &amp; Museo,Museo La Plata, Paseo Bosque S-N B1900FWA, La Plata, Argentina</t>
  </si>
  <si>
    <t>Consejo Nacional de Investigaciones Cientificas y Tecnicas (CONICET); National University of La Plata; Museo La Plata</t>
  </si>
  <si>
    <t>Hospitaleche, CA (corresponding author), Univ Nacl La Plata, CONICET, Div Paleontol Vertebrados, Fac Ciencias Nat &amp; Museo,Museo La Plata, Paseo Bosque S-N B1900FWA, La Plata, Argentina.</t>
  </si>
  <si>
    <t>acostacaro@fcnym.unlp.edu.ar</t>
  </si>
  <si>
    <t>Direccion Nacional del Antartico; Instituto Antartico Argentino; Oceanwide Expeditions, Vlissingen (NL)</t>
  </si>
  <si>
    <t>Materials were collected during Antarctic field trips funded by Direccion Nacional del Antartico and the Instituto Antartico Argentino, and logistic support in the field was provided by Fuerza Aerea Argentina. Mercedes Santos and Mariana Juarez collected the bodies in the breeding colonies, and Marcela Libertelli kindly provided information about the reproductive cycle in the said colonies. Partial help was provided by the Consejo Nacional de Investigaciones Cientificas y Tecnologicas and Universidad Nacional de La Plata (N838). CAH is particularly grateful to Oceanwide Expeditions, Vlissingen (NL) for the financial support.</t>
  </si>
  <si>
    <t>STAATLICHES MUSEUM TIERKUNDE DRESDEN</t>
  </si>
  <si>
    <t>DRESDEN</t>
  </si>
  <si>
    <t>KOENIGSBRUECKER LANDSTRASSE 159, DRESDEN, 00000, GERMANY</t>
  </si>
  <si>
    <t>1864-5755</t>
  </si>
  <si>
    <t>VERTEBR ZOOL</t>
  </si>
  <si>
    <t>Vertebr. Zool.</t>
  </si>
  <si>
    <t>10.26049/VZ70-2-2020-03</t>
  </si>
  <si>
    <t>LS6SD</t>
  </si>
  <si>
    <t>WOS:000536511000003</t>
  </si>
  <si>
    <t>Li, H; Wang, ZM; Cui, XB; Guo, JX; Li, L; Sun, B</t>
  </si>
  <si>
    <t>Li, Hang; Wang, Zemin; Cui, Xiangbin; Guo, Jingxue; Li, Lin; Sun, Bo</t>
  </si>
  <si>
    <t>The effect of the second-order ionospheric term on GPS positioning in Antarctica</t>
  </si>
  <si>
    <t>Ionosphere; second-order ionospheric term; GPS positioning; Antarctica</t>
  </si>
  <si>
    <t>ICE VELOCITIES; GLACIER; PLATE</t>
  </si>
  <si>
    <t>Global Positioning System (GPS) signals are delayed when passing through the ionosphere due to an ionospheric refraction effect. The ionospheric-free linear combination of GPS signals can eliminate most of the error caused by the first-order ionospheric term. However, the influence of higher-order ionospheric terms remains, and it should be accounted for when conducting high-precision geodetic applications. In this study, we use data from twenty-one GPS continuous operating stations from different observing networks distributed in Antarctica and analyze the effect of the second-order ionospheric term on GPS positioning during the whole year for 2012. Results show that the effect on these stations is at the level of submillimeters to millimeters, and the effect in summer is several times higher than it is in winter. In addition, this effect is found to be positively correlated to the change of the total electron content over the Antarctic continent. On the other hand, all of the stations show the southward and upward movements derived from the effect. The common and seasonal displacement trends displayed in the Antarctic region should not be ignored in future high-precision research or applications but should be brought to attention, especially when total electron content in the ionosphere is high.</t>
  </si>
  <si>
    <t>[Li, Hang; Cui, Xiangbin; Guo, Jingxue; Li, Lin; Sun, Bo] Polar Res Inst China, Polar Glaciol Div, Shanghai, Peoples R China; [Li, Hang; Wang, Zemin] Wuhan Univ, Chinese Antarctic Ctr Surveying &amp; Mapping, 129 Luoyu Rd, Wuhan 430070, Peoples R China</t>
  </si>
  <si>
    <t>Polar Research Institute of China; Wuhan University</t>
  </si>
  <si>
    <t>Wang, ZM (corresponding author), Wuhan Univ, Chinese Antarctic Ctr Surveying &amp; Mapping, 129 Luoyu Rd, Wuhan 430070, Peoples R China.</t>
  </si>
  <si>
    <t>zmwang@whu.edu.cn</t>
  </si>
  <si>
    <t>ZeMin, Wang/AAU-3422-2020; sun, bo/JFA-9978-2023</t>
  </si>
  <si>
    <t>Li, Hang/0000-0001-7458-0608</t>
  </si>
  <si>
    <t>National Natural Science Foundation of China [41730102, 41941005, 41776195, 41776186]</t>
  </si>
  <si>
    <t>This study was supported by the National Natural Science Foundation of China (Nos. 41730102, 41941005, 41776195, and 41776186).</t>
  </si>
  <si>
    <t>10.1080/15230430.2020.1742062</t>
  </si>
  <si>
    <t>LS7PU</t>
  </si>
  <si>
    <t>WOS:000536574100001</t>
  </si>
  <si>
    <t>Shi, PH; Duan, K; Nicholson, KN; Han, BS; Klaus, N; Yang, JH</t>
  </si>
  <si>
    <t>Shi, Peihong; Duan, Keqin; Nicholson, Kirsten N.; Han, Bangshui; Klaus, Neumann; Yang, Junhua</t>
  </si>
  <si>
    <t>Modeling past and future variation of glaciers in the Dongkemadi Ice Field on central Tibetan Plateau from 1989 to 2050</t>
  </si>
  <si>
    <t>Dongkemadi Ice Field; temperature index model; glacier mass balance; climate change; volume-area scaling method</t>
  </si>
  <si>
    <t>CURRENT CLIMATE-CHANGE; SURFACE MASS-BALANCE; REGIONAL CLIMATE; ENERGY-BALANCE; GLOBAL CLIMATE; CHINA; TEMPERATURE; MOUNTAIN; VOLUME; RUNOFF</t>
  </si>
  <si>
    <t>Glacier mass balance change is among the best indicators of glacier response to climate change. Due to its inaccessibility and limited observation, little is known about the change to the Dongkemadi Ice Field (DIF) in the Tanggula Mountains located in the source region of the Yangtze River in central Tibetan Plateau. Here, an enhanced temperature index-based glacier model considering glacier area change was applied to study the temporal-spatial variation in mass balance on the DIF from 1989 to 2012 and to assess its response to climate change. The model was forced by reconstructed temperature and precipitation from adjacent national meteorological stations and validated by comparing with field observations from the Xiao Dongkemadi Glacier (XDG). Results show that the simulated mass balance is in good agreement with the observations (R-2 = 0.75, p &lt; .001), and the model can reasonably reproduce well the glacier mass change. Then the model was applied to twenty individual glaciers in DIF and forced by the high-resolution regional climate model (RegCM3) from 2013 to 2050 to project their further variation. In the future, the mass balance of glaciers in DIF shows a continuously negative trend with a linear rate of -0.16 m water equivalent (w.e.) a(-1) in representative concentration pathway (RCP) 4.5 and -0.35 m w.e. a(-1) in RCP 8.5. Most of the glaciers' equilibrium line altitudes (ELAs) will reach or exceed their maximum elevation after the 2030s. By coupling a modified volume-area scaling method with the mass balance model, results showed that areas of the individual glaciers in DIF will lose about 12.10 to 30.66 percent under RCP4.5 and 14.06 to 38.76 percent under RCP8.5, and the volume of the DIF will lose about 1.18 km(3) in RCP4.5 and 1.44 km(3) in RCP8.5 by the end of 2050. In addition, the terminuses of glaciers experienced the largest percentage losses and most of the glaciers' front position will reach similar to 5,520 m a.s.l. in RCP 4.5 and 5,570 m a.s.l. in RCP 8.5, the latter of which is nearly close to the DIF average ELA in 1989. The clearly increasing summer air temperature may be the main reason for glacier shrinkage in the DIF. If the warming trend continues, glaciers in DIF may further retreat with continued glacial melt or even mostly disappear by the end of the century.</t>
  </si>
  <si>
    <t>[Shi, Peihong; Duan, Keqin] Shaanxi Normal Univ, Sch Geog &amp; Tourism, Xian, Peoples R China; [Shi, Peihong; Nicholson, Kirsten N.; Han, Bangshui; Klaus, Neumann] Ball State Univ, Dept Environm Geol &amp; Nat Resources, Muncie, IN 47306 USA; [Yang, Junhua] Chinese Acad Sci, Northwest Inst Ecoenvironm &amp; Resources, State Key Lab Cryospher Sci, Lanzhou, Peoples R China</t>
  </si>
  <si>
    <t>Shaanxi Normal University; Ball State University; Chinese Academy of Sciences</t>
  </si>
  <si>
    <t>Shi, PH (corresponding author), Shaanxi Normal Univ, 620 West Changan Ave, Xian 710119, Peoples R China.</t>
  </si>
  <si>
    <t>shiph09@hotmail.com</t>
  </si>
  <si>
    <t>Han, Bangshuai/K-7216-2013</t>
  </si>
  <si>
    <t>Han, Bangshuai/0000-0003-4510-9993; Neumann, Klaus/0000-0003-2514-9365; Shi, Peihong/0000-0003-2031-2370</t>
  </si>
  <si>
    <t>China Postdoctoral Science Foundation [2017M610622, 2017BSHEDZZ18]; Natural Science Foundation of Shaanxi Province, China [2018JM4008]; National Natural Science Foundation of China [41571062, 41771030]; Fundamental Research Funds for the Central Universities of Shaanxi Normal University [GK201703051, GK201803047]</t>
  </si>
  <si>
    <t>China Postdoctoral Science Foundation(China Postdoctoral Science Foundation); Natural Science Foundation of Shaanxi Province, China(Natural Science Foundation of Shaanxi Province); National Natural Science Foundation of China(National Natural Science Foundation of China (NSFC)); Fundamental Research Funds for the Central Universities of Shaanxi Normal University</t>
  </si>
  <si>
    <t>This research is supported by the China Postdoctoral Science Foundation (Nos. 2017M610622, 2017BSHEDZZ18), the Natural Science Foundation of Shaanxi Province, China (No. 2018JM4008), National Natural Science Foundation of China (Nos. 41571062, 41771030), and Fundamental Research Funds for the Central Universities of Shaanxi Normal University (Nos. GK201703051 and GK201803047).</t>
  </si>
  <si>
    <t>10.1080/15230430.2020.1743157</t>
  </si>
  <si>
    <t>LR8UV</t>
  </si>
  <si>
    <t>WOS:000535973000001</t>
  </si>
  <si>
    <t>Wauthy, M; Rautio, M</t>
  </si>
  <si>
    <t>Wauthy, Maxime; Rautio, Milla</t>
  </si>
  <si>
    <t>Emergence of steeply stratified permafrost thaw ponds changes zooplankton ecology in subarctic freshwaters</t>
  </si>
  <si>
    <t>Thaw ponds; zooplankton; stratification; hypoxia; top-down predation; phytoplankton</t>
  </si>
  <si>
    <t>VERTICAL-DISTRIBUTION; ROTIFER POPULATIONS; THERMOKARST PONDS; NORTHERN QUEBEC; ORGANIC-MATTER; LAKES; DAPHNIA; COMMUNITIES; DYNAMICS; PEATLAND</t>
  </si>
  <si>
    <t>Climate change and associated permafrost thaw are creating new shallow waterbodies in vast regions of the circumpolar Arctic. These thaw ponds are characterized by high concentrations of colored dissolved organic matter originating from the degrading watershed, inducing a strong vertical thermal and oxygen (O-2) stratification. We investigated the zooplankton community and biomass in eight subarctic thaw ponds and evaluated how zooplankton respond to this stratification. In a subset of three ponds, we further examined how other environmental variables, including essential fatty acids (EFA) concentration and phytoplankton, bacteria, and larval phantom midge Chaoborus biomass stratify and contribute to the vertical distribution of zooplankton in this increasingly common type of arctic freshwater system. The zooplankton community was extremely abundant in all ponds (up to 3,548 ind L-1) and dominated mainly by rotifers (35-93 percent of the biomass). Most zooplankton aggregated at the interface between the shallow well-oxygenated mixed surface layer and the deeper hypoxic but algal-rich stratified layer, and their distribution was affected by a combination of O-2, Chaoborus, phytoplankton, and EFA that were supplied from opposite directions. Our findings show how water column stratification deeply affects the ecology of planktonic organisms in circumpolar freshwaters and indicate Arctic zooplankton species composition is expected to deeply change with the ongoing warming and browning.</t>
  </si>
  <si>
    <t>[Wauthy, Maxime; Rautio, Milla] Univ Quebec Chicoutimi, Dept Sci Fondamentales, Saguenay, PQ, Canada; [Wauthy, Maxime; Rautio, Milla] Univ Laval, Ctr Northern Studies CEN, Quebec City, PQ, Canada; [Rautio, Milla] Univ Montreal, Grp Interuniv Res Limnol &amp; Aquat Environm GRIL, Montreal, PQ, Canada</t>
  </si>
  <si>
    <t>University of Quebec; University of Quebec Chicoutimi; Laval University; Universite de Montreal</t>
  </si>
  <si>
    <t>Wauthy, M (corresponding author), Univ Quebec Chicoutimi, 555 Blvd Univ, Saguenay, PQ G7H 2B1, Canada.</t>
  </si>
  <si>
    <t>maximewauthy@hotmail.com</t>
  </si>
  <si>
    <t>Wauthy, Maxime/0000-0002-7768-7133; Rautio, Milla/0000-0002-2375-9082</t>
  </si>
  <si>
    <t>Canada Research Chairs Program [950-217323]; Natural Sciences and Engineering Research Council of Canada; Canada Foundation for Innovation; Network of Centres of Excellence ArcticNet; Centre for Northern Studies (CEN); Ministere de l'Education et de l'Enseignement Superieur du Quebec [193772]</t>
  </si>
  <si>
    <t>Canada Research Chairs Program(Canada Research Chairs); Natural Sciences and Engineering Research Council of Canada(Natural Sciences and Engineering Research Council of Canada (NSERC)CGIAR); Canada Foundation for Innovation(Canada Foundation for InnovationCGIARSpanish Government); Network of Centres of Excellence ArcticNet; Centre for Northern Studies (CEN); Ministere de l'Education et de l'Enseignement Superieur du Quebec</t>
  </si>
  <si>
    <t>Funding was provided by the Canada Research Chairs Program (Grant 950-217323), the Natural Sciences and Engineering Research Council of Canada, the Canada Foundation for Innovation, the Network of Centres of Excellence ArcticNet and the Centre for Northern Studies (CEN). The Ph.D. grant of Maxime Wauthy was also partly supported by the Merit Scholarship Program for Foreign Students from the Ministere de l'Education et de l'Enseignement Superieur du Quebec (Grant 193772).</t>
  </si>
  <si>
    <t>10.1080/15230430.2020.1753412</t>
  </si>
  <si>
    <t>LP5PG</t>
  </si>
  <si>
    <t>WOS:000534369100001</t>
  </si>
  <si>
    <t>Wacker, L; Baroni, M; Mekhaldi, F; Miyake, F; Oinonen, M</t>
  </si>
  <si>
    <t>Miyake, F; Usoskin, I; Poluianov, S</t>
  </si>
  <si>
    <t>Wacker, L.; Baroni, M.; Mekhaldi, F.; Miyake, F.; Oinonen, M.</t>
  </si>
  <si>
    <t>Measurements of Radionuclides</t>
  </si>
  <si>
    <t>EXTREME SOLAR PARTICLE STORMS: THE HOSTILE SUN</t>
  </si>
  <si>
    <t>AAS-IOP Astronomy</t>
  </si>
  <si>
    <t>AGE CALIBRATION CURVES; ICE CORE; SOLAR-ACTIVITY; DOME-FUJI; BE-10 CONCENTRATIONS; CL-36 MEASUREMENTS; ISOTOPE-DILUTION; ANTARCTIC ICE; BERYLLIUM 10; TREE-RINGS</t>
  </si>
  <si>
    <t>[Wacker, L.] Swiss Fed Inst Technol, Lab Ion Beam Phys, Zurich, Switzerland; [Baroni, M.] Aix Marseille Univ, Coll France, CEREGE, CNRS,IRD,INRA, Technopole Arbois, Aix En Provence, France; [Mekhaldi, F.] Lund Univ, Dept Geol Quaternary Sci, Lund, Sweden; [Miyake, F.] Nagoya Univ, Inst Space Earth Environm Res ISEE, Nagoya, Aichi, Japan; [Oinonen, M.] Univ Helsinki, Finnish Museum Nat Hist, Lab Chronol, Helsinki, Finland</t>
  </si>
  <si>
    <t>Swiss Federal Institutes of Technology Domain; ETH Zurich; Institut de Recherche pour le Developpement (IRD); Aix-Marseille Universite; INRAE; Centre National de la Recherche Scientifique (CNRS); Universite PSL; College de France; Lund University; Nagoya University; University of Helsinki</t>
  </si>
  <si>
    <t>Wacker, L (corresponding author), Swiss Fed Inst Technol, Lab Ion Beam Phys, Zurich, Switzerland.</t>
  </si>
  <si>
    <t>Mekhaldi, Florian/AAA-3301-2022; Mekhaldi, Florian/IZD-7414-2023; Miyake, Fusa/HLP-9694-2023</t>
  </si>
  <si>
    <t>Miyake, Fusa/0000-0001-8002-9601; Oinonen, Markku/0000-0002-0881-7643</t>
  </si>
  <si>
    <t>2515-141X</t>
  </si>
  <si>
    <t>2514-3433</t>
  </si>
  <si>
    <t>978-0-7503-2232-4; 978-0-7503-2230-0</t>
  </si>
  <si>
    <t>AAS-IOP ASTRO</t>
  </si>
  <si>
    <t>10.1088/2514-3433/ab404ach5</t>
  </si>
  <si>
    <t>10.1088/2514-3433/ab404a</t>
  </si>
  <si>
    <t>BO9CM</t>
  </si>
  <si>
    <t>WOS:000530695800006</t>
  </si>
  <si>
    <t>Tshering, D; Dendup, T; Miller, HA; Hill, AF; Wilson, AM</t>
  </si>
  <si>
    <t>Tshering, Dendup; Dendup, Tshewang; Miller, Holly A.; Hill, Alice F.; Wilson, Alana M.</t>
  </si>
  <si>
    <t>Seasonal source water and flow path insights from a year of sampling in the Chamkhar Chhu basin of Central Bhutan</t>
  </si>
  <si>
    <t>Stable isotopes; Brahmaputra headwaters; two-component hydrograph separation; groundwater; glacier outflow; Eastern Himalaya</t>
  </si>
  <si>
    <t>CLIMATE-CHANGE; HYDROLOGICAL REGIME; STABLE ISOTOPES; SNOW COVER; MODEL; VARIABILITY; STREAMFLOW; CATCHMENT; MELTWATER; DYNAMICS</t>
  </si>
  <si>
    <t>Hydrologic processes that control river flow in Bhutan's Chamkhar Chhu basin are important for understanding water supply vulnerability to downstream populations in a changing climate. Seasonal source waters and flow paths of streamflow of the basin were determined using isotopic and geochemical tracers for water year 2016. Samples including surface water, groundwater, glacier meltwater, and precipitation were collected in premonsoon, monsoon, and postmonsoon seasons along an elevation transect from 2,538 to 5,158 m. Solute trends in surface waters demonstrate the major influence that tributaries can have on main stem hydrochemistry and the increasingly important role of groundwater below 3,500 m. Groundwater's role in flow is supported by a two-component hydrograph separation using SO42- as a tracer and shows that groundwater is especially important to river flow in the premonsoon. Source waters to river flow were calculated using delta O-18 as a tracer, indicating that rain and meltwater are more evenly important across the elevation transect in the early monsoon period than in the postmonsoon period when ice melt contributions rapidly wane with distance from the glacier.</t>
  </si>
  <si>
    <t>[Tshering, Dendup; Dendup, Tshewang] Royal Univ Bhutan, Sherubtse Coll, Ctr Sci &amp; Environm Res, Kanglung 42002, Bhutan; [Tshering, Dendup] Royal Univ Bhutan, Sherubtse Coll, Dept Environm &amp; Life Sci, Kanglung, Bhutan; [Dendup, Tshewang] Royal Univ Bhutan, Sherubtse Coll, Dept Phys Sci, Kanglung, Bhutan; [Miller, Holly A.; Hill, Alice F.; Wilson, Alana M.] Univ Colorado, Boulder, CO 80309 USA; [Miller, Holly A.; Hill, Alice F.; Wilson, Alana M.] Natl Snow &amp; Ice Data Ctr, Boulder, CO USA; [Hill, Alice F.; Wilson, Alana M.] Univ Colorado, Cooperat Inst Res Environm Sci, Boulder, CO 80309 USA</t>
  </si>
  <si>
    <t>University of Colorado System; University of Colorado Boulder; University of Colorado System; University of Colorado Boulder</t>
  </si>
  <si>
    <t>Dendup, T (corresponding author), Royal Univ Bhutan, Sherubtse Coll, Ctr Sci &amp; Environm Res, Kanglung 42002, Bhutan.</t>
  </si>
  <si>
    <t>tshewang.sherubtse@rub.edu.bt</t>
  </si>
  <si>
    <t>Wilson, Alana M./0000-0002-6629-9872; Hill, Alice/0000-0003-4089-5147; Dendup, Tshewang/0000-0001-8079-4952; Tshering, Dendup/0000-0001-6128-9539; Miller, Holly/0000-0002-7461-1256</t>
  </si>
  <si>
    <t>CHARIS (Contribution to High Asian Runoff from Ice and Snow) research project; United States Agency for International Development (USAID) [AID-OAA-A-1100045]</t>
  </si>
  <si>
    <t>CHARIS (Contribution to High Asian Runoff from Ice and Snow) research project; United States Agency for International Development (USAID)(United States Agency for International Development (USAID))</t>
  </si>
  <si>
    <t>This work is funded in part by the CHARIS (Contribution to High Asian Runoff from Ice and Snow) research project led by the University of Colorado and supported by the United States Agency for International Development (USAID) Cooperative Agreement AID-OAA-A-1100045.</t>
  </si>
  <si>
    <t>10.1080/15230430.2020.1743148</t>
  </si>
  <si>
    <t>LO4YU</t>
  </si>
  <si>
    <t>WOS:000533636000001</t>
  </si>
  <si>
    <t>Bilish, SP; Callow, JN; McGowan, HA</t>
  </si>
  <si>
    <t>Bilish, Shane P.; Callow, J. Nikolaus; McGowan, Hamish A.</t>
  </si>
  <si>
    <t>Streamflow variability and the role of snowmelt in a marginal snow environment</t>
  </si>
  <si>
    <t>Australian Alps; marginal snowpack; snowmelt; streamflow</t>
  </si>
  <si>
    <t>CLIMATE-CHANGE; GAUGE NETWORK; PRECIPITATION; MOUNTAINS; COVER; AUSTRALIA; RUNOFF; WATER; FLOW; CLASSIFICATION</t>
  </si>
  <si>
    <t>Snowmelt in alpine regions supports hydroelectric power generation, water supply, and agricultural production. These regions are warming, and the impact on streamflow of changes in precipitation and the proportion falling as snow is of interest. We investigate the seasonality and interannual variability of streamflow in the Australian Alps, a key location due to the marginal snowpack with winter air temperatures close to 0 degrees C, and focus on a small subalpine catchment with properties representative of an important part of the broader snow-affected region. Streamflow was highly responsive to precipitation inputs with little autocorrelation observed. Water years were divided into four hydrological seasons based on the mean properties of normalized cumulative inflows. The spring snowmelt season accounted for the greatest proportion of annual inflows (mean = 39 percent). However, correlations between seasonal and annual inflows were only significant in the other three seasons, and winter inflows were the most important contributor to annual variability. The present snowpack is highly variable and sensitive to synoptic-scale influences. Although significant future reductions in snow-covered area have been predicted, we find that water resources are more susceptible to observed declines in total precipitation and likely increases in evapotranspiration than to a shift to proportionally less snowfall.</t>
  </si>
  <si>
    <t>[Bilish, Shane P.; Callow, J. Nikolaus] Univ Western Australia, Sch Agr &amp; Environm, Crawley, WA, Australia; [Bilish, Shane P.] Snowy Hydro Ltd, POB 332, Cooma, NSW 2630, Australia; [McGowan, Hamish A.] Univ Queensland, Sch Earth &amp; Environm Sci, St Lucia, Qld, Australia</t>
  </si>
  <si>
    <t>University of Western Australia; University of Queensland</t>
  </si>
  <si>
    <t>Bilish, SP (corresponding author), Snowy Hydro Ltd, POB 332, Cooma, NSW 2630, Australia.</t>
  </si>
  <si>
    <t>shane.bilish@snowyhydro.com.au</t>
  </si>
  <si>
    <t>McGowan, Hamish/AAD-9607-2021; Callow, Nik/H-8926-2014; Callow, Nik/ABD-3038-2020</t>
  </si>
  <si>
    <t>Callow, Nik/0000-0001-6525-953X; Bilish, Shane/0000-0001-6525-0594; McGowan, Hamish/0000-0002-2844-2084</t>
  </si>
  <si>
    <t>Snowy Hydro Ltd.; Australian Government Research Training Program Scholarship</t>
  </si>
  <si>
    <t>Snowy Hydro Ltd.; Australian Government Research Training Program Scholarship(Australian GovernmentDepartment of Industry, Innovation and Science)</t>
  </si>
  <si>
    <t>This work was supported by Snowy Hydro Ltd. SPB received an Australian Government Research Training Program Scholarship.</t>
  </si>
  <si>
    <t>10.1080/15230430.2020.1746517</t>
  </si>
  <si>
    <t>LO4ZC</t>
  </si>
  <si>
    <t>WOS:000533636800001</t>
  </si>
  <si>
    <t>Arana, PM; Rolleri, R; De Caso, A</t>
  </si>
  <si>
    <t>Arana, Patricio M.; Rolleri, Renzo; De Caso, Alvaro</t>
  </si>
  <si>
    <t>Chilean Antarctic krill fishery (2011-2016)</t>
  </si>
  <si>
    <t>Euphausia superba; krill; fishing operations; CPUE; Conservation Measures; Antarctic region</t>
  </si>
  <si>
    <t>EUPHAUSIA-SUPERBA; BRANSFIELD STRAIT; ATLANTIC SECTOR; MODELING GROWTH; SOUTHERN-OCEAN; LIFE-HISTORY; SCOTIA SEA; MANAGEMENT; ECOSYSTEM; BIOMASS</t>
  </si>
  <si>
    <t>Antarctic krill (Euphausia superba) is a key resource in the Antarctic region, as it is the primary food source for fish, whales, seals, flying birds, penguins and cephalopods. The high concentrations of the species and its possible uses-food for human and animal consumption and in the production of industrial, pharmaceutical and dietetic products-generates interest in the fishing industry. Its relevance motivated the implementation of administrative measures and international regulations for this fishery, which are summarized in this review. Chile is the only South American fishing country that has shown interest in participating in Antarctic krill fishery. Thus, between 1983 and 1994, the Fisheries Development Institute and some companies carried out fishing activities mainly aimed at prospecting and researching this species. However, starting in 2011, the factory trawler FV Betanzos began sustained commercial krill fishing aimed at krill meal production. This document analyzes the information collected by said vessel between 2011 and 2016, including areas of operation, fishing depth catches and CPUE obtained. Also, the main challenges faced by this fishery and the actions planned as solutions are assessed.</t>
  </si>
  <si>
    <t>[Arana, Patricio M.; Rolleri, Renzo; De Caso, Alvaro] Pontificia Univ Catolica Valparaiso, Escuela Ciencias Mar, Valparaiso, Chile; [De Caso, Alvaro] Pesqueros, Santiago, Chile</t>
  </si>
  <si>
    <t>10.3856/vol48-issue2-fulltext-2408</t>
  </si>
  <si>
    <t>LM8CB</t>
  </si>
  <si>
    <t>WOS:000532474500002</t>
  </si>
  <si>
    <t>Arana, PM; Jones, CD; Alegría, NA; Sarralde, R; Rolleri, R</t>
  </si>
  <si>
    <t>Arana, Patricio M.; Jones, Christopher D.; Alegria, Nicolas A.; Sarralde, Roberto; Rolleri, Renzo</t>
  </si>
  <si>
    <t>Antarctic demersal finfish around the Elephant and the South Orkney islands: distribution, abundance and biological characteristics</t>
  </si>
  <si>
    <t>Antarctica; finfish; relative abundance; biological characteristics; acoustic; environment</t>
  </si>
  <si>
    <t>SHETLAND ISLANDS; FISH STOCKS; FISHERIES; IMPACTS</t>
  </si>
  <si>
    <t>A research survey for demersal finfish was completed using bottom trawl fishing gear, following a random stratified sampling design, between 50 and 500 m on shelf areas of Subarea 48.1 (Elephant Island) and Subarea 48.2 (South Orkney Island). An acoustic survey was simultaneously carried out to enhance knowledge of bathymetry and the distribution of fish and hill in the studied area. The cruise took place between the 6 and 27 January 2018. A total of 36 hauls were carried out, 15 around Elephant Island and 21 around the South Orkney Islands. A total of 37 fish species were caught with a total biomass of 19,112 kg. The main species encountered included Notothenia rossii and Champsocephalus gunnari, with nominal catches weighing 16,204 (85%) and 876 kg (5%), respectively. Other species of fish accounted noticeably for lower amounts (11%), such as Gobionotothen gibberons (330 kg), Chaenocephalus aceratus (322 kg), and Pseudochaenichthys georgianus (299 kg). Indicative estimates of standing stock biomass suggested that in this cruise, N. rossii was the most abundant demersal finfish species in the Elephant Island area, followed by C. gunnari. Differently, on the South Orkney Islands shelf, the most abundant species was G. gibberons, followed by P. georgianus. The study provides biological data (length frequency distribution, median size, sex ratio, gonad maturity stages, length-weight relationship) on the main species captured during the survey, and the oceanographic characteristics (depth profiles of temperature, salinity, density) obtained with CTD around the South Orkney Islands.</t>
  </si>
  <si>
    <t>[Arana, Patricio M.; Rolleri, Renzo] Pontificia Univ Catolica Valparaiso, Escuela Ciencias Mar, Valparaiso, Chile; [Jones, Christopher D.] NOAA, Antarctic Ecosyst Res Div, Southwest Fisheries Sci Ctr, La Jolla, CA USA; [Alegria, Nicolas A.] Inst Invest Pesquera, Talcahuano, Chile; [Sarralde, Roberto] Inst Espanol Oceanog, Tenerife, Spain</t>
  </si>
  <si>
    <t>Pontificia Universidad Catolica de Valparaiso; National Oceanic Atmospheric Admin (NOAA) - USA; Spanish Institute of Oceanography</t>
  </si>
  <si>
    <t>10.3856/vol48-issue2-fulltext-2469</t>
  </si>
  <si>
    <t>WOS:000532474500013</t>
  </si>
  <si>
    <t>Ricciardi, R; Espejo, W; Barra, R; Chiang, G; Celis, JE</t>
  </si>
  <si>
    <t>Ricciardi, Rocio; Espejo, Winfred; Barra, Ricardo; Chiang, Gustavo; Celis, Jose E.</t>
  </si>
  <si>
    <t>Does protein content influences accumulation and biomagnification of tantalum in fishes and invertebrates of marine coastal environments?</t>
  </si>
  <si>
    <t>proteins; tantalum; bioaccumulation; northern Chile; Patagonia; Antarctica</t>
  </si>
  <si>
    <t>METAL POLLUTION; METALLOTHIONEINS; CONTAMINATION; EXPOSURE; REGION</t>
  </si>
  <si>
    <t>Tantalum (Ta) is a rare transition metal widely used in the manufacture of new technologies such as computers, cell phones, solar panels and implants in biomedicine, and their use is continuously increasing. Most non-essential metals are immobilized in the organism through complexation with proteins, but it is not known if new-technology elements (such as Ta) present the same behavior. In aquatic environments, metals tend to concentrate in biota and some can be biomagnified through the trophic chain, even reaching humans. This study aimed to investigate any possible relationship between Ta and proteins. Invertebrates and fishes were collected from coastal marine ecosystems of northern Chile, Patagonia, and South Shetland Islands (Antarctic Peninsula). A direct positive relationship was found between Ta and total proteins throughout the food chain from marine ecosystems of the Patagonia and the Antarctic Peninsula area, revealing that proteins are probably the pathway by which Ta bioaccumulates and biomagnifies in macroinvertebrates and fish of pristine coastal marine environments. Our data suggest that site-specific factors (e.g., water temperature, pH, geography) may be influencing the environmental fate of Ta. Therefore, further studies are needed to understand the biological implications of this metal.</t>
  </si>
  <si>
    <t>[Ricciardi, Rocio; Celis, Jose E.] Univ Concepcion, Dept Ciencia Anim, Fac Ciencias Vet, Chillan, Chile; [Espejo, Winfred; Chiang, Gustavo] Fdn MERI, Melimoyu Ecosyst Res Inst, Santiago, Chile; [Barra, Ricardo] Univ Concepcion, Dept Aquat Syst, Fac Ciencias Ambientales, Concepcion, Chile; [Barra, Ricardo] Univ Concepcion, EULA Chile Ctr, Concepcion, Chile</t>
  </si>
  <si>
    <t>Universidad de Concepcion; Universidad de Concepcion; Universidad de Concepcion</t>
  </si>
  <si>
    <t>Celis, JE (corresponding author), Univ Concepcion, Dept Ciencia Anim, Fac Ciencias Vet, Chillan, Chile.</t>
  </si>
  <si>
    <t>CELIS, JOSE/AAP-6048-2021; Chiang, Gustavo/ABA-9349-2020; Barra, Ricardo O./A-5543-2009; Espejo, Winfred/AAO-7150-2020</t>
  </si>
  <si>
    <t>Barra, Ricardo O./0000-0002-1567-7722; Chiang, Gustavo/0000-0003-4504-355X; CELIS, JOSE E./0000-0002-2458-1239; Espejo, Winfred/0000-0002-3753-2006</t>
  </si>
  <si>
    <t>Instituto Antartico Chileno (INACH) [RG01-18]; Universidad de Concepcion [219.153.026-P]; Fondo Nacional de Ciencia y Tecnologia (FONDECYT) [1161504]</t>
  </si>
  <si>
    <t>Instituto Antartico Chileno (INACH); Universidad de Concepcion; Fondo Nacional de Ciencia y Tecnologia (FONDECYT)(Comision Nacional de Investigacion Cientifica y Tecnologica (CONICYT)CONICYT FONDECYT)</t>
  </si>
  <si>
    <t>This work was supported by the Instituto Antartico Chileno (INACH) through Project RG01-18 (J. Celis), by the Vicerrectoria de Investigacion y Desarrollo of the Universidad de Concepcion through Postdoc Project 219.153.026-P (W. Espejo), and by the Fondo Nacional de Ciencia y Tecnologia (FONDECYT) through Project 1161504 (G. Chiang).</t>
  </si>
  <si>
    <t>10.3856/vol48-issue2-fulltext-2416</t>
  </si>
  <si>
    <t>WOS:000532474500016</t>
  </si>
  <si>
    <t>Christianson, KR; Johnson, BM</t>
  </si>
  <si>
    <t>Christianson, Kyle R.; Johnson, Brett M.</t>
  </si>
  <si>
    <t>Combined effects of early snowmelt and climate warming on mountain lake temperatures and fish energetics</t>
  </si>
  <si>
    <t>Climate change; general lake model; snowpack; high elevation lakes; cutthroat trout</t>
  </si>
  <si>
    <t>CUTTHROAT TROUT; BROOK TROUT; ALPINE LAKE; POTENTIAL IMPACTS; ICE-COVER; SURFACE TEMPERATURES; WATER TEMPERATURE; AIR-TEMPERATURE; ENERGY DENSITY; MIXING REGIMES</t>
  </si>
  <si>
    <t>Mountain regions are experiencing some of the highest air temperature increases and ice cover decreases. However, few studies have examined the effects of climate warming and earlier snowmelt on mountain lake thermal characteristics and energetic implications for fish. We assessed potential climate-induced thermal changes and energetic consequences for cutthroat trout (Oncorhynchus clarkii spp.) and brook trout (Salvelinus fontinalis) in the Southern Rocky Mountains, United States. We found that summer growing degree days increased by an average 21 percent with 2 degrees C air warming and 43 percent with 5 degrees C air warming. But earlier snowmelt increased growing degree days by an average 48 percent. The average maintenance ration with 2 degrees C and 5 degrees C warming increased respectively by 13.8 and 21.9 percent for cutthroat trout and 23.8 and 37.4 percent for brook trout. The average increase in food required with earlier snowmelt was 43.4 percent for cutthroat trout and 52.3 percent for brook trout. Thus, earlier snowmelt can have a greater effect on fish energy requirements than a 5 degrees C rise in air temperatures. Snowmelt recession together with a 5 degrees C air temperature rise could more than double food requirements for fish to maintain constant body weight. If lake productivity increases with these climatic changes, then trout growth could improve; otherwise, energetic demands may result in lower fish growth.</t>
  </si>
  <si>
    <t>[Christianson, Kyle R.; Johnson, Brett M.] Colorado State Univ, Dept Fish Wildlife &amp; Conservat Biol, 147 Campus Delivery, Ft Collins, CO 80523 USA</t>
  </si>
  <si>
    <t>Christianson, KR (corresponding author), Colorado State Univ, Dept Fish Wildlife &amp; Conservat Biol, 147 Campus Delivery, Ft Collins, CO 80523 USA.</t>
  </si>
  <si>
    <t>kchrist@rams.colostate.edu</t>
  </si>
  <si>
    <t>NSF [DGE-0966346]; [6-464540]</t>
  </si>
  <si>
    <t>NSF(National Science Foundation (NSF));</t>
  </si>
  <si>
    <t>This project was supported by NSF Grant No. DGE-0966346 I-WATER: Integrated Water, Atmosphere, Ecosystems Education and Research Program and a private gift to Colorado State University, account number 6-464540.</t>
  </si>
  <si>
    <t>10.1080/15230430.2020.1741199</t>
  </si>
  <si>
    <t>LI4JC</t>
  </si>
  <si>
    <t>WOS:000529452300001</t>
  </si>
  <si>
    <t>Cui, YC; Liu, X; Liu, CG; Gao, JJ; Fang, XS; Liu, YG; Wang, WG; Li, YS</t>
  </si>
  <si>
    <t>Cui, Yingchun; Liu, Xin; Liu, Chenguang; Gao, Jingjing; Fang, Xisheng; Liu, Yanguang; Wang, Weiguo; Li, Yuansheng</t>
  </si>
  <si>
    <t>Mineralogy and geochemistry of ferromanganese oxide deposits from the Chukchi Sea in the Arctic Ocean</t>
  </si>
  <si>
    <t>Ferromanganese oxide deposits; Chukchi Sea; Arctic Ocean; mixed hydrothermal-diagenetic origin; mineralogy</t>
  </si>
  <si>
    <t>MANGANESE NODULES; MINERALIZATION; SEDIMENTS; CRUSTS; RICH; CO; ENVIRONMENT; CONCRETIONS; TRANSPORT; PATTERNS</t>
  </si>
  <si>
    <t>Abundant ferromanganese oxide deposits were recovered from the Chukchi Sea in the Arctic Ocean during the 7th Chinese Arctic Scientific Expedition in August 2016. Representative samples were collected to perform a mineralogical and geochemical analysis and elucidate their origin. Their mineral phases consist of todorokite, buserite, and birnessite, along with a small quantity of detrital minerals (quartz, feldspar, serpentine, kaolinite, and illite). Their elemental composition is rich in Ni and Mn compared to ferromanganese oxide deposits from other locations in the Chukchi Sea. The total rare earth element (REE) concentration varied from 138.95 to 207.23 mu g/g with an average of 164.75 mu g/g. The post-Archean Australian shale-normalized REE patterns have a slightly negative Ce anomaly and a positive Eu anomaly. The comprehensive geochemical and mineral data show that they have a mixed hydrothermal and diagenetic origin.</t>
  </si>
  <si>
    <t>[Cui, Yingchun; Liu, Xin; Liu, Chenguang; Gao, Jingjing; Fang, Xisheng; Liu, Yanguang] MNR, Inst Oceanog 1, Key Lab Marine Geol &amp; Metallogeny, Qingdao, Peoples R China; [Cui, Yingchun; Liu, Chenguang; Gao, Jingjing; Fang, Xisheng; Liu, Yanguang] Pilot Natl Lab Marine Sci &amp; Technol Qingdao, Lab Marine Geol, Qingdao, Peoples R China; [Wang, Weiguo] MNR, Inst Oceanog 3, Lab Coastal &amp; Marine Geol, Xiamen, Peoples R China; [Li, Yuansheng] Polar Res Inst China, Div Polar Glaciol, Shanghai, Peoples R China</t>
  </si>
  <si>
    <t>Laoshan Laboratory; Third Institute of Oceanography, Ministry of Natural Resources; Polar Research Institute of China</t>
  </si>
  <si>
    <t>Cui, YC (corresponding author), MNR, Key Lab Marine Sedimentol &amp; Environm Geol, Inst Oceanog 1, 6 Xianxialing Rd, Qingdao 266061, Peoples R China.</t>
  </si>
  <si>
    <t>cuiyingchun@fio.org.cn</t>
  </si>
  <si>
    <t>Liu, Chenguang/AAC-4849-2021; Gao, Jingjing/ABD-9073-2021; cui, yingchun/JLM-6692-2023; Liu, Yanguang/AAG-8119-2021</t>
  </si>
  <si>
    <t>Gao, Jingjing/0000-0002-8521-2541; Liu, Yanguang/0000-0002-4524-2930; liu, xin/0000-0002-3636-2674; Chenguang, Liu/0000-0003-1406-6898</t>
  </si>
  <si>
    <t>Polar Operational Expedition and Scientific Research Chinese Arctic and Antarctic Administration, SOA, China [JD0619013, JD0619005]; National Natural Science Foundation of China [40706029, 41776076, 41876227]</t>
  </si>
  <si>
    <t>Polar Operational Expedition and Scientific Research Chinese Arctic and Antarctic Administration, SOA, China; National Natural Science Foundation of China(National Natural Science Foundation of China (NSFC))</t>
  </si>
  <si>
    <t>This work was funded by the Polar Operational Expedition and Scientific Research Chinese Arctic and Antarctic Administration, SOA, China (Grant Nos. JD0619013, JD0619005), supported by National Natural Science Foundation of China (Grant Nos. 40706029, 41776076, 41876227).</t>
  </si>
  <si>
    <t>10.1080/15230430.2020.1738824</t>
  </si>
  <si>
    <t>LH8GM</t>
  </si>
  <si>
    <t>WOS:000529021200001</t>
  </si>
  <si>
    <t>Levchenko, V; Lobkovskii, LI; Borisov, DG; Libina, NV</t>
  </si>
  <si>
    <t>Levchenko, V; Lobkovskii, L., I; Borisov, D. G.; Libina, N., V</t>
  </si>
  <si>
    <t>Seismic Evidences of Contourites on the Rio Grande Rise, Southwest Atlantic</t>
  </si>
  <si>
    <t>DOKLADY EARTH SCIENCES</t>
  </si>
  <si>
    <t>contour bottom currents; mixed turbidite-contourite sedimentary systems; Southwest Atlantic</t>
  </si>
  <si>
    <t>CIRCULATION; DEPOSITS; FEATURES; FACIES</t>
  </si>
  <si>
    <t>Several features probably formed by contour bottom currents were recognized on the Rio Grande Rise by high-resolution seismic survey in the transatlantic profiles of the #32 and #52 cruises of R/V Akademik Ioffe carried out by the Shirshov Institute of Oceanology, Russian Academy of Sciences. The deposits of mixed turbidite-contourite sedimentary systems near the base of its southern and northern slopes seem to be formed as a result of the interaction of downslope gravity flows and the along-slope deep-water Lower Circumpolar Water + Weddell Sea Deep Water current. Sediment waves and disputable small plaster contourite drifts are probably formed by circulation of the Antarctic Intermediate Water in the Cruzeiro-do-Sultrough at the top of the rise.</t>
  </si>
  <si>
    <t>[Levchenko, V; Lobkovskii, L., I; Borisov, D. G.; Libina, N., V] Russian Acad Sci, Shirshov Inst Oceanol, Moscow 117218, Russia</t>
  </si>
  <si>
    <t>Levchenko, V (corresponding author), Russian Acad Sci, Shirshov Inst Oceanol, Moscow 117218, Russia.</t>
  </si>
  <si>
    <t>ollevses@mail.ru</t>
  </si>
  <si>
    <t>Borisov, Dmitrii/Y-9194-2019; Lobkovsky, Leopold I/A-6846-2016; Libina, Nataliya/J-5144-2018</t>
  </si>
  <si>
    <t>Borisov, Dmitrii/0000-0001-8109-6603;</t>
  </si>
  <si>
    <t>Russian Science Foundation [18-17-00227, 0149-2019-0006]; Russian Science Foundation [18-17-00227] Funding Source: Russian Science Foundation</t>
  </si>
  <si>
    <t>Russian Science Foundation(Russian Science Foundation (RSF)); Russian Science Foundation(Russian Science Foundation (RSF))</t>
  </si>
  <si>
    <t>This work was supported by the Russian Science Foundation (project no. 18-17-00227 (O.V. Levchenko, D.G. Borisov)). V.N. Libina collected and processed the seismic profiling data under a State Assignment (project no. 0149-2019-0006).</t>
  </si>
  <si>
    <t>1028-334X</t>
  </si>
  <si>
    <t>1531-8354</t>
  </si>
  <si>
    <t>DOKL EARTH SCI</t>
  </si>
  <si>
    <t>Dokl. Earth Sci.</t>
  </si>
  <si>
    <t>10.1134/S1028334X20010043</t>
  </si>
  <si>
    <t>LH2QE</t>
  </si>
  <si>
    <t>WOS:000528631600010</t>
  </si>
  <si>
    <t>Wijayawardene, NN; Hyde, KD; Al-Ani, LKT; Tedersoo, L; Haelewaters, D; Rajeshkumar, KC; Zhao, RL; Aptroot, A; Leontyev, D; Saxena, RK; Tokarev, YS; Dai, DQ; Letcher, PM; Stephenson, SL; Ertz, D; Lumbsch, HT; Kukwa, M; Issi, I; Madrid, H; Phillips, AJL; Selbmann, L; Pfliegler, WP; Horvath, E; Bensch, K; Kirk, PM; Kolaríková, K; Raja, HA; Radek, R; Papp, ; Dima, B; Ma, J; Malosso, E; Takamatsu, S; Rambold, G; Gannibal, PB; Triebel, D; Gautam, AK; Avasthi, S; Suetrong, S; Timdal, E; Fryar, SC; Delgado, G; Réblová, M; Doilom, M; Dolatabadi, S; Pawlowska, JZ; Humber, RA; Kodsueb, R; Sanchez-Castro, ; Goto, BT; Silva, DKA; de Souza, FA; Oehl, F; da Silva, GA; Silva, IR; Blaszkowski, J; Jobim, K; Maia, LC; Barbosa, FR; Fiuza, PO; Divakar, PK; Shenoy, BD; Castañeda-Ruiz, RF; Somrithipol, S; Lateef, AA; Karunarathna, SC; Tibpromma, S; Mortimer, PE; Wanasinghe, DN; Phookamsak, R; Xu, J; Wang, Y; Tian, F; Alvarado, P; Li, DW; Kusan, ; Matocec, N; Mesic, A; Tkalcec, Z; Maharachchikumbura, SSN; Papizadeh, M; Heredia, G; Wartchow, F; Bakhshi, M; Boehm, E; Youssef, N; Hustad, VP; Lawrey, JD; Santiago, ALCMA; Bezerra, JDP; Souza-Motta, CM; Firmino, AL; Tian, Q; Houbraken, J; Hongsanan, S; Tanaka, K; Dissanayake, AJ; Monteiro, JS; Grossart, HP; Suija, A; Weerakoon, G; Etayo, J; Tsurykau, A; Vazquez, V; Mungai, P; Damm, U; Li, QR; Zhang, H; Boonmee, S; Lu, YZ; Becerra, AG; Kendrick, B; Brearley, FQ; Motiejunaite, J; Sharma, B; Khare, R; Gaikwad, S; Wijesundara, DSA; Tang, LZ; He, MQ; Flakus, A; Rodriguez-Flakus, P; Zhurbenko, MP; McKenzie, EHC; Stadler, M; Bhat, DJ; Liu, JK; Raza, M; Jeewon, R; Nassonova, ES; Prieto, M; Jayalal, RGU; Erdogdu, M; Yurkov, A; Schnittler, M; Shchepin, ON; Novozhilov, YK; Silva, AGS; Gentekaki, E; Liu, P; Cavender, JC; Kang, Y; Mohammad, S; Zhang, LF; Xu, RF; Li, YM; Dayarathne, MC; Ekanayaka, AH; Wen, TC; Deng, CY; Pereira, OL; Navathe, S; Hawksworth, DL; Fan, XL; Dissanayake, LS; Kuhnert, E; Thines, M</t>
  </si>
  <si>
    <t>Wijayawardene, N. N.; Hyde, K. D.; Al-Ani, L. K. T.; Tedersoo, L.; Haelewaters, D.; Rajeshkumar, K. C.; Zhao, R. L.; Aptroot, A.; Leontyev, D., V; Saxena, R. K.; Tokarev, Y. S.; Dai, D. Q.; Letcher, P. M.; Stephenson, S. L.; Ertz, D.; Lumbsch, H. T.; Kukwa, M.; Issi, I., V; Madrid, H.; Phillips, A. J. L.; Selbmann, L.; Pfliegler, W. P.; Horvath, E.; Bensch, K.; Kirk, P. M.; Kolarikova, K.; Raja, H. A.; Radek, R.; Papp, V; Dima, B.; Ma, J.; Malosso, E.; Takamatsu, S.; Rambold, G.; Gannibal, P. B.; Triebel, D.; Gautam, A. K.; Avasthi, S.; Suetrong, S.; Timdal, E.; Fryar, S. C.; Delgado, G.; Reblova, M.; Doilom, M.; Dolatabadi, S.; Pawlowska, J. Z.; Humber, R. A.; Kodsueb, R.; Sanchez-Castro, I; Goto, B. T.; Silva, D. K. A.; de Souza, F. A.; Oehl, F.; da Silva, G. A.; Silva, I. R.; Blaszkowski, J.; Jobim, K.; Maia, L. C.; Barbosa, F. R.; Fiuza, P. O.; Divakar, P. K.; Shenoy, B. D.; Castaneda-Ruiz, R. F.; Somrithipol, S.; Lateef, A. A.; Karunarathna, S. C.; Tibpromma, S.; Mortimer, P. E.; Wanasinghe, D. N.; Phookamsak, R.; Xu, J.; Wang, Y.; Tian, F.; Alvarado, P.; Li, D. W.; Kusan, I; Matocec, N.; Mesic, A.; Tkalcec, Z.; Maharachchikumbura, S. S. N.; Papizadeh, M.; Heredia, G.; Wartchow, F.; Bakhshi, M.; Boehm, E.; Youssef, N.; Hustad, V. P.; Lawrey, J. D.; Santiago, A. L. C. M. A.; Bezerra, J. D. P.; Souza-Motta, C. M.; Firmino, A. L.; Tian, Q.; Houbraken, J.; Hongsanan, S.; Tanaka, K.; Dissanayake, A. J.; Monteiro, J. S.; Grossart, H. P.; Suija, A.; Weerakoon, G.; Etayo, J.; Tsurykau, A.; Vazquez, V.; Mungai, P.; Damm, U.; Li, Q. R.; Zhang, H.; Boonmee, S.; Lu, Y. Z.; Becerra, A. G.; Kendrick, B.; Brearley, F. Q.; Motiejunaite, J.; Sharma, B.; Khare, R.; Gaikwad, S.; Wijesundara, D. S. A.; Tang, L. Z.; He, M. Q.; Flakus, A.; Rodriguez-Flakus, P.; Zhurbenko, M. P.; McKenzie, E. H. C.; Stadler, M.; Bhat, D. J.; Liu, J. K.; Raza, M.; Jeewon, R.; Nassonova, E. S.; Prieto, M.; Jayalal, R. G. U.; Erdogdu, M.; Yurkov, A.; Schnittler, M.; Shchepin, O. N.; Novozhilov, Y. K.; Silva-Filho, A. G. S.; Gentekaki, E.; Liu, P.; Cavender, J. C.; Kang, Y.; Mohammad, S.; Zhang, L. F.; Xu, R. F.; Li, Y. M.; Dayarathne, M. C.; Ekanayaka, A. H.; Wen, T. C.; Deng, C. Y.; Pereira, O. L.; Navathe, S.; Hawksworth, D. L.; Fan, X. L.; Dissanayake, L. S.; Kuhnert, E.; Thines, M.</t>
  </si>
  <si>
    <t>Outline of Fungi and fungus-like taxa</t>
  </si>
  <si>
    <t>MYCOSPHERE</t>
  </si>
  <si>
    <t>Four new taxa; Ascomycota; Amblyosporida ord. nov.; Basal clades; Basidiomycota; Classification; Emendation; Microsporidia; Neopereziida ord. nov.; Ovavesiculida ord. nov.; Protosporangiaceae fam. nov.; Redonographaceae stat nov.</t>
  </si>
  <si>
    <t>CELLULAR SLIME-MOLDS; LEVEL PHYLOGENETIC CLASSIFICATION; MICROSPORIDIAN POLAR TUBE; SUB-ANTARCTIC ISLANDS; SP-NOV; SP.-NOV.; GEN. NOV.; MOLECULAR PHYLOGENY; NATURAL CLASSIFICATION; GENERIC NAMES</t>
  </si>
  <si>
    <t>This article provides an outline of the classification of the kingdom Fungi (including fossil fungi. i.e. dispersed spores, mycelia, sporophores, mycorrhizas). We treat 19 phyla of fungi. These are Aphelidiomycota, Ascomycota, Basidiobolomycota, Basidiomycota, Blastocladiomycota, Calcarisporiellomycota, Caulochytriomycota, Chytridiomycota, Entomophthoromycota, Entorrhizomycota, Glomeromycota, Kickxellomycota, Monoblepharomycota, Mortierellomycota, Mucoromycota, Neocallimastigomycota, Olpidiomycota, Rozellomycota and Zoopagomycota. The placement of all fungal genera is provided at the class-, order- and family-level. The described number of species per genus is also given. Notes are provided of taxa for which recent changes or disagreements have been presented. Fungus-like taxa that were traditionally treated as fungi are also incorporated in this outline (i.e. Eumycetozoa, Dictyosteliomycetes, Ceratiomyxomycetes and Myxomycetes). Four new taxa are introduced: Amblyosporida ord. nov. Neopereziida ord. nov. and Ovavesiculida ord. nov. in Rozellomycota, and Protosporangiaceae fam. nov. in Dictyosteliomycetes. Two different classifications (in outline section and in discussion) are provided for Glomeromycota and Leotiomycetes based on recent studies. The phylogenetic reconstruction of a four-gene dataset (18S and 28S rRNA, RPB1, RPB2) of 433 taxa is presented, including all currently described orders of fungi.</t>
  </si>
  <si>
    <t>[Wijayawardene, N. N.; Dai, D. Q.; Tang, L. Z.] Qujing Normal Univ, Coll Biol Resource &amp; Food Engn, Ctr Yunnan Plateau Biol Resources Protect &amp; Utili, Qujing 655011, Yunnan, Peoples R China; [Hyde, K. D.; Phookamsak, R.; Tian, Q.; Boonmee, S.; Gentekaki, E.; Ekanayaka, A. H.] Mae Fah Luang Univ, Ctr Excellence Fungal Res, Chiang Rai 57100, Thailand; [Al-Ani, L. K. T.] Univ Baghdad, Coll Agr, Dept Plant Protect, Baghdad, Iraq; [Al-Ani, L. K. T.] Univ Sains Malaysia, Sch Biol Sci, Minden, Malaysia; [Tedersoo, L.] Univ Tartu, Nat Hist Museum, 14a Ravila, EE-50411 Tartu, Estonia; [Haelewaters, D.] Univ South Bohemia, Fac Sci, Branisovska 31, Ceske Budejovice 37005, Czech Republic; [Haelewaters, D.] Purdue Univ, Dept Bot &amp; Plant Pathol, 915 W State St, W Lafayette, IN 47907 USA; [Haelewaters, D.] Univ Autonoma Chiriqui, Herbario UCH, Apartado Postal 0427, David, Panama; [Haelewaters, D.] Univ Ghent, Dept Biol, Res Grp Mycol, KL Ledeganckstr 35, B-9000 Ghent, Belgium; [Rajeshkumar, K. C.] Agharkar Res Inst, Biodivers &amp; Palaeobiol Fungi Grp, Natl Fungal Culture Collect India, Pune 411004, Maharashtra, India; [Rajeshkumar, K. C.; Sharma, B.; Khare, R.; Gaikwad, S.] Agharkar Res Inst, Biodivers &amp; Palaeobiol Lichens Grp, Pune 411004, Maharashtra, India; [Zhao, R. L.; He, M. Q.; Raza, M.] Chinese Acad Sci, State Key Lab Mycol, Inst Microbiol, Beijing 100101, Peoples R China; [Zhao, R. L.; He, M. Q.] Univ Chinese Acad Sci, Coll Life Sci, Beijing 100408, Peoples R China; [Aptroot, A.] Univ Fed Mato Grosso, Bairro Univ, Inst Biociencias, Lab Bot Liquenol, Ave Costa &amp; Silva S-N, BR-79070900 Campo Grande, MS, Brazil; [Leontyev, D., V] HS Skovoroda Kharkiv Natl Pedag Univ, Dept Bot, Valentynivska 2, UA-61168 Kharkiv, Ukraine; [Saxena, R. K.] Birbal Sahni Inst Palaeosci, 53 Univ Rd, Lucknow 226007, Uttar Pradesh, India; [Tokarev, Y. S.; Issi, I., V] All Russian Inst Plant Protect, Lab Microbiol Control, Shosse Podbelskogo 3, St Petersburg 196608, Russia; [Letcher, P. M.] Univ Alabama, Dept Biol Sci, Tuscaloosa, AL 35487 USA; [Stephenson, S. L.] Univ Arkansas, Dept Biol Sci, Fayetteville, AR 72701 USA; [Ertz, D.] Bot Garden Meise, Dept Res, Nieuwelaan 38, BE-1860 Meise, Belgium; [Ertz, D.] Federat Wallonie Bruxelles, Direct Gen Enseignement Non Obligatoire &amp; Rech Sc, Rue A Lavallee 1, B-1080 Brussels, Belgium; [Lumbsch, H. T.] Field Museum, Sci &amp; Educ, 1400 S Lake Shore Dr, Chicago, IL 60605 USA; [Kukwa, M.] Univ Gdansk, Fac Biol, Dept Plant Taxon &amp; Nat Conservat, Wita Stwosza 59, PL-80308 Gdansk, Poland; [Madrid, H.] Univ Mayor, Fac Ciencias, Ctr Genom &amp; Bioinformat, Camino La Piramide 5750, Santiago, Chile; [Phillips, A. J. L.] Univ Lisbon, Fac Ciencias, Biosyst &amp; Integrat Sci Inst BioISI, P-1749016 Lisbon, Portugal; [Selbmann, L.] Univ Tuscia, Dept Ecol &amp; Biol Sci DEB, Viterbo, Italy; [Selbmann, L.] Italian Antarctic Natl Museum MNA, Mycol Sect, Genoa, Italy; [Pfliegler, W. P.] Univ Debrecen, Dept Mol Biotechnol &amp; Microbiol, Egyet Ter 1, H-4032 Debrecen, Hungary; [Horvath, E.] Univ Debrecen, Dept Genet &amp; Appl Microbiol, Egyet Ter 1, H-4032 Debrecen, Hungary; [Bensch, K.] Bot Staatssammlung Munchen, SNSB IT Ctr, Menzinger Str 67, D-80638 Munich, Germany; [Bensch, K.] Westerdijk Fungal Biodivers Inst, Uppsalalaan 8, NL-3534 CT Utrecht, Netherlands; [Kirk, P. M.] Royal Bot Gardens, Richmond TW9 3DS, Surrey, England; [Kolarikova, K.] Czech Acad Sci, Inst Bot, Pruhonice 25243, Czech Republic; [Raja, H. A.] Univ North Carolina Greensboro, Dept Chem &amp; Biochem, Greensboro, NC 27402 USA; [Radek, R.] Free Univ Berlin, Inst Biol Zool, Evolutionary Biol, D-14195 Berlin, Germany; [Papp, V] Szent Istvan Univ, Dept Bot, Menesi St 44, H-1118 Budapest, Hungary; [Dima, B.] Eotvos Lorand Univ, Inst Biol, Pazmany Peter Setany 1-C, H-1117 Budapest, Hungary; [Ma, J.] Jiangxi Agr Univ, Coll Agron, Nanchang 330045, Jiangxi, Peoples R China; [Malosso, E.] Univ Fed Pernambuco, Ctr Biociencias, Dept Micol, Lab Hifomicetos Folhedo, BR-50740600 Recife, PE, Brazil; [Takamatsu, S.] Mie Univ, Grad Sch Bioresources, 1577 Kurima Machiya, Tsu, Mie 5148507, Japan; [Takamatsu, S.] Univ Southern Queensland, Ctr Crop Protect, Toowoomba, Qld 4350, Australia; [Rambold, G.] Univ Bayreuth, Dept Mykol, Univ Str 30, D-95440 Bayreuth, Germany; [Gannibal, P. B.] All Russian Inst Plant Protect, St Petersburg, Russia; [Triebel, D.] IT Ctr, Staatliche Nat Wissensch Liche Sammlungen Bayerns, Menzinger Str 67, D-80638 Munich, Germany; [Gautam, A. K.] Abhilashi Univ, Fac Agr, Sch Agr, Mandi, Himachal Prades, India; [Avasthi, S.] Jiwaji Univ, Sch Studies Bot, Gwalior, Madhya Pradesh, India; [Suetrong, S.] Natl Sci &amp; Technol Dev Agcy, NBT, 113 Thailand Sci Pk, Amphoe Khlong Luang 12120, Pathum Thani, Thailand; [Suetrong, S.; Somrithipol, S.] Natl Sci &amp; Technol Dev Agcy, BIOTEC, 113 Thailand Sci Pk, Amphoe Khlong Luang 12120, Pathum Thani, Thailand; [Timdal, E.] Univ Oslo, Nat Hist Museum, POB 1172, N-0318 Oslo, Norway; [Fryar, S. C.] Flinders Univ S Australia, Coll Sci &amp; Engn, GPO Box 2100, Adelaide, SA 5001, Australia; [Delgado, G.] EMLab P&amp;K Houston, 10900 Brittmoore Pk Dr Suite G, Houston, TX 77041 USA; [Reblova, M.] Acad Sci, Inst Bot, Pruhonice 25243, Czech Republic; [Doilom, M.] Chiang Mai Univ, Fac Sci, Dept Biol, Chiang Mai 50200, Thailand; [Dolatabadi, S.] Sabzevar Univ New Technol, Fac Engn, Sabzevar, Iran; [Pawlowska, J. Z.] Univ Warsaw, Fac Biol, Biol &amp; Chem Res Ctr, Dept Mol Phylogenet &amp; Evolut, Ul Zwirki &amp; Wigury 101, PL-02089 Warsaw, Poland; [Humber, R. A.] USDA ARS Emerging Pests &amp; Pathogens Res, Robert W Holley Ctr Agr &amp; Hlth, Tower Rd, Ithaca, NY 14853 USA; [Kodsueb, R.] Pibulsongkram Rajabhat Univ, Fac Sci &amp; Technol, Microbiol Program, Phitsanulok 65000, Thailand; [Sanchez-Castro, I] Univ Granada, Dept Microbiol, Campus Fuentenueva, E-18071 Granada, Spain; [Goto, B. T.; Jobim, K.] Univ Fed Rio Grande do Norte, Dept Bot &amp; Zool, Campus Univ, BR-59072970 Natal, RN, Brazil; [Silva, D. K. A.] Univ Fed Paraiba, Ctr Ciencias Aplicadas &amp; Educ, Programa Posgrad Ecol &amp; Monitoramento Ambiental, Campus 4, BR-58297000 Rio Tinto, PB, Brazil; [de Souza, F. A.] Embrapa Milho &amp; Sorgo, BR-35702098 Sete Lagoas, MG, Brazil; [Oehl, F.] Agroscope, Ecotoxicol, Competence Div Plants &amp; Plant Prod, Schloss 1, CH-8820 Wadenswil, Switzerland; [da Silva, G. A.; Silva, I. R.; Maia, L. C.] Univ Fed Pernambuco, Programa Posgrad Biol Fungos, Av Engn S-N,Cidade Univ, BR-50740600 Recife, PE, Brazil; [Blaszkowski, J.] West Pomeranian Univ Technol, Dept Ecol Protect &amp; Shaping Environm, Slowackiego 17, PL-71434 Szczecin, Poland; [Barbosa, F. R.] Univ Fed Mato Grosso, Acervo Biol Amazonia Merid, BR-78557267 Sinop, Brazil; [Fiuza, P. O.] Univ Fed Rio Grande do Norte UFRN, Ctr Biociencias, Programa Posgrad Sistemat &amp; Evolucao, Campus Univ,Av Senador Salgado Filho 3000, BR-59078970 Natal, RN, Brazil; [Divakar, P. K.] Univ Complutense Madrid, Fac Farm, Dept Farmacol Farmacognosia &amp; Bot, E-28040 Madrid, Spain; [Shenoy, B. D.] CSIR Natl Inst Oceanog, Reg Ctr, 176 Lawsons Bay Colony, Visakhapatnam 530017, Andhra Pradesh, India; [Castaneda-Ruiz, R. F.] Inst Invest Fundamentales Agr Trop, Alejandro de Humboldt INIFAT, Santiago Delas Vegas, Habana, Cuba; [Lateef, A. A.] Univ Ilorin, Fac Life Sci, Dept Plant Biol, Ilorin, Nigeria; [Doilom, M.; Karunarathna, S. C.; Tibpromma, S.; Mortimer, P. E.; Wanasinghe, D. N.; Phookamsak, R.; Xu, J.] Chinese Acad Sci, Kunming Inst Bot, Key Lab Plant Divers &amp; Biogeog East Asia, Kunming 650201, Yunnan, Peoples R China; [Doilom, M.; Karunarathna, S. C.; Tibpromma, S.; Mortimer, P. E.; Wanasinghe, D. N.; Phookamsak, R.; Xu, J.] World Agroforestry Ctr, East &amp; Cent Asia, Kunming 650201, Yunnan, Peoples R China; [Doilom, M.; Karunarathna, S. C.; Tibpromma, S.; Mortimer, P. E.; Wanasinghe, D. N.; Phookamsak, R.; Xu, J.] Kunming Inst Bot, Ctr Mt Futures, Kunming 650201, Yunnan, Peoples R China; [Phookamsak, R.; Xu, J.] Chinese Acad Agr Sci, Inst Anim Sci, State Key Lab Anim Nutr, Beijing 100193, Peoples R China; [Wang, Y.; Tian, F.; Dayarathne, M. C.] Guizhou Univ, Agr Coll, Dept Plant Pathol, Guiyang 550025, Peoples R China; [Alvarado, P.] ALVALAB, Dr Fernando Bongera St,Severo Ochoa Bldg S1-04, Oviedo 33006, Spain; [Li, D. W.] Valley Lab, Connecticut Agr Expt Stn, 153 Cook Hill Rd, Windsor, CT 06095 USA; [Kusan, I; Matocec, N.; Mesic, A.; Tkalcec, Z.] Rudjer Boskovic Inst, Bijenicka 54, HR-10000 Zagreb, Croatia; [Maharachchikumbura, S. S. N.; Dissanayake, A. J.; Liu, J. K.] Univ Elect Sci &amp; Technol China, Sch Life Sci &amp; Technol, Chengdu 611731, Peoples R China; [Papizadeh, M.] Pasteur Inst Iran, Dept Microbiol, Tehran, Iran; [Heredia, G.] Inst Ecol AC, Lab Microfungi, Xalapa, Veracruz, Mexico; [Wartchow, F.] Univ Fed Paraiba, Dept Sistemat &amp; Ecol, BR-58051970 Joao Pessoa, Paraiba, Brazil; [Bakhshi, M.] AREEO, Iranian Res Inst Plant Protect, Dept Bot, POB 19395-1454, Tehran, Iran; [Boehm, E.] 42 Longacre Dr, Livingston, NJ 07039 USA; [Youssef, N.] Oklahoma State Univ, Dept Microbiol &amp; Mol Genet, Stillwater, OK 74078 USA; [Hustad, V. P.] Northwest Missouri State Univ, Dept Nat Sci, Maryville, MO 64468 USA; [Lawrey, J. D.] George Mason Univ, Dept Environm Sci &amp; Policy, 4400 Univ Dr, Fairfax, VA 22030 USA; [Santiago, A. L. C. M. A.] Univ Fed Pernambuco, Dept Mycol, Post Grad Program Biol Fungi, Av Nelson Chaves S-N, BR-50670420 Recife, PE, Brazil; [Bezerra, J. D. P.; Souza-Motta, C. M.] Univ Fed Pernambuco, Dept Micol Prof Chaves Batista, Ctr Biociencias, Av Prof Moraes Rego S-N,Cidade Univ, BR-50670901 Recife, PE, Brazil; [Firmino, A. L.] Univ Fed Uberlandia, Inst Ciencias Agr, BR-38500000 Monte Carmelo, Brazil; [Houbraken, J.] Westerdijk Fungal Biodivers Inst, Uppsalalaan 8, NL-3584 CT Utrecht, Netherlands; [Hongsanan, S.] Shenzhen Univ, Coll Optoelect Engn, Shenzhen Key Lab Laser Engn, Shenzhen, Peoples R China; [Tanaka, K.] Hirosaki Univ, Fac Agr &amp; Life Sci, 3 Bunkyo Cho, Hirosaki, Aomori 0368561, Japan; [Monteiro, J. S.] Museu Paraense Emilio Goeldi, Coordinat Bot, BR-66077830 Belem, PA, Brazil; [Grossart, H. P.] Leibnitz Inst Freshwater Ecol &amp; Inland Fisheries, Dept Expt Limnol, Alte Fischerhuette 2, D-16775 Stechlin, Germany; [Grossart, H. P.] Potsdam Univ, Inst Biochem &amp; Biol, Maulbeerallee 2, D-14469 Potsdam, Germany; [Suija, A.] Univ Tartu, Inst Ecol &amp; Earth Sci, 40 Lai St, EE-51005 Tartu, Estonia; [Weerakoon, G.] Nat Hist Museum, Fungi &amp; Plants Div, Dept Life Sci, Cromwell Rd, London SW7 5BD, England; [Etayo, J.] IES Zizur, Dept Biol, Ronda S Cristobal 196, Navarra 31180, Spain; [Tsurykau, A.] Skorina Gomel State Univ, Dept Biol, Sovetskaja Str 104, Gomel 246019, BELARUS; [Tsurykau, A.] Samara Natl Res Univ, Inst Nat Sci, Dept Ecol Bot &amp; Nat Protect, Moskovskoye Shosse 34, Samara 443086, Russia; [Vazquez, V.] Univ Malaga, Fac Sci, Dept Ecol, Blvd Louis Pasteur S-N, E-29071 Malaga, Spain; [Vazquez, V.] Dept Res &amp; Dev, Coccosphere Environm Anal, Malaga, Spain; [Mungai, P.] Kenya Wildlife Serv, Biodivers Res &amp; Monitoring Div, Ecol Monitoring Unit, POB 40241, Nairobi 00100, Kenya; [Damm, U.] Senckenberg Museum Nat Hist Gorlitz, PF 300 154, D-02806 Gorlitz, Germany; [Li, Q. R.] Guizhou Med Univ, Dept Pharmacol Mat Med, Sch Pharmaceut Sci, Guian New Dist 550025, Guizhou, Peoples R China; [Zhang, H.] Kunming Univ Sci &amp; Technol, Yunnan Inst Food Safety, Kunming 650500, Yunnan, Peoples R China; [Lu, Y. Z.] Guizhou Univ, Engn &amp; Res Ctr Southwest Biopharmaceut Resources, Natl Educ Minist China, Guiyang 550025, Guizhou, Peoples R China; [Lu, Y. Z.] Guizhou Inst Technol, Sch Pharmaceut Engn, Guiyang 550003, Guizhou, Peoples R China; [Becerra, A. G.] Univ Nacl Cordoba, Inst Multidisciplinario Biol Vegetal IMBIV, Lab Micol, CONICET, Casilla Correo 495, RA-5000 Cordoba, Argentina; [Kendrick, B.] Mycologue, 8727 Lochside Dr, Sidney, BC V8L 1M8, Canada; [Brearley, F. Q.] Manchester Metropolitan Univ, Dept Nat Sci, Chester St, Manchester M1 5GD, Lancs, England; [Motiejunaite, J.] Nat Res Ctr, Lab Mycol, Zaliuju Ezeru Str 49, LT-08406 Vilnius, Lithuania; [Wijesundara, D. S. A.] Natl Inst Fundamental Studies, Hantane Rd, Kandy, Sri Lanka; [Flakus, A.] Polish Acad Sci, W Szafer Inst Bot, Dept Lichenol, Lubicz 46, PL-31512 Krakow, Poland; [Rodriguez-Flakus, P.] Polish Acad Sci, W Szafer Inst Bot, Lab Mol Anal, Lubicz 46, PL-31512 Krakow, Poland; [Zhurbenko, M. P.] Russian Acad Sci, Komarov Bot Inst, Lab Systemat &amp; Geog Fungi, Prof Popov 2, St Petersburg 197376, Russia; [McKenzie, E. H. C.] Manaaki Whenua Landcare Res, Private Bag 92170, Auckland, New Zealand; [Stadler, M.] Helmholtz Zentrum Infekt Forsch GmbH, Dept Microbial Drugs, Inhoffenstr 7, D-38124 Braunschweig, Germany; [Stadler, M.] German Ctr Infect Res DZIF, Partner Site Hannover Braunschweig, D-38124 Braunschweig, Germany; [Bhat, D. J.] Azad Coop Housing Soc, 128-1-J,PO Goa Velha, Curca 403108, India; [Jeewon, R.] Univ Mauritius, Fac Sci, Dept Hlth Sci, Reduit, Mauritius; [Nassonova, E. S.] Russian Acad Sci, Lab Cytol Unicellular Organisms, Inst Cytol, Tikhoretsky Ave 4, St Petersburg 194064, Russia; [Prieto, M.] Univ Rey Juan Carlos, Dept Biol &amp; Geol, Fis &amp; Quim Inorgan, C Tulipan Sn, Madrid 28933, Spain; [Jayalal, R. G. U.] Sabaragamuwa Univ Sri Lanka, Dept Nat Resources, Belihuloya 70140, Sri Lanka; [Erdogdu, M.] Kirsehir Ahi Evran Univ, Fac Agr, Dept Landscape Architects, Kirsehir, Turkey; [Yurkov, A.] German Collect Microorganisms &amp; Cell Cultures Gmb, Leibniz Inst DSMZ, Inhoffenstr 7 B, D-38124 Braunschweig, Germany; [Schnittler, M.] Ernst Moritz Arndt Univ Greifswald, Inst Bot &amp; Landscape Ecol, Soldmannstr 15, D-17487 Greifswald, Germany; [Shchepin, O. N.; Novozhilov, Y. K.] Russian Acad Sci, Lab Systemat &amp; Geog Fungi, Komarov Bot Inst, Prof Popov St 2, St Petersburg 197376, Russia; [Silva-Filho, A. G. S.] Univ Fed Rio Grande do Norte, Programa Pos Grad Sistemat &amp; Evolucao, BR-59064741 Natal, RN, Brazil; [Liu, P.] Jilin Agr Univ, Engn Res Ctr, Chinese Minist Educ Edible &amp; Med Fungi, Changchun 130118, Peoples R China; [Cavender, J. C.] Ohio Univ, Dept Environm &amp; Plant Biol, Athens, OH 45701 USA; [Kang, Y.] Guizhou Med Univ, Sch Basic Med Sci, Minist Educ Guizhou, Key Lab Environm Pollut Monitoring &amp; Dis Control, Guiyang, Peoples R China; [Kang, Y.] Guizhou Med Univ, Sch Basic Med Sci, Guizhou Talent Base Microbiol &amp; Human Hlth, Key Lab Med Microbiol &amp; Parasitol Educ Dept Guizh, Guiyang, Peoples R China; [Mohammad, S.] Iranian Res Org Sci &amp; Technol, Dept Biotechnol, Tehran, Iran; [Zhang, L. F.; Xu, R. F.; Li, Y. M.] Qujing Normal Univ, Coll Biol Resource &amp; Food Engn, Qujing 655011, Yunnan, Peoples R China; [Wen, T. C.] Guizhou Univ, State Key Lab Breeding Base Green Pesticide &amp; Agr, Key Lab Green Pesticide &amp; Agr Bioengn, Minist Educ, Guiyang 550025, Peoples R China; [Wen, T. C.; Dissanayake, L. S.] Guizhou Univ, Engn Res Ctr Southwest Biopharmaceut Resource, Minist Educ, Guiyang 550025, Peoples R China; [Deng, C. Y.] Guizhou Acad Sci, Guizhou Inst Biol, Guiyang 550009, Peoples R China; [Pereira, O. L.] Univ Fed Vicosa, Dept Fitopatol, Vicosa, MG, Brazil; [Navathe, S.] Agharkar Res Inst, GG Agarkar Rd, Pune 411004, Maharashtra, India; [Hawksworth, D. L.] Nat Hist Museum, Dept Life Sci, London SW7 5BD, England; [Hawksworth, D. L.] Royal Bot Gardens, Comparat Plant &amp; Fungal Biol, Richmond TW9 3DS, Surrey, England; [Hawksworth, D. L.] Jilin Agr Univ, Changchun 130118, Jilin, Peoples R China; [Fan, X. L.] Beijing Forestry Univ, Key Lab Silviculture &amp; Conservat, Minist Educ, Beijing 100083, Peoples R China; [Kuhnert, E.] Leibniz Univ Hannover, Inst Organ Chem, D-30167 Hannover, Germany; [Kuhnert, E.] Leibniz Univ Hannover, MWZ, D-30167 Hannover, Germany; [Thines, M.] Goethe Univ, Inst Ecol Evolut &amp; Divers, Dept Biol Sci, Max von Laue Str 13, D-60486 Frankfurt, Germany; [Thines, M.] Senckenberg Biodivers &amp; Climate Res Ctr, Senckenberganlage 25, D-60325 Frankfurt, Germany</t>
  </si>
  <si>
    <t>Qujing Normal University; Mae Fah Luang University; University of Baghdad; Universiti Sains Malaysia; University of Tartu; University of South Bohemia Ceske Budejovice; Purdue University System; Purdue University; Universidad Autonoma de Chiriqui; Ghent University; Department of Science &amp; Technology (India); Agharkar Research Institute (ARI); Department of Science &amp; Technology (India); Agharkar Research Institute (ARI); Chinese Academy of Sciences; Institute of Microbiology, CAS; Chinese Academy of Sciences; University of Chinese Academy of Sciences, CAS; Universidade Federal de Mato Grosso; Ministry of Education &amp; Science of Ukraine; H.S. Skovoroda Kharkiv National Pedagogical University; Department of Science &amp; Technology (India); Birbal Sahni Institute of Palaeobotany (BSIP); All-Russian Institute of Plant Protection; University of Alabama System; University of Alabama Tuscaloosa; University of Arkansas System; University of Arkansas Fayetteville; Field Museum of Natural History (Chicago); Fahrenheit Universities; University of Gdansk; Universidad Mayor; Universidade de Lisboa; BIOISI; Tuscia University; University of Debrecen; University of Debrecen; Royal Botanic Gardens, Kew; Czech Academy of Sciences; Institute of Botany of the Czech Academy of Sciences; University of North Carolina; University of North Carolina Greensboro; Free University of Berlin; Hungarian University of Agriculture &amp; Life Sciences; Eotvos Lorand University; Jiangxi Agricultural University; Universidade Federal de Pernambuco; Mie University; University of Southern Queensland; University of Bayreuth; All-Russian Institute of Plant Protection; Jiwaji University Gwalior; National Science &amp; Technology Development Agency - Thailand; National Science &amp; Technology Development Agency - Thailand; National Center Genetic Engineering &amp; Biotechnology (BIOTEC); University of Oslo; Flinders University South Australia; Czech Academy of Sciences; Institute of Botany of the Czech Academy of Sciences; Chiang Mai University; University of Warsaw; Pibulsongkram Rajabhat University; University of Granada; Universidade Federal do Rio Grande do Norte; Universidade Federal da Paraiba; Empresa Brasileira de Pesquisa Agropecuaria (EMBRAPA); Swiss Federal Research Station Agroscope; Universidade Federal de Pernambuco; West Pomeranian University of Technology; Universidade Federal de Mato Grosso; Universidade Federal do Rio Grande do Norte; Complutense University of Madrid; Council of Scientific &amp; Industrial Research (CSIR) - India; CSIR - National Institute of Oceanography (NIO); University of Ilorin; Chinese Academy of Sciences; Kunming Institute of Botany, CAS; Chinese Academy of Sciences; Kunming Institute of Botany, CAS; Chinese Academy of Agricultural Sciences; Institute of Animal Science, CAAS; Guizhou University; Connecticut Agricultural Experiment Station; Rudjer Boskovic Institute; University of Electronic Science &amp; Technology of China; Pasteur Network; Pasteur Institute of Iran; Instituto de Ecologia - Mexico; Universidade Federal da Paraiba; Oklahoma State University System; Oklahoma State University - Stillwater; George Mason University; Universidade Federal de Pernambuco; Universidade Federal de Pernambuco; Universidade Federal de Uberlandia; Shenzhen University; Hirosaki University; Museu Paraense Emilio Goeldi; Leibniz Institut fur Gewasserokologie und Binnenfischerei (IGB); University of Potsdam; University of Tartu; Tartu University Institute of Ecology &amp; Earth Sciences; Natural History Museum London; Francisk Skorina Gomel State University; Samara National Research University; Universidad de Malaga; Senckenberg Gesellschaft fur Naturforschung (SGN); Guizhou Medical University; Kunming University of Science &amp; Technology; Guizhou University; Guizhou Institute of Technology; National University of Cordoba; Consejo Nacional de Investigaciones Cientificas y Tecnicas (CONICET); Manchester Metropolitan University; Nature Research Center - Lithuania; National Institute of Fundamental Studies (NIFS); Polish Academy of Sciences; W. Szafer Institute of Botany of the Polish Academy of Sciences; Polish Academy of Sciences; W. Szafer Institute of Botany of the Polish Academy of Sciences; Russian Academy of Sciences; Komarov Botanical Institute, Russian Academy of Sciences; Landcare Research - New Zealand; Helmholtz Association; Helmholtz-Center for Infection Research; German Center for Infection Research; University of Mauritius; Russian Academy of Sciences; St. Petersburg Scientific Centre of the Russian Academy of Sciences; Institute of Cytology RAS; Universidad Rey Juan Carlos; Sabaragamuwa University of Sri Lanka; Ahi Evran University; Leibniz Institut fur Deutsche Sammlung von Mikroorganismen und Zellkulturen (DSMZ); Universitat Greifswald; Russian Academy of Sciences; Komarov Botanical Institute, Russian Academy of Sciences; Universidade Federal do Rio Grande do Norte; Jilin Agricultural University; University System of Ohio; Ohio University; Guizhou Medical University; Guizhou Medical University; Qujing Normal University; Guizhou University; Guizhou University; Guizhou Academy of Sciences; Universidade Federal de Vicosa; Department of Science &amp; Technology (India); Agharkar Research Institute (ARI); Natural History Museum London; Royal Botanic Gardens, Kew; Jilin Agricultural University; Beijing Forestry University; Leibniz University Hannover; Leibniz University Hannover; Goethe University Frankfurt; Senckenberg Gesellschaft fur Naturforschung (SGN); Senckenberg Biodiversitat &amp; Klima- Forschungszentrum (BiK-F)</t>
  </si>
  <si>
    <t>Dai, DQ; Tang, LZ (corresponding author), Qujing Normal Univ, Coll Biol Resource &amp; Food Engn, Ctr Yunnan Plateau Biol Resources Protect &amp; Utili, Qujing 655011, Yunnan, Peoples R China.;Hyde, KD (corresponding author), Mae Fah Luang Univ, Ctr Excellence Fungal Res, Chiang Rai 57100, Thailand.</t>
  </si>
  <si>
    <t>kdhyde3@gmail.com; cicidaidongqin@gmail.com; tanglizhou@163.com</t>
  </si>
  <si>
    <t>Flakus, Adam/V-4849-2019; Pereira, Olinto L/G-5405-2013; Tokarev, Yuri/A-7599-2010; lu, yongzhong/AAZ-9634-2021; 张, 璐芳/GZG-9318-2022; , Rodriguez-Flakus/E-6068-2018; Novozhilov, Yuri/H-5161-2013; Hyde, Kevin/F-7890-2010; Fan, Xinlei/AAE-1835-2022; Karunarathna, Samantha Chandranath/JCE-5110-2023; Dissanayake, Asha/AAG-4869-2020; Raza, Mubashar/AAO-1659-2020; Shchepin, Oleg N/JAC-5349-2023; McKenzie, Eric Hugh Charles/ABD-9071-2021; Lumbsch, Thorsten/K-3573-2012; Stadler, Marc/P-8882-2014; Hongsanan, Sinang/ABD-1290-2020; Kusan, Ivana/ABF-2341-2020; Souza-Motta, Cristina Maria/C-3503-2013; Tedersoo, Leho/ABE-7452-2020; Jeewon, Rajesh/I-9508-2019; Alvarado, Pablo/K-4736-2014; Ramalho Da Silva, Iolanda/Q-9586-2018; Wanasinghe, Dhanushka Nadeeshan/P-1693-2017; Navathe, Sudhir/N-6808-2018; Thines, Marco/AAV-4046-2020; Wartchow, Felipe/I-4199-2015; Sánchez-Castro, Iván/GZL-6211-2022; , makbule/HSG-1668-2023; Ruiz, Rafael F. Castañeda/B-2511-2008; Wen, Ting-Chi/X-4696-2019; Jobim, Khadija/O-1394-2015; Stadler, Marc/AHB-7016-2022; Raja, Huzefa/J-4794-2015; Leontyev, Dmytro/C-1997-2019; Zhurbenko, Mikhail P./I-2555-2016; Becerra, Alejandra Gabriela/AAH-4654-2020; Rajeshkumar, Kunhiraman C/AEI-7459-2022; Phookamsak, Rungtiwa/O-9441-2019; Matocec, Neven/ABF-2261-2020; Pfliegler, Walter P./D-1114-2018; Wijayawardene, Nalin N./O-6538-2019; Shchepin, Oleg/HHN-1892-2022; /AAZ-1219-2020; Haelewaters, Danny/AAL-4179-2021; Vázquez, Víctor/ABH-3084-2020; Youssef, Noha H./T-5198-2019; Monteiro, Josiane/O-3168-2015; Kuhnert, Eric/HTN-8594-2023; Houbraken, Jos/AAE-7955-2019; Divakar, Pradeep/E-5603-2014; Ekanayaka, Anusha H./HKW-6186-2023; Thines, Marco/H-1685-2011; Yurkov, Andrey M./E-7854-2011; Liu, Jian-Kui (Jack)/F-7907-2010; Wanasinghe, Dhanushka Nadeeshan/ITT-1314-2023; Goto, Bruno Tomio Tomio/G-1227-2014; Sohrabi, Mohammad/ABD-2601-2021; Pawłowska, Julia/AGH-2220-2022; Zhao, Rui-Lin/GLS-2121-2022; Zhurbenko, Mikhail/AAB-8571-2022; Tkalčec, Zdenko/ABF-2269-2020; Sohrabi, Mohammad/AAD-9328-2022; bakhshi, mounes/S-2942-2016; Santiago, Andre/IQW-1088-2023; Mešić, Armin/AAJ-1858-2020; Silva-Filho, Alexandre/AAF-8064-2019; Kolaříková, Zuzana/C-3558-2009; Gannibal, Philipp B./L-6593-2013; Doilom, Mingkwan/V-3017-2017; de Souza, Francisco A./I-1961-2013; Zhang, Huang/HTO-3037-2023; Maharachchikumbura, Sajeewa/C-9403-2013; da Silva, Gladstone Alves/E-5110-2013; Phillips, Alan John, Lander/C-6102-2011; Tibpromma, Saowaluck/AAY-9436-2021; Weerakoon, Gothamie/AAJ-3035-2021; Jeewon, Rajesh/ITV-1229-2023; Boonmee, Saranyaphat/ABF-1720-2020; Al-Ani, Laith Khalil Tawfeeq/X-8033-2018; Fiuza, Patrícia/L-9223-2013; Damm, Ulrike/AFB-0515-2022; Tedersoo, Leho/H-3541-2012; Kodsueb, Rampai/F-6081-2010; Prieto, Maria/Q-5033-2017; Pereira Bezerra, Jadson Diogo/A-5846-2019; Malosso, Elaine/I-2153-2012; Tsurykau, Andrei/H-9339-2018; Shchepin, Oleg/J-2307-2018</t>
  </si>
  <si>
    <t>Flakus, Adam/0000-0002-0712-0529; Tokarev, Yuri/0000-0003-0524-0778; , Rodriguez-Flakus/0000-0001-8300-5613; Novozhilov, Yuri/0000-0001-8875-2263; Fan, Xinlei/0000-0002-4946-4442; Karunarathna, Samantha Chandranath/0000-0001-7080-0781; Dissanayake, Asha/0000-0002-8061-8884; Raza, Mubashar/0000-0001-7665-1457; Stadler, Marc/0000-0002-7284-8671; Hongsanan, Sinang/0000-0003-0550-3152; Jeewon, Rajesh/0000-0002-8563-957X; Ramalho Da Silva, Iolanda/0000-0002-3855-9593; Wanasinghe, Dhanushka Nadeeshan/0000-0003-1759-3933; Navathe, Sudhir/0000-0002-8040-5563; Thines, Marco/0000-0001-7740-6875; Stadler, Marc/0000-0002-7284-8671; Raja, Huzefa/0000-0002-0824-9463; Leontyev, Dmytro/0000-0002-4122-1091; Becerra, Alejandra Gabriela/0000-0002-9055-5223; Rajeshkumar, Kunhiraman C/0000-0003-0401-8294; Phookamsak, Rungtiwa/0000-0002-6321-8416; Haelewaters, Danny/0000-0002-6424-0834; Vázquez, Víctor/0000-0002-0695-4150; Youssef, Noha H./0000-0001-9159-3785; Kuhnert, Eric/0000-0002-0443-9091; Houbraken, Jos/0000-0003-4893-4438; Divakar, Pradeep/0000-0002-0300-0124; Ekanayaka, Anusha H./0000-0002-1982-7804; Thines, Marco/0000-0001-7740-6875; Yurkov, Andrey M./0000-0002-1072-5166; Liu, Jian-Kui (Jack)/0000-0002-9232-228X; Sohrabi, Mohammad/0000-0003-4864-3905; Pawłowska, Julia/0000-0003-4914-5182; Zhao, Rui-Lin/0000-0001-8129-9339; Zhurbenko, Mikhail/0000-0002-9839-4698; bakhshi, mounes/0000-0002-8404-1357; Mešić, Armin/0000-0002-4479-600X; Silva-Filho, Alexandre/0000-0003-3356-6847; Kolaříková, Zuzana/0000-0002-3693-2657; Gannibal, Philipp B./0000-0002-7944-5461; de Souza, Francisco A./0000-0001-7083-3444; Maharachchikumbura, Sajeewa/0000-0001-9127-0783; da Silva, Gladstone Alves/0000-0002-5652-7800; Phillips, Alan John, Lander/0000-0001-6367-9784; Boonmee, Saranyaphat/0000-0001-5202-2955; Al-Ani, Laith Khalil Tawfeeq/0000-0001-5138-0224; Fiuza, Patrícia/0000-0002-9428-8257; Damm, Ulrike/0000-0002-2252-5196; Kodsueb, Rampai/0000-0002-5593-5837; Madrid, Hugo/0000-0002-7767-0796; Monteiro, Josiane/0000-0002-1717-9532; Prieto, Maria/0000-0002-1692-9821; Reblova, Martina/0000-0001-5229-1709; Blaszkowski, Janusz/0000-0003-3688-164X; Souza-Motta, Cristina/0000-0002-0964-8271; Delgado, Gregorio/0000-0002-3274-7251; Alvarado, Pablo/0000-0001-7462-5271; Kukwa, Martin/0000-0003-1560-909X; LUIZ C. M. DE A. SANTIAGO, ANDRE/0000-0001-5174-5553; Sanchez-Castro, Ivan/0000-0002-6184-2848; Pereira Bezerra, Jadson Diogo/0000-0002-7782-8602; Khare, Roshni/0000-0001-8256-5715; Malosso, Elaine/0000-0001-5920-7135; Fryar, Sally/0000-0002-9512-7666; Oehl, Fritz/0000-0003-1492-7985; Gentekaki, Eleni/0000-0002-3306-6714; Tsurykau, Andrei/0000-0002-6309-170X; Matocec, Neven/0000-0002-9235-939X; Aptroot, Andre/0000-0001-7949-2594; Shchepin, Oleg/0000-0001-9327-7655</t>
  </si>
  <si>
    <t>Mushroom Research Foundation; National Science Foundation of China [NSFC 31950410558]; Foreign Experts Bureau of Yunnan Province, Foreign Talents Program (2018) [YNZ2018002]; Thailand Research grant entitled Biodiversity, phylogeny and role of fungal endophytes on above parts of Rhizophora apiculata and Nypa fruticans [RSA5980068]; Grainger Bioinformatics Center; CAPES [88881.062172/2014-01]; CNPq (Brazilian Scientific Council) [465.420/2014-1, 307.129/2015-2, 408011/2016-5]; CAPES; National Science Centre, Poland [2015/17/D/NZ8/00778, 2017/25/B/NZ8/00473]; National Science Centre (NCN) in Poland [2015/17/B/NZ8/02441, DEC-2013/11/D/NZ8/03274]; FCT, Portugal [UID/MULTI/04046/2019]; National Natural Science Foundation of China [NSF 31500017, NSFC 31760013, NSFC 31260087, NSFC 31460561]; Thailand Research Fund [TRG6180001]; Scientific Research Foundation of Yunnan Provincial Department of Education [2017ZZX186]; Thousand Talents Plan, Youth Project of Yunnan Provinces; Key Research Program of Frontier Sciences of the Chinese Academy of Sciences [QYZDYSSW-SMC014]; Yunnan Provincial Department of Human Resources and Social Security [Y836181261]; Chiang Mai University; National Science Foundation of China (NSFC) [31850410489, 31851110759]; CAS President's International Fellowship Initiative (PIFI) [2018PC0006, 2020PC0009, 2019PC0008]; International Postdoctoral Exchange Fellowship Program [Y9180822S1]; China Postdoctoral Science Foundation; Yunnan Human Resources, and Social Security Department Foundation; Russian Foundation of Basic Research [17-04-00871, 18-04-01359, 18-04-01232]; W. Szafer Institute of Botany, Polish Academy of Sciences, Krakow, Poland; Yunnan Innovation Platform for Development and Utilization of Symbiotic Fungi Resources; Science and Technology Department of Yunnan Province [2018FD080]; Biodiversity Survey and Assessment Project of the Ministry of Ecology and Environment, China [2019HJ2096001006]; Guizhou Scientific Plan Project [(2019) 2873]; Excellent Youth Talent Training Project of Guizhou Province [(2017) 5639]; Guiyang Science and Technology Project [(2017)] [5-19]; Talent Base Project of Guizhou Province, China [FCJD2018-22]; Research Fund of Education Bureau of Guizhou Province, China [(2018) 481]; National Science Foundation of China; Chinese Academy of Sciences [41761144055, 41771063, Y4ZK111B01]; Croatian Science Foundation [HRZZ-IP-201801-1736]; Japan Society for the Promotion of Science [JSPS 19K06802]; Thailand Research grant entitled future of specialist fungi in a changing climate: baseline data for generalist and specialist fungi associated with ants, Rhododendron species and Dracaena species [DBG6080013]; Thailand Research grant entitled Impact of climate change on fungal diversity and biogeography in the Greater Mekong Subregion [RDG6130001]</t>
  </si>
  <si>
    <t>Mushroom Research Foundation; National Science Foundation of China(National Natural Science Foundation of China (NSFC)); Foreign Experts Bureau of Yunnan Province, Foreign Talents Program (2018); Thailand Research grant entitled Biodiversity, phylogeny and role of fungal endophytes on above parts of Rhizophora apiculata and Nypa fruticans; Grainger Bioinformatics Center; CAPES(Coordenacao de Aperfeicoamento de Pessoal de Nivel Superior (CAPES)); CNPq (Brazilian Scientific Council)(Conselho Nacional de Desenvolvimento Cientifico e Tecnologico (CNPQ)Fundacao de Apoio a Pesquisa do Distrito Federal (FAPDF)); CAPES(Coordenacao de Aperfeicoamento de Pessoal de Nivel Superior (CAPES)); National Science Centre, Poland(National Science Centre, Poland); National Science Centre (NCN) in Poland(National Science Centre, Poland); FCT, Portugal(Fundacao para a Ciencia e a Tecnologia (FCT)); National Natural Science Foundation of China(National Natural Science Foundation of China (NSFC)); Thailand Research Fund(Thailand Research Fund (TRF)); Scientific Research Foundation of Yunnan Provincial Department of Education; Thousand Talents Plan, Youth Project of Yunnan Provinces; Key Research Program of Frontier Sciences of the Chinese Academy of Sciences; Yunnan Provincial Department of Human Resources and Social Security; Chiang Mai University; National Science Foundation of China (NSFC)(National Natural Science Foundation of China (NSFC)); CAS President's International Fellowship Initiative (PIFI); International Postdoctoral Exchange Fellowship Program; China Postdoctoral Science Foundation(China Postdoctoral Science Foundation); Yunnan Human Resources, and Social Security Department Foundation; Russian Foundation of Basic Research(Russian Foundation for Basic Research (RFBR)); W. Szafer Institute of Botany, Polish Academy of Sciences, Krakow, Poland; Yunnan Innovation Platform for Development and Utilization of Symbiotic Fungi Resources; Science and Technology Department of Yunnan Province; Biodiversity Survey and Assessment Project of the Ministry of Ecology and Environment, China; Guizhou Scientific Plan Project; Excellent Youth Talent Training Project of Guizhou Province; Guiyang Science and Technology Project [(2017)]; Talent Base Project of Guizhou Province, China; Research Fund of Education Bureau of Guizhou Province, China; National Science Foundation of China(National Natural Science Foundation of China (NSFC)); Chinese Academy of Sciences(Chinese Academy of Sciences); Croatian Science Foundation; Japan Society for the Promotion of Science(Ministry of Education, Culture, Sports, Science and Technology, Japan (MEXT)Japan Society for the Promotion of Science); Thailand Research grant entitled future of specialist fungi in a changing climate: baseline data for generalist and specialist fungi associated with ants, Rhododendron species and Dracaena species; Thailand Research grant entitled Impact of climate change on fungal diversity and biogeography in the Greater Mekong Subregion</t>
  </si>
  <si>
    <t>Nalin N. Wijayawardene thanks Mushroom Research Foundation and National Science Foundation of China (No. NSFC 31950410558) for financially supporting this project. Kevin D. Hyde acknowledges the Foreign Experts Bureau of Yunnan Province, Foreign Talents Program (2018; grant no. YNZ2018002), Thailand Research grants entitled Biodiversity, phylogeny and role of fungal endophytes on above parts of Rhizophora apiculata and Nypa fruticans (grant no: RSA5980068), the future of specialist fungi in a changing climate: baseline data for generalist and specialist fungi associated with ants, Rhododendron species and Dracaena species (grant no: DBG6080013), Impact of climate change on fungal diversity and biogeography in the Greater Mekong Subregion (grant no: RDG6130001). H.T. Lumbsch thanks support by the Grainger Bioinformatics Center. E. Malosso is grateful to CAPES for financial support (grant no. 88881.062172/2014-01). B.T. Goto, G.A. Silva and K. Jobim, L.C. Maia acknowledges CNPq (Brazilian Scientific Council, grants no. 465.420/2014-1, 307.129/2015-2 and 408011/2016-5) and CAPES for support. The study was partially supported by the National Science Centre, Poland, under Grants No. 2015/17/D/NZ8/00778 and 2017/25/B/NZ8/00473 to Julia Pawlowska. The research of Martin Kukwa received support from the National Science Centre (NCN) in Poland (project no 2015/17/B/NZ8/02441). Alan J.L. Phillips acknowledges the support from UID/MULTI/04046/2019 Research Unit grant from FCT, Portugal to BioISI. H. Zhang is financially supported by the National Natural Science Foundation of China (Project ID: NSF 31500017). S. Boonmee would like to thank the Thailand Research Fund (Project No. TRG6180001). Dong-Qin Dai and Li-Zhou Tang would like to thank the National Natural Science Foundation of China (No. NSFC 31760013, NSFC 31260087, NSFC 31460561), the Scientific Research Foundation of Yunnan Provincial Department of Education (2017ZZX186) and the Thousand Talents Plan, Youth Project of Yunnan Provinces for support. R. Phookamsak, M. Doilom, D. N. Wanasinghe, S.C. Karunarathna and J. C. Xu express sincere appreciations to Key Research Program of Frontier Sciences of the Chinese Academy of Sciences (grant no. QYZDYSSW-SMC014) for research financial support. R. Phookamsak thanks the Yunnan Provincial Department of Human Resources and Social Security (grant no. Y836181261), Chiang Mai University and National Science Foundation of China (NSFC) project code 31850410489 for research financial support. S.C. Kaunarathna thanks CAS President's International Fellowship Initiative (PIFI) for funding his postdoctoral research (No. 2018PC0006) and the National Science Foundation of China (NSFC) for funding this work under the project code 31851110759. S. Tibpromma would like to thank the International Postdoctoral Exchange Fellowship Program (number Y9180822S1), CAS President's International Fellowship Initiative (PIFI) (number 2020PC0009), China Postdoctoral Science Foundation and the Yunnan Human Resources, and Social Security Department Foundation for funding her postdoctoral research. Yuri S. Tokarev, Elena S. Nassonova and Irma V. Issi are indebtful to Yuliya Y. Sokolova (Institute of Cytology RAS, St. Petersbug, Russia) and Anastasia V. Simakova (Tomsk State University, Tomsk, Russia) for kind permission of reproduction of electron microscopy images of Metchnikovella incurvata and Crepidulospora beklemishevi, respectively. Yuri S. Tokarev and Irma V. Issi thank Russian Foundation of Basic Research, grant number 17-04-00871 (taxonomy of Rozellomycota). Elena S.; r r Nassonova thank Russian Foundation of Basic Research, grant number 18-04-01359 (early evolution of Microsporidia, phylogeny of Metchnikovellida). Adam Flakus and Pamela Rodriguez-Flakus are greatly indebted to all staff of the Herbario Nacional de Bolivia, Instituto de Ecologia, Universidad Mayor de San Andres, La Paz and the SERNAP (http://sernap.gob.bo), for their generous cooperation providing permits, assistance and facilities support for scientific studies. The research of AF and PRF were financially supported by the National Science Centre (NCN) in Poland (DEC-2013/11/D/NZ8/03274). Adam Flakus and Pamela Rodriguez-Flakus received additional support under statutory funds from the W. Szafer Institute of Botany, Polish Academy of Sciences, Krakow, Poland. The authors would like to thank Yunnan Innovation Platform for Development and Utilization of Symbiotic Fungi Resources for finance support. LiFang Zhang would like to thank grant-in-aid from Science and Technology Department of Yunnan Province (2018FD080) for finance support. Chun-Ying Deng thanks the Biodiversity Survey and Assessment Project of the Ministry of Ecology and Environment, China (2019HJ2096001006). Yingqian Kang would like to thank Guizhou Scientific Plan Project [(2019) 2873]; Excellent Youth Talent Training Project of Guizhou Province [(2017) 5639]; Guiyang Science and Technology Project [(2017) No. 5-19]; Talent Base Project of Guizhou Province, China [FCJD2018-22]; Research Fund of Education Bureau of Guizhou Province, China [(2018) 481]. D. N. Wanasinghe would like to thank the CAS President's International Fellowship Initiative (PIFI) for funding his postdoctoral research (number 2019PC0008), the National Science Foundation of China and the Chinese Academy of Sciences for financial support under the following grants: 41761144055, 41771063 and Y4ZK111B01. Yuri K. Novozhilov and Oleg N. Shchepin acknowledge support from the Russian Foundation of Basic Research, project 18-0401232.. Ivana Kusan, Neven Matocec, Armin Mesic and Zdenko Tkalcec are grateful to Croatian Science Foundation for their financial support under the project grant HRZZ-IP-201801-1736 (ForFungiDNA). K. Tanaka would like to thank the Japan Society for the Promotion of Science (JSPS 19K06802)</t>
  </si>
  <si>
    <t>MYCOSPHERE PRESS</t>
  </si>
  <si>
    <t>GUIYANG</t>
  </si>
  <si>
    <t>GUIZHOU KEY LAB AGRIC BIOTECH, GUIZHOU ACAD AGRIC SCI, GUIYANG, 00000, PEOPLES R CHINA</t>
  </si>
  <si>
    <t>2077-7000</t>
  </si>
  <si>
    <t>2077-7019</t>
  </si>
  <si>
    <t>Mycosphere</t>
  </si>
  <si>
    <t>10.5943/mycosphere/11/1/8</t>
  </si>
  <si>
    <t>Mycology</t>
  </si>
  <si>
    <t>LF7YE</t>
  </si>
  <si>
    <t>WOS:000527631600001</t>
  </si>
  <si>
    <t>Nandan, V; Scharien, RK; Geldsetzer, T; Kwok, R; Yackel, JJ; Mahmud, MS; Rösel, A; Tonboe, R; Granskog, M; Willatt, R; Stroeve, J; Nomura, D; Frey, M</t>
  </si>
  <si>
    <t>Nandan, Vishnu; Scharien, Randall K.; Geldsetzer, Torsten; Kwok, Ronald; Yackel, John J.; Mahmud, Mallik S.; Roesel, Anja; Tonboe, Rasmus; Granskog, Mats; Willatt, Rosemary; Stroeve, Julienne; Nomura, Daiki; Frey, Markus</t>
  </si>
  <si>
    <t>Snow Property Controls on Modeled Ku-Band Altimeter Estimates of First-Year Sea Ice Thickness: Case Studies From the Canadian and Norwegian Arctic</t>
  </si>
  <si>
    <t>Snow; Sea ice; Arctic; Scattering; Ocean temperature; Salinity (geophysical); Temperature measurement; Radar altimetry; sea ice; snow</t>
  </si>
  <si>
    <t>MICROWAVE BACKSCATTER; OPERATION ICEBRIDGE; FREEBOARD RETRIEVAL; LATE-WINTER; CRYOSAT-2; DEPTH; COVER; SCATTERING; ALGORITHM; VOLUME</t>
  </si>
  <si>
    <t>Uncertainty in snow properties impacts the accuracy of Arctic sea ice thickness estimates from radar altimetry. On first-year sea ice (FYI), spatiotemporal variations in snow properties can cause the Ku-band main radar scattering horizon to appear above the snow/sea ice interface. This can increase the estimated sea ice freeboard by several centimeters, leading to FYI thickness overestimations. This article examines the expected changes in Ku-band main scattering horizon and its impact on FYI thickness estimates, with variations in snow temperature, salinity, and density derived from ten naturally occurring Arctic FYI Cases encompassing saline/nonsaline, warm/cold, simple/complexly layered snow (4-45 cm) overlying FYI (48-170 cm). Using a semi-empirical modeling approach, snow properties from these Cases are used to derive layer-wise brine volume and dielectric constant estimates, to simulate the Ku-band main scattering horizon and delays in radar propagation speed. Differences between modeled and observed FYI thickness are calculated to assess sources of error. Under both cold and warm conditions, saline snow covers are shown to shift the main scattering horizon above from the snow/sea ice interface, causing thickness retrieval errors. Overestimates in FYI thicknesses of up to 65% are found for warm, saline snow overlaying thin sea ice. Our simulations exhibited a distinct shift in the main scattering horizon when the snow layer densities became greater than 440 kg/m(3), especially under warmer snow conditions. Our simulations suggest a mean Ku-band propagation delay for snow of 39%, which is higher than 25%, suggested in previous studies.</t>
  </si>
  <si>
    <t>[Nandan, Vishnu; Scharien, Randall K.] Univ Victoria, Dept Geog, Victoria, BC V8P 5C2, Canada; [Nandan, Vishnu] Univ Manitoba, Ctr Earth Observat Sci, Winnipeg, MB R3T 2N2, Canada; [Geldsetzer, Torsten; Yackel, John J.; Mahmud, Mallik S.] Univ Calgary, Dept Geog, Calgary, AB T2N 1N4, Canada; [Kwok, Ronald] CALTECH, JPL, Pasadena, CA 91109 USA; [Roesel, Anja] German Aerosp Ctr DLR, Remote Sensing Technol Inst IMF, D-82234 Munich 20, Germany; [Tonboe, Rasmus] Danish Meteorol Inst, DK-2100 Copenhagen, Denmark; [Granskog, Mats] Norwegian Polar Res Inst, Fram Ctr, N-9296 Tromso, Norway; [Willatt, Rosemary; Stroeve, Julienne] UCL, Ctr Polar Observat &amp; Modelling, London WC1E 6BT, England; [Nomura, Daiki] Hokkaido Univ, Fac Fisheries Sci, Sapporo, Hokkaido 0410821, Japan; [Frey, Markus] British Antarctic Survey, Cambridge CB3 0ET, England</t>
  </si>
  <si>
    <t>University of Victoria; University of Manitoba; University of Calgary; National Aeronautics &amp; Space Administration (NASA); NASA Jet Propulsion Laboratory (JPL); California Institute of Technology; Helmholtz Association; German Aerospace Centre (DLR); Danish Meteorological Institute DMI; Norwegian Polar Institute; University of London; University College London; Hokkaido University; UK Research &amp; Innovation (UKRI); Natural Environment Research Council (NERC); NERC British Antarctic Survey</t>
  </si>
  <si>
    <t>Nandan, V (corresponding author), Univ Victoria, Dept Geog, Victoria, BC V8P 5C2, Canada.</t>
  </si>
  <si>
    <t>vishnu@uvic.ca; randy@uvic.ca; geldsetz@ucalgary.ca; ronald.kwok@jpl.nasa.gov; yackel@ucalgary.ca; msmahmud@ucalgary.ca; anja.roesel@dlr.de; rtt@dmi.dk; mats.granskog@npolar.no; r.willatt@ucl.ac.uk; j.stroeve@ucl.ac.uk; daiki.nomura@fish.hokudai.ac.jp; maey@bas.ac.uk</t>
  </si>
  <si>
    <t>Stroeve, Julienne/ABE-7227-2020; Frey, Markus/G-1756-2012; Kwok, Ronald/L-3968-2019; Nandan, Vishnu/IUP-4703-2023; Willatt, Rosemary/HTN-4931-2023; Nandan, Vishnu/W-5164-2017</t>
  </si>
  <si>
    <t>Frey, Markus/0000-0003-0535-0416; Kwok, Ronald/0000-0003-4051-5896; Nandan, Vishnu/0000-0001-9643-6658; Nandan, Vishnu/0000-0002-5133-2676; Granskog, Mats/0000-0002-5035-4347; Mahmud, Mallik/0000-0002-6874-9048; Geldsetzer, Torsten/0000-0001-7422-5833; Willatt, Rosemary/0000-0003-2512-562X; Yackel, John/0000-0003-1110-7631; Tonboe, Rasmus Tage/0000-0003-1463-4832</t>
  </si>
  <si>
    <t>Research Council of Norway (KLIMAFORSK programme) [240639]; Centre of Ice, Climate and Ecosystems (ICE) at the Norwegian Polar Institute through the N-ICE project; Ministry of Climate and Environment; Ministry of Foreign Affairs of Norway; Institute of Low Temperature Science, Hokkaido University; Japan Society for the Promotion of Science [15K16135, 24-4175]; Centre for Earth Observation Science, University of Manitoba; Marine Environmental Observation, Prediction and Response Network Postdoctoral Fellowship grant; Natural Sciences and Engineering Research Council of Canada Discovery; Polar Knowledge Canada (POLAR) [NST-1718-0024]; Natural Environment Research Council UK [NE/M005852/1]; Grants-in-Aid for Scientific Research [15K16135] Funding Source: KAKEN; NERC [NE/S00257X/1, NE/M005852/1, bas0100032, NE/T009470/1, cpom30001] Funding Source: UKRI</t>
  </si>
  <si>
    <t>Research Council of Norway (KLIMAFORSK programme)(Research Council of Norway); Centre of Ice, Climate and Ecosystems (ICE) at the Norwegian Polar Institute through the N-ICE project; Ministry of Climate and Environment; Ministry of Foreign Affairs of Norway; Institute of Low Temperature Science, Hokkaido University; Japan Society for the Promotion of Science(Ministry of Education, Culture, Sports, Science and Technology, Japan (MEXT)Japan Society for the Promotion of Science); Centre for Earth Observation Science, University of Manitoba; Marine Environmental Observation, Prediction and Response Network Postdoctoral Fellowship grant; Natural Sciences and Engineering Research Council of Canada Discovery(Natural Sciences and Engineering Research Council of Canada (NSERC)); Polar Knowledge Canada (POLAR); Natural Environment Research Council UK(UK Research &amp; Innovation (UKRI)Natural Environment Research Council (NERC)); Grants-in-Aid for Scientific Research(Ministry of Education, Culture, Sports, Science and Technology, Japan (MEXT)Japan Society for the Promotion of ScienceGrants-in-Aid for Scientific Research (KAKENHI)); NERC(UK Research &amp; Innovation (UKRI)Natural Environment Research Council (NERC))</t>
  </si>
  <si>
    <t>This work was supported in part by the Research Council of Norway (KLIMAFORSK programme, #240639), in part by the Centre of Ice, Climate and Ecosystems (ICE) at the Norwegian Polar Institute through the N-ICE project, in part by the Ministry of Climate and Environment and the Ministry of Foreign Affairs of Norway, in part by the Grant for Joint Research Program of the Institute of Low Temperature Science, Hokkaido University, the Grant for Arctic Challenge for Sustainability, in part by the Japan Society for the Promotion of Science (#15K16135, #24-4175), and in part by the Centre for Earth Observation Science, University of Manitoba. The work of V. Nandan was supported by the Marine Environmental Observation, Prediction and Response Network Postdoctoral Fellowship grant. The work of R. Scharien and J. J. Yackel was supported by the Natural Sciences and Engineering Research Council of Canada Discovery and Polar Knowledge Canada (POLAR) (#NST-1718-0024). The work of M. Frey was supported by the Natural Environment Research Council UK (NE/M005852/1). (Corresponding author: Vishnu Nandan.)</t>
  </si>
  <si>
    <t>10.1109/JSTARS.2020.2966432</t>
  </si>
  <si>
    <t>LF8SO</t>
  </si>
  <si>
    <t>WOS:000527684700001</t>
  </si>
  <si>
    <t>Moiseeva, NA; Churilova, TY; Efimova, TV; Matorin, DN</t>
  </si>
  <si>
    <t>Moiseeva, N. A.; Churilova, T. Ya.; Efimova, T. V.; Matorin, D. N.</t>
  </si>
  <si>
    <t>Correction of the Chlorophyll a Fluorescence Quenching in the Sea Upper Mixed Layer: Development of the Algorithm</t>
  </si>
  <si>
    <t>PHYSICAL OCEANOGRAPHY</t>
  </si>
  <si>
    <t>fluorescence; photochemical and non-photochemical quenching; reaction centers; photosystem 2; chlorophyll a concentration; phytoplankton; BioArgo floats</t>
  </si>
  <si>
    <t>Purpose. Data from the immersion fluorescence sensors of the CTD complex and BioArgo floats are widely used for studying spatial and temporal variability of the chlorophyll a concentration on large scales. In these devices the fluorescence sensors are not equipped with a dark chamber; as a result, a part of the reaction centers of photosystem 2 is closed due to the sunlight effect. It is manifested in decrease of the measured fluorescence intensity in the upper mixed layer due to fluorescence quenching, while the chlorophyll a concentration can remain unchanged. The purpose of the work is to develop the algorithm for correcting the fluorescence quenching. Methods and Results. It is shown that photosynthetically available radiation decreases with depth within the upper mixed layer by almost an order, and the chlorophyll a fluorescence measured by the immersion sensor (without a dark chamber), increases with depth in this layer. Relationship between light intensity and share of open reaction centers of photosystem 2 in cell of microalgae was revealed. The relationship is described by the exponential function. The share of open centers effects on the degree of fluorescence intensity decreasing and therefore on fluorescence quenching induced by light. Conclusions. The universal algorithm for correcting fluorescence quenching in the upper mixed layer is proposed. Due to its correction, almost uniform fluorescence distribution is obtained in the upper mixed layer which is in a good consistence with the results of chlorophyll a concentration measurements in situ.</t>
  </si>
  <si>
    <t>[Moiseeva, N. A.; Churilova, T. Ya.; Efimova, T. V.] Russian Acad Sci, AO Kovalevsky Inst Biol Southern Seas, Sevastopol, Russia; [Matorin, D. N.] Lomonosov Moscow State Univ, 1 Leninskie Gory, Moscow 119991, Russia</t>
  </si>
  <si>
    <t>Russian Academy of Sciences; AO Kovalevsky Institute of Biology of the Southern Seas of RAS (IBSS); Lomonosov Moscow State University</t>
  </si>
  <si>
    <t>Moiseeva, NA (corresponding author), Russian Acad Sci, AO Kovalevsky Inst Biol Southern Seas, Sevastopol, Russia.</t>
  </si>
  <si>
    <t>nataliya-moiseeva@yandex.ru; tanya.churilova@gmail.com; tatyana-iefimova@yandex.ru; matorin@biophys.msu.ru</t>
  </si>
  <si>
    <t>Matorin, Dmitry N/S-5443-2016; Churilova, Tanya Ya./O-8437-2016; Efimova, Tatiana/X-1355-2019; Moiseeva, Nataliia/AAH-2819-2019</t>
  </si>
  <si>
    <t>Efimova, Tatiana/0000-0003-3908-4160;</t>
  </si>
  <si>
    <t>theme Study of Spatial-Temporal Organization of Aquatic and Land Ecosystems Aimed at Development of Operational Monitoring System based on the Remote Sensing Data and GIS Technologies [AAAA-A19-119061190081-9]; RFBR [18-45-920070]; theme Comprehensive Studies of the Current State of the Ecosystem of the Atlantic Sector of the Antarctic [AAAA-A19-119100290162-0]</t>
  </si>
  <si>
    <t>theme Study of Spatial-Temporal Organization of Aquatic and Land Ecosystems Aimed at Development of Operational Monitoring System based on the Remote Sensing Data and GIS Technologies; RFBR(Russian Foundation for Basic Research (RFBR)); theme Comprehensive Studies of the Current State of the Ecosystem of the Atlantic Sector of the Antarctic</t>
  </si>
  <si>
    <t>the research was carried out according to the themes Study of Spatial-Temporal Organization of Aquatic and Land Ecosystems Aimed at Development of Operational Monitoring System based on the Remote Sensing Data and GIS Technologies No. AAAA-A19-119061190081-9 and Comprehensive Studies of the Current State of the Ecosystem of the Atlantic Sector of the Antarctic (No. AAAA-A19-119100290162-0) as well as at partial RFBR support, grants No. 18-45-920070.</t>
  </si>
  <si>
    <t>FEDERAL STATE BUDGET SCIENTIFIC INST, MARINE HYDROPHYSICAL INST</t>
  </si>
  <si>
    <t>SEVASTOPOL</t>
  </si>
  <si>
    <t>pitanskaya Str., 2, SEVASTOPOL, 299011, CRIMEA</t>
  </si>
  <si>
    <t>0928-5105</t>
  </si>
  <si>
    <t>1573-160X</t>
  </si>
  <si>
    <t>PHYS OCEANOGR</t>
  </si>
  <si>
    <t>Phys. Oceanogr.</t>
  </si>
  <si>
    <t>10.22449/1573-160X-2020-1-60-68</t>
  </si>
  <si>
    <t>LF2QN</t>
  </si>
  <si>
    <t>WOS:000527267800006</t>
  </si>
  <si>
    <t>Trathan, PN; Wienecke, B; Barbraud, C; Jenouvrier, S; Kooyman, G; Le Bohec, C; Ainley, DG; Ancel, A; Zitterbart, DP; Chown, SL; LaRue, M; Cristofari, R; Younger, J; Clucas, G; Bost, CA; Brown, JA; Gillett, HJ; Fretwell, PT</t>
  </si>
  <si>
    <t>Trathan, Philip N.; Wienecke, Barbara; Barbraud, Christophe; Jenouvrier, Stephanie; Kooyman, Gerald; Le Bohec, Celine; Ainley, David G.; Ancel, Andre; Zitterbart, Daniel P.; Chown, Steven L.; LaRue, Michelle; Cristofari, Robin; Younger, Jane; Clucas, Gemma; Bost, Charles-Andre; Brown, Jennifer A.; Gillett, Harriet J.; Fretwell, Peter T.</t>
  </si>
  <si>
    <t>The emperor penguin - Vulnerable to projected rates of warming and sea ice loss</t>
  </si>
  <si>
    <t>Antarctic; Climate change; Aptenodytes forsteri; IUCN Red List threat status; Protection; Conservation</t>
  </si>
  <si>
    <t>EASTERN WEDDELL SEA; WESTERN ROSS SEA; POST-MOLT DIET; APTENODYTES-FORSTERI; CLIMATE-CHANGE; MAWSON COAST; ADELIE LAND; BREEDING-BEHAVIOR; HABITAT; ANTARCTICA</t>
  </si>
  <si>
    <t>We argue the need to improve climate change forecasting for ecology, and importantly, how to relate long-term projections to conservation. As an example, we discuss the need for effective management of one species, the emperor penguin, Aptenodytes forsteri. This species is unique amongst birds in that its breeding habit is critically dependent upon seasonal fast ice. Here, we review its vulnerability to ongoing and projected climate change, given that sea ice is susceptible to changes in winds and temperatures. We consider published projections of future emperor penguin population status in response to changing environments. Furthermore, we evaluate the current IUCN Red List status for the species, and recommend that its status be changed to Vulnerable, based on different modelling projections of population decrease of a 50% over the current century, and the specific traits of the species. We conclude that current conservation measures are inadequate to protect the species under future projected scenarios. Only a reduction in anthropogenic greenhouse gas emissions will reduce threats to the emperor penguin from altered wind regimes, rising temperatures and melting sea ice; until such time, other conservation actions are necessary, including increased spatial protection at breeding sites and foraging locations. The designation of large-scale marine spatial protection across its range would benefit the species, particularly in areas that have a high probability of becoming future climate change refugia. We also recommend that the emperor penguin is listed by the Antarctic Treaty as an Antarctic Specially Protected Species, with development of a species Action Plan.</t>
  </si>
  <si>
    <t>[Trathan, Philip N.; Gillett, Harriet J.; Fretwell, Peter T.] British Antarctic Survey, Nat Environm Res Council, Madingley Rd, Cambridge CB3 0ET, England; [Wienecke, Barbara] Australian Antarctic Div, 203 Channel Highway, Kingston, Tas 203, Australia; [Barbraud, Christophe; Jenouvrier, Stephanie; Bost, Charles-Andre] CNRS, Ctr Etud Biol Chize, UMR 7372, F-79360 Villiers En Bois, France; [Jenouvrier, Stephanie] Woods Hole Oceanog Inst, Biol Dept, MS-50, Woods Hole, MS USA; [Kooyman, Gerald] Scripps Inst Oceanog, Scholander Hall,9500 Gilman Dr 0204, La Jolla, CA 92093 USA; [Le Bohec, Celine] CNRS, IPHC, Dept Ocol Physiol &amp; Othol, UMR 7178, 23 Rue Becquerel, F-67087 Strasbourg 02, France; [Le Bohec, Celine] Sci Ctr Monaco, Polar Biol Dept, 8 Quai Antoine 1er, MC-98000 Monaco, Monaco; [Ainley, David G.] HT Harvey &amp; Associates Ecol Consultants, Los Gatos, CA 95032 USA; [Ancel, Andre] Univ Strasbourg, IPHC, 23 Rue Becquerel, F-67087 Strasbourg, France; [Ancel, Andre] CNRS, UMR7178, F-67087 Strasbourg, France; [Zitterbart, Daniel P.] Woods Hole Oceanog Inst, Appl Ocean Phys &amp; Engn, Woods Hole, MA USA; [Zitterbart, Daniel P.] Univ Erlangen Nurnberg, Dept Phys, Henkestr 91, D-91052 Erlangen, Germany; [Chown, Steven L.] Monash Univ, Sch Biol Sci, Clayton, Vic 3800, Australia; [LaRue, Michelle] Univ Minnesota, Minneapolis &amp; St Paul, Minneapolis, MN 55455 USA; [Cristofari, Robin] Univ Turku, FI-20014 Turku, Finland; [Younger, Jane] Univ Bath, Milner Ctr Evolut, Bath BA2 7AY, Avon, England; [Clucas, Gemma] Cornell Univ, Atkinson Ctr Sustainable Future, Ithaca, NY 14850 USA; [Clucas, Gemma] Cornell Univ, Cornell Lab Ornithol, Ithaca, NY 14850 USA; [Brown, Jennifer A.] Univ Cambridge, Informat Serv, 7 JJ Thomson Ave, Cambridge CB3 0RB, England</t>
  </si>
  <si>
    <t>UK Research &amp; Innovation (UKRI); Natural Environment Research Council (NERC); NERC British Antarctic Survey; Australian Antarctic Division; Centre National de la Recherche Scientifique (CNRS); CNRS - Institute of Ecology &amp; Environment (INEE); University of California System; University of California San Diego; Scripps Institution of Oceanography; Centre National de la Recherche Scientifique (CNRS); Universites de Strasbourg Etablissements Associes; Universite de Strasbourg; Centre National de la Recherche Scientifique (CNRS); CNRS - National Institute of Nuclear and Particle Physics (IN2P3); Universites de Strasbourg Etablissements Associes; Universite de Strasbourg; Woods Hole Oceanographic Institution; University of Erlangen Nuremberg; Monash University; University of Minnesota System; University of Minnesota Twin Cities; University of Turku; University of Bath; Cornell University; Cornell University; University of Cambridge</t>
  </si>
  <si>
    <t>Trathan, PN (corresponding author), British Antarctic Survey, Nat Environm Res Council, Madingley Rd, Cambridge CB3 0ET, England.</t>
  </si>
  <si>
    <t>pnt@bas.ac.uk</t>
  </si>
  <si>
    <t>Cristofari, Robin/AAO-8097-2021; Chown, Steven/ABD-7646-2021; Zitterbart, Daniel P/N-7489-2013; Barbraud, Christophe/A-5870-2012; LE BOHEC, CELINE/AAD-3589-2022; Clucas, Gemma/ABF-9073-2021</t>
  </si>
  <si>
    <t>Barbraud, Christophe/0000-0003-0146-212X; Zitterbart, Daniel/0000-0001-9429-4350; Younger, Jane/0000-0001-5974-7350; LE BOHEC, Celine/0000-0003-0149-6477</t>
  </si>
  <si>
    <t>WWF-UK [GB095701]; NSF [OPP1744794, 1643901]; NERC [bas0100035, bas010011] Funding Source: UKRI; Directorate For Geosciences; Office of Polar Programs (OPP) [1643901] Funding Source: National Science Foundation</t>
  </si>
  <si>
    <t>WWF-UK; NSF(National Science Foundation (NSF)); NERC(UK Research &amp; Innovation (UKRI)Natural Environment Research Council (NERC)); Directorate For Geosciences; Office of Polar Programs (OPP)(National Science Foundation (NSF)NSF - Directorate for Geosciences (GEO))</t>
  </si>
  <si>
    <t>We thank Thomas J. Bracegirdle, Tony Phillips and Kevin Hughes for helpful comments on earlier drafts of this manuscript. PNT acknowledges the support of WWF-UK under GB095701 and SJ the support of NSF .OPP1744794 and 1643901</t>
  </si>
  <si>
    <t>10.1016/j.biocon.2019.108216</t>
  </si>
  <si>
    <t>KT0IV</t>
  </si>
  <si>
    <t>Green Published, hybrid, Green Accepted</t>
  </si>
  <si>
    <t>WOS:000518695100077</t>
  </si>
  <si>
    <t>Randive, K; Meshram, T</t>
  </si>
  <si>
    <t>Randive, Kirtikumar; Meshram, Tushar</t>
  </si>
  <si>
    <t>An Overview of the Carbonatites from the Indian Subcontinent</t>
  </si>
  <si>
    <t>OPEN GEOSCIENCES</t>
  </si>
  <si>
    <t>Carbonatite; Sevathur; Newania; Sung Valley; Amba Dongar; Koga; Peshawar Plain; Khanneshin; Eppawala</t>
  </si>
  <si>
    <t>DECCAN IGNEOUS PROVINCE; ENRICHED MANTLE SOURCE; AMBA-DONGAR; TAMIL-NADU; SUNG VALLEY; ALKALINE ROCKS; ISOTOPE GEOCHEMISTRY; CHHOTA-UDAIPUR; TRACE-ELEMENTS; SOUTHERN INDIA</t>
  </si>
  <si>
    <t>Carbonatites are carbonate-rich rocks of igneous origin. They form the magmas of their own that are generated in the deep mantle by low degrees of partial melting of carbonated peridotite or eclogite source rocks. They are known to occur since the Archaean times till recent, the activity showing gradual increase from older to younger times. They are commonly associated with alkaline rocks and be genetically related with them. They often induce metasomatic alteration in the country rocks forming an aureole of fenitization around them. They are host for economically important mineral deposits including rare metals and REE. They are commonly associated with the continental rifts, but are also common in the orogenic belts; but not known to occur in the intra-plate regions. The carbonatites are known to occur all over the globe, majority of the occurrences located in Africa, Fenno-Scandinavia, Karelian-Kola, Mongolia, China, Australia, South America and India. In the Indian Subcontinent carbonatites occur in India, Pakistan, Afghanistan and Sri Lanka; but so far not known to occur in Nepal, Bhutan, Bangladesh and Myanmar. This paper takes an overview of the carbonatite occurrences in the Indian Subcontinent in the light of recent data. The localities being discussed in detail cover a considerable time range (&gt;2400 Ma to &lt;0.6 Ma) from India (Hogenakal, Newania, Sevathur, Sung Valley, Sarnu-Dandali and Mundwara, and Amba Dongar), Pakistan (Permian Koga and Tertiary Pehsawar Plain Alkaline Complex which includes Loe Shilman, Sillai Patti, Jambil and Jawar), Afghanistan (Khanneshin) and Sri Lanka (Eppawala). This review provide the comprehensive information about geochemical characteristics and evolution of carbonatites in Indian Subcontinent with respect to space and time.</t>
  </si>
  <si>
    <t>[Randive, Kirtikumar; Meshram, Tushar] RTM Nagpur Univ, Dept Geol, Nagpur 440001, Maharashtra, India; [Meshram, Tushar] Geol Survey India, Nagpur 440006, Maharashtra, India</t>
  </si>
  <si>
    <t>Rashtrasant Tukadoji Maharaj Nagpur University; Geological Survey India</t>
  </si>
  <si>
    <t>Randive, K (corresponding author), RTM Nagpur Univ, Dept Geol, Nagpur 440001, Maharashtra, India.</t>
  </si>
  <si>
    <t>randive101@yahoo.co.in</t>
  </si>
  <si>
    <t>National Centre for Antarctic Research, Goa [NCAOR/MoES/9/11/NU/2012]; Science and Engineering Research Board, New Delhi [EMR/2017/003099]</t>
  </si>
  <si>
    <t>National Centre for Antarctic Research, Goa; Science and Engineering Research Board, New Delhi</t>
  </si>
  <si>
    <t>KRR acknowledges partial assistance through National Centre for Antarctic Research, Goa through research (NCAOR/MoES/9/11/NU/2012) and Science and Engineering Research Board, New Delhi (EMR/2017/003099) for the generous financial support.</t>
  </si>
  <si>
    <t>DE GRUYTER POLAND SP Z O O</t>
  </si>
  <si>
    <t>BOGUMILA ZUGA 32A STR, 01-811 WARSAW, MAZOVIA, POLAND</t>
  </si>
  <si>
    <t>2391-5447</t>
  </si>
  <si>
    <t>OPEN GEOSCI</t>
  </si>
  <si>
    <t>Open Geosci.</t>
  </si>
  <si>
    <t>10.1515/geo-2020-0007</t>
  </si>
  <si>
    <t>LD6ZD</t>
  </si>
  <si>
    <t>WOS:000526178800001</t>
  </si>
  <si>
    <t>Nuncio, M; Chatterjee, S; Satheesan, K; Chenoli, SN; Subeesh, MP</t>
  </si>
  <si>
    <t>Nuncio, M.; Chatterjee, Sourav; Satheesan, K.; Chenoli, Sheeba Nettukandy; Subeesh, M. P.</t>
  </si>
  <si>
    <t>Temperature and precipitation during winter in NyAlesund, Svalbard and possible tropical linkages</t>
  </si>
  <si>
    <t>TELLUS SERIES A-DYNAMIC METEOROLOGY AND OCEANOGRAPHY</t>
  </si>
  <si>
    <t>Arctic temperature; Arctic precipitation; Svalbard; ENSO; MJO</t>
  </si>
  <si>
    <t>MADDEN-JULIAN OSCILLATION; SEA-ICE; CLIMATE-CHANGE; GLOBAL CLIMATE; URAL BLOCKING; NY-ALESUND; PACIFIC; IMPACT; MECHANISMS; SIMULATION</t>
  </si>
  <si>
    <t>Winter (DJF) temperature and precipitation variability in an Arctic Archipelago, Svalbard is investigated for an extreme event during December 2015 as well as on interannual time scales. During December 2015-16, a strong high pressure anomaly over northern Europe channelised warm and moist air into Ny Alesund (similar to 79 degrees N and similar to 11 degrees E) resulting in extreme temperature and precipitation. This high pressure anomaly was a result of wave trains associated with the Madden Julian Oscillation (MJO). On interannual time scales, the observation site, Ny Alesund was characterised by an increasing trend in precipitation and temperature. A composite of SLP anomalies associated with the temperature and precipitation anomalies was characterised by a high pressure anomaly over northern Europe. The second mode in the EOF of SLP anomalies during winter (DJF) also indicated the presence of a high pressure anomaly over northern Europe, extending into the Pacific. The mode was correlated significantly with the ENSO. During the study period, more than 50% of the ENSO events influenced temperature and precipitation in Ny Alesund. In the present study, the EOF-2 temporal pattern correlated strongly with La Nina in the Pacific, suggesting the generation of a high/low pressure anomaly during negative/positive ENSO phases. On interannual timescales, extremes were conspicuous, particularly when La Nina coincided with active MJO. This may be due to the fact that both processes generate similar pressure anomalies in northern Europe and reinforce each other. This study also suggests that the influence of El Nino is weaker than La Nina. It is also noted that decadal oscillations in the Pacific, particularly the Interdecadal Pacific Oscillation (IPO) also enhance the high-pressure anomalies over northern Europe. Thus, the temperature and precipitation in a high Arctic location, Ny Alesund is interconnected, at least hemispherically and is defined by processes of different time scales.</t>
  </si>
  <si>
    <t>[Nuncio, M.; Chatterjee, Sourav; Subeesh, M. P.] Natl Ctr Antarctic &amp; Ocean Res, Vasco Da Gama, Goa, India; [Satheesan, K.] Cochin Univ Sci &amp; Technol, Dept Atmospher Sci, Kochi, India; [Chenoli, Sheeba Nettukandy] Univ Malaya, Fac Arts &amp; Social Sci, Dept Geog, Kuala Lumpur, Malaysia; [Chenoli, Sheeba Nettukandy] Univ Malaya, Natl Antarctic Res Ctr, Kuala Lumpur, Malaysia</t>
  </si>
  <si>
    <t>Ministry of Earth Sciences (MoES) - India; National Centre for Polar and Ocean Research (NCPOR); Cochin University Science &amp; Technology; Universiti Malaya; Universiti Malaya</t>
  </si>
  <si>
    <t>Nuncio, M (corresponding author), Natl Ctr Antarctic &amp; Ocean Res, Vasco Da Gama, Goa, India.</t>
  </si>
  <si>
    <t>nuncio@ncpor.res.in</t>
  </si>
  <si>
    <t>K, Satheesan/B-8495-2009; Chenoli, Sheeba Nettukandy/G-6726-2012; Chatterjee, Sourav/GLR-0397-2022</t>
  </si>
  <si>
    <t>K, Satheesan/0000-0003-1456-7203; Chatterjee, Sourav/0000-0003-4003-4371; M. P, Subeesh/0000-0001-9051-7916</t>
  </si>
  <si>
    <t>FRGS [FP059-2019A]</t>
  </si>
  <si>
    <t>FRGS</t>
  </si>
  <si>
    <t>The authors thank Director NCPOR for his keen interest and encouragement for this study. SST was obtained from Met Office Hadley Centre web site http://hadobs.metoffice.com/hadisst/data/download.html.ERA interim was downloaded from http://apps.ecmwf.int/datasets/data/.We thank two anonymous referees for their comments. This is NCAOR contribution J-69/2019-20. One of the co-authors, Sheeba Nettukandy Chenoli would like to acknowledge FRGS project FP059-2019A.</t>
  </si>
  <si>
    <t>1600-0870</t>
  </si>
  <si>
    <t>TELLUS A</t>
  </si>
  <si>
    <t>Tellus Ser. A-Dyn. Meteorol. Oceanol.</t>
  </si>
  <si>
    <t>10.1080/16000870.2020.1746604</t>
  </si>
  <si>
    <t>LE0TW</t>
  </si>
  <si>
    <t>WOS:000526438400001</t>
  </si>
  <si>
    <t>da Fonseca, RR; Couto, A; Machado, AM; Brejova, B; Albertin, CB; Silva, F; Gardner, P; Baril, T; Hayward, A; Campos, A; Ribeiro, AM; Barrio-Hernandez, I; Hoving, HJ; Tafur-Jimenez, R; Chu, C; Frazao, B; Petersen, B; Peñaloza, F; Musacchia, F; Alexander, GC ; Osório, H; Winkelmann, I; Simakov, O; Rasmussen, S; Rahman, MZ; Pisani, D; Vinther, J; Jarvis, E; Zhang, GJ; Strugnell, JM; Castro, LFC; Fedrigo, O; Patricio, M; Li, QY; Rocha, S; Antunes, A; Wu, YF; Ma, B; Sanges, R; Vinar, T; Blagoev, B; Sicheritz-Ponten, T; Nielsen, R; Gilbert, MTP</t>
  </si>
  <si>
    <t>da Fonseca, Rute R.; Couto, Alvarina; Machado, Andre M.; Brejova, Brona; Albertin, Carolin B.; Silva, Filipe; Gardner, Paul; Baril, Tobias; Hayward, Alex; Campos, Alexandre; Ribeiro, Angela M.; Barrio-Hernandez, Inigo; Hoving, Henk-Jan; Tafur-Jimenez, Ricardo; Chu, Chong; Frazao, Barbara; Petersen, Bent; Penaloza, Fernando; Musacchia, Francesco; Alexander, Graham C., Jr.; Osorio, Hugo; Winkelmann, Inger; Simakov, Oleg; Rasmussen, Simon; Rahman, M. Ziaur; Pisani, Davide; Vinther, Jakob; Jarvis, Erich; Zhang, Guojie; Strugnell, Jan M.; Castro, L. Filipe C.; Fedrigo, Olivier; Patricio, Mateus; Li, Qiye; Rocha, Sara; Antunes, Agostinho; Wu, Yufeng; Ma, Bin; Sanges, Remo; Vinar, Tomas; Blagoev, Blagoy; Sicheritz-Ponten, Thomas; Nielsen, Rasmus; Gilbert, M. Thomas P.</t>
  </si>
  <si>
    <t>A draft genome sequence of the elusive giant squid, Architeuthis dux</t>
  </si>
  <si>
    <t>cephalopod; invertebrate; genome assembly</t>
  </si>
  <si>
    <t>DE-NOVO IDENTIFICATION; TRANSFER-RNA GENES; HOX GENES; ANNOTATION; FAMILIES; EVOLUTION; PROTEINS</t>
  </si>
  <si>
    <t>Background: The giant squid (Architeuthis dux; Steenstrup, 1857) is an enigmatic giant mollusc with a circumglobal distribution in the deep ocean, except in the high Arctic and Antarctic waters. The elusiveness of the species makes it difficult to study. Thus, having a genome assembled for this deep-sea-dwelling species will allow several pending evolutionary questions to be unlocked. Findings: We present a draft genome assembly that includes 200 Gb of Illumina reads, 4 Gb of Moleculo synthetic long reads, and 108 Gb of Chicago libraries, with a final size matching the estimated genome size of 2.7 Gb, and a scaffold N50 of 4.8 Mb. We also present an alternative assembly including 27 Gb raw reads generated using the Pacific Biosciences platform. In addition, we sequenced the proteome of the same individual and RNA from 3 different tissue types from 3 other species of squid (Onychoteuthis banksii, Dosidicus gigas, and Sthenoteuthis oualaniensis) to assist genome annotation. We annotated 33,406 protein-coding genes supported by evidence, and the genome completeness estimated by BUSCO reached 92%. Repetitive regions cover 49.17% of the genome. Conclusions: This annotated draft genome of A. dux provides a critical resource to investigate the unique traits of this species, including its gigantism and key adaptations to deep-sea environments.</t>
  </si>
  <si>
    <t>[da Fonseca, Rute R.] Univ Copenhagen, GLOBE Inst, CMEC, Univ Pk 15, DK-2100 Copenhagen, Denmark; [da Fonseca, Rute R.] Univ Copenhagen, Dept Biol, Bioinformat Ctr, Ole Maaloes Vej 5, DK-2200 Copenhagen, Denmark; [Couto, Alvarina; Rocha, Sara] Univ Vigo, Dept Biochem Genet &amp; Immunol, Vigo 36310, Spain; [Machado, Andre M.; Silva, Filipe; Campos, Alexandre; Ribeiro, Angela M.; Frazao, Barbara; Castro, L. Filipe C.; Antunes, Agostinho] Univ Porto, Interdisciplinary Ctr Marine &amp; Environm Res, CIIMAR, Av Gen Norton Matos, P-4450208 Matosinhos, Portugal; [Brejova, Brona; Vinar, Tomas] Comenius Univ, Fac Math Phys &amp; Informat, Bratislava 84248, Slovakia; [Albertin, Carolin B.] Marine Biol Lab, Eugene Bell Ctr Regenerat Biol &amp; Tissue Engn, Woods Hole, MA 02543 USA; [Gardner, Paul] Univ Otago, Dept Biochem, 710 Cumberland St, Dunedin 9016, New Zealand; [Baril, Tobias; Hayward, Alex] Univ Exeter, Ctr Ecol &amp; Conservat, Penryn Campus, Penryn TR10 9FE, Cornwall, England; [Barrio-Hernandez, Inigo; Blagoev, Blagoy] Univ Southern Denmark, Dept Biochem &amp; Mol Biol, Campusvej 55, DK-5230 Odense M, Denmark; [Hoving, Henk-Jan] GEOMAR Helmholtz Ctr Ocean Res Kiel, Wischhofstr 1-3, D-24148 Kiel, Germany; [Tafur-Jimenez, Ricardo] Inst Mar Peru Esq Gamarra &amp; Gral Valle, Chucuito Apartado 22, Callao, Peru; [Chu, Chong] Harvard Med Sch, Dept Biomed Informat, Boston, MA 02115 USA; [Frazao, Barbara] IPMA, Fitoplancton Lab, Rua C Aeroporto, P-1749077 Lisbon, Portugal; [Petersen, Bent; Sicheritz-Ponten, Thomas] AIMST Univ, Fac Sci Appl, Ctr Excellence Omics Driven Computat Biodiscovery, Batu 3 1-2, Bedong 08100, Kedah, Malaysia; [Petersen, Bent; Sicheritz-Ponten, Thomas] Univ Copenhagen, Globe Inst, Evolutionary Genom Sect, Oster Farimagsgade 5, DK-1353 Copenhagen, Denmark; [Penaloza, Fernando] Univ Nacl Autonoma Mexico, Inst Invest Biomed, Inst Nacl Cancerol, Unidad Invest Biomed Canc, Mexico City, DF, Mexico; [Musacchia, Francesco] Telethon Inst Genet &amp; Med, Genom Med, Via Campi Flegrei 34, I-80078 Naples, Italy; [Alexander, Graham C., Jr.] Duke Univ, GCB Sequencing &amp; Genom Technol Shared Resource, CIEMAS, 101 Sci Dr, Durham, NC 27708 USA; [Osorio, Hugo] Univ Porto, I3S, Rua Alfredo Allen 208, P-4200135 Porto, Portugal; [Osorio, Hugo] Univ Porto, IPATIMUP Inst Mol Pathol &amp; Immunol, Rua Julio Amaral de Carvalho 45, P-4200135 Porto, Portugal; [Osorio, Hugo] Univ Porto, Fac Med, Alameda Prof Hernani Monteiro, P-4200319 Porto, Portugal; [Winkelmann, Inger; Nielsen, Rasmus; Gilbert, M. Thomas P.] Univ Copenhagen, GLOBE Inst, Sect GeoGenet, Oster Voldgade 5-7, DK-1350 Copenhagen, Denmark; [Simakov, Oleg] Univ Vienna, Dept Mol Evolut &amp; Dev, Althanstr 14 UZA1, A-1090 Vienna, Austria; [Rasmussen, Simon] Univ Copenhagen, Fac Hlth &amp; Med Sci, Ctr Prot Res, Novo Nordisk Fdn, Blegdamsvej 3B, DK-21003 Copenhagen, Denmark; [Rahman, M. Ziaur] Bioinformat Solut Inc, 470 Weber St N Suite 204, Waterloo, ON N2L 6J2, Canada; [Pisani, Davide; Vinther, Jakob] Univ Bristol, Sch Biol Sci, 24 Tyndall Ave, Bristol BS8 1TG, Avon, England; [Pisani, Davide; Vinther, Jakob] Univ Bristol, Sch Earth Sci, 24 Tyndall Ave, Bristol BS8 1TG, Avon, England; [Jarvis, Erich] Howard Hughes Med Inst, 4000 Jones Bridge Rd, Chevy Chase, MD 20815 USA; [Jarvis, Erich; Fedrigo, Olivier] Rockefeller Univ, 1230 York Ave, New York, NY 10065 USA; [Patricio, Mateus] EMBL EBI, Wellcome Genome Campus, Cambridge CB10 1SD, England; [Zhang, Guojie] Univ Copenhagen, Dept Biol, Sect Ecol &amp; Evolut, Univ Pk 15, DK-2100 Copenhagen, Denmark; [Zhang, Guojie] BGI Shenzhen, China Natl Genebank, Shenzhen 518083, Peoples R China; [Zhang, Guojie] Chinese Acad Sci, Kunming Inst Zool, State Key Lab Genet Resources &amp; Evolut, 32 Jiaochang Donglu, Kunming 650223, Yunnan, Peoples R China; [Zhang, Guojie] Chinese Acad Sci, CAS Ctr Excellence Anim Evolut &amp; Genet, 32 Jiaochang Donglu, Kunming 650223, Yunnan, Peoples R China; [Strugnell, Jan M.] James Cook Univ, Ctr Sustainable Trop Fisheries &amp; Aquaculture, Douglas, Qld 4814, Australia; [Strugnell, Jan M.] La Trobe Univ, Sch Life Sci, Dept Ecol Environm &amp; Evolut, Melbourne, Vic 3086, Australia; [Silva, Filipe; Castro, L. Filipe C.; Antunes, Agostinho] Univ Porto, Fac Sci, Dept Biol, Rua Campo Alegre, P-4169007 Porto, Portugal; [Li, Qiye] BGI Shenzhen, Shenzhen, Peoples R China; [Rocha, Sara] Univ Vigo, Biomed Res Ctr CINBIO, Campus Univ Lagoas Marcosende, Vigo 36310, Spain; [Wu, Yufeng] Univ Connecticut, Dept Comp Sci &amp; Engn, Storrs, CT 06269 USA; [Ma, Bin] Univ Waterloo, Sch Comp Sci, 200 Univ Ave W, Waterloo, ON N2L 3G1, Canada; [Sanges, Remo] SISSA, Area Neurosci, Via Bonomea 265, I-34136 Trieste, Italy; [Sanges, Remo] Stn Zool Anton Dohrn, Biol &amp; Evolut Marine Organisms, Villa Comunale, I-80121 Naples, Italy; [Nielsen, Rasmus] Univ Calif Berkeley, Dept Integrat Biol, 3040 Valley Life Sci, Berkeley, CA 94720 USA; [Nielsen, Rasmus] Univ Calif Berkeley, Dept Stat, 3040 Valley Life Sci, Berkeley, CA 94720 USA; [Gilbert, M. Thomas P.] Norwegian Univ Sci &amp; Technol, Univ Museum, Hogskolering 1, N-7491 Trondheim, Norway</t>
  </si>
  <si>
    <t>University of Copenhagen; University of Copenhagen; Universidade de Vigo; Universidade do Porto; Comenius University Bratislava; Marine Biological Laboratory - Woods Hole; University of Otago; University of Exeter; University of Southern Denmark; Helmholtz Association; GEOMAR Helmholtz Center for Ocean Research Kiel; Harvard University; Harvard Medical School; Instituto Portugues do Mar e da Atmosfera; AIMST University; University of Copenhagen; Universidad Nacional Autonoma de Mexico; Instituto Nacional de Cancerologia (INCAN); Fondazione Telethon; Telethon Institute of Genetics &amp; Medicine (TIGEM); Duke University; Universidade do Porto; i3S - Instituto de Investigacao e Inovacao em Saude, Universidade do Porto; Universidade do Porto; Universidade do Porto; University of Copenhagen; University of Vienna; Novo Nordisk Foundation; University of Copenhagen; University of Bristol; University of Bristol; Howard Hughes Medical Institute; Rockefeller University; European Molecular Biology Laboratory (EMBL); University of Copenhagen; Beijing Genomics Institute (BGI); Chinese Academy of Sciences; Kunming Institute of Zoology, CAS; Chinese Academy of Sciences; James Cook University; La Trobe University; Melbourne Genomics Health Alliance; Universidade do Porto; Beijing Genomics Institute (BGI); Universidade de Vigo; CINBIO; University of Connecticut; University of Waterloo; International School for Advanced Studies (SISSA); Stazione Zoologica Anton Dohrn di Napoli; University of California System; University of California Berkeley; University of California System; University of California Berkeley; Norwegian University of Science &amp; Technology (NTNU)</t>
  </si>
  <si>
    <t>da Fonseca, RR (corresponding author), CMEC, Univ Pk 15, DK2100 Copenhagen, Denmark.</t>
  </si>
  <si>
    <t>rfonseca@sund.ku.dk</t>
  </si>
  <si>
    <t>Campos, Alexandre/AGP-3558-2022; Campos, Alexandre/IRZ-6131-2023; Sanges, Remo/M-9814-2019; Nummer2, CMEC/HKE-1900-2023; Gilbert, Thomas/JSK-2650-2023; Strugnell, Jan M/P-9921-2016; Rocha, Sara/L-9557-2013; Simakov, Oleg/AAV-2494-2020; Pisani, Davide/ABD-5225-2021; Gardner, Paul P./B-1978-2009; Rasmussen, Simon/G-6258-2016; Chu, Chong/AAA-4613-2022; Jarvis, Erich D/A-2319-2008; Zhang, Guojie/HCH-1880-2022; Wu, Yufeng/C-1919-2012; Musacchia, Francesco/AAK-5825-2020; Ribeiro, Ângela/AAI-1223-2019; Castro, Filipe/AAA-2197-2022; Machado, André M./AAG-2386-2020; Winkelmann, Inger/C-1514-2015; Baril, Tobias/HTR-9863-2023; Osorio, Hugo/A-7847-2012; Rasmussen, Simon/AAA-2308-2020; Brejova, Brona/I-3718-2014; Couto, Alvarina/M-4606-2013; Vinther, Jakob/GZG-4679-2022; Blagoev, Blagoy/JDW-1009-2023; Vinar, Tomas/JHU-6446-2023; Sicheritz-Ponten, Thomas/A-4325-2017; Zhang, Guojie/J-7273-2019; Li, Qiye/C-1348-2015; da Fonseca, Rute/F-9143-2013; Vinar, Tomas/I-3695-2014; Gilbert, Marcus/A-8936-2013; Hoving, Henk-Jan T./A-9267-2018</t>
  </si>
  <si>
    <t>Campos, Alexandre/0000-0003-4621-885X; Sanges, Remo/0000-0002-5047-9713; Rocha, Sara/0000-0002-9705-1511; Simakov, Oleg/0000-0002-3585-4511; Pisani, Davide/0000-0003-0949-6682; Chu, Chong/0000-0002-0796-2339; Musacchia, Francesco/0000-0001-9440-1080; Ribeiro, Ângela/0000-0003-0666-3449; Castro, Filipe/0000-0001-7697-386X; Machado, André M./0000-0002-6857-7581; Winkelmann, Inger/0000-0002-5010-3169; Baril, Tobias/0000-0002-5936-7531; Rasmussen, Simon/0000-0001-6323-9041; Vinther, Jakob/0000-0002-3584-9616; Sicheritz-Ponten, Thomas/0000-0001-6615-1141; Zhang, Guojie/0000-0001-6860-1521; Frazao, Barbara/0000-0002-1996-9191; Li, Qiye/0000-0002-5993-0312; da Fonseca, Rute/0000-0002-2805-4698; Barrio-Hernandez, Inigo/0000-0002-5686-0451; Osorio, Hugo/0000-0002-6362-8255; Vinar, Tomas/0000-0003-3898-3447; Petersen, Bent/0000-0002-2472-8317; Gilbert, Marcus/0000-0002-5805-7195; Hoving, Henk-Jan T./0000-0002-4330-6507; Albertin, Caroline/0000-0003-0933-7665; Blagoev, Blagoy/0000-0002-3596-0066</t>
  </si>
  <si>
    <t>Villum Fonden (Villum Fonden Young Investigator Grant) [VKR023446]; Portuguese Science Foundation (FCT) [PTDC/MAR/115347/2009, COMPETEFCOMP-01-012, FEDER-015453]; Marie Curie Actions [272927]; Danish National Research Foundation [DNRF96]; COMPETE [ROTEIRO/0028/2013, LISBOA01-0145-FEDER-022125]; North Portugal Regional Operational Programme (Norte2020) under the PORTUGAL 2020 Partnership Agreement, through the European Regional Development Fund (ERDF); FCT [PTDC/CTAAMB/31774/2017, UID/Multi/04423/2019, SFRH/BD/126560/2016]; Wellcome Trust [WT108749/Z/15/Z]; European Molecular Biology Laboratory; Danish National Research Foundation for its funding of the Center for GeoGenetics [DNRF94]; Lundbeck Foundation [R52-A4895, R52-5062]; Novo Nordisk Foundation [NNF14CC0001]; Biotechnology and Biological Sciences Research Council David Phillips Fellowship [BB/N020146/1]; Biotechnology and Biological Sciences Research Council-funded South West Biosciences Doctoral Training Partnership [BB/M009122/1]; David and Lucile Packard Foundation; Netherlands Organization for Scientific Research [825.09.016]; Deutsche Forschungsgemeinschaft (DFG) [HO 5569/2-1]; Slovak grant agency VEGA [1/0684/16, 1/0458/18]; DeiC National Life Science Supercomputer at DTU; US National Science Foundation [IIS1526415]; BBSRC [BB/N020146/1] Funding Source: UKRI; Fundação para a Ciência e a Tecnologia [PTDC/MAR/115347/2009, SFRH/BD/126560/2016] Funding Source: FCT</t>
  </si>
  <si>
    <t>Villum Fonden (Villum Fonden Young Investigator Grant); Portuguese Science Foundation (FCT)(Fundacao para a Ciencia e a Tecnologia (FCT)); Marie Curie Actions(European Union (EU)Marie Curie Actions); Danish National Research Foundation(Danmarks Grundforskningsfond); COMPETE; North Portugal Regional Operational Programme (Norte2020) under the PORTUGAL 2020 Partnership Agreement, through the European Regional Development Fund (ERDF); FCT(Fundacao para a Ciencia e a Tecnologia (FCT)); Wellcome Trust(Wellcome Trust); European Molecular Biology Laboratory; Danish National Research Foundation for its funding of the Center for GeoGenetics; Lundbeck Foundation(Lundbeckfonden); Novo Nordisk Foundation(Novo Nordisk FoundationNovocure Limited); Biotechnology and Biological Sciences Research Council David Phillips Fellowship(UK Research &amp; Innovation (UKRI)Biotechnology and Biological Sciences Research Council (BBSRC)); Biotechnology and Biological Sciences Research Council-funded South West Biosciences Doctoral Training Partnership(UK Research &amp; Innovation (UKRI)Biotechnology and Biological Sciences Research Council (BBSRC)); David and Lucile Packard Foundation(The David &amp; Lucile Packard Foundation); Netherlands Organization for Scientific Research(Netherlands Organization for Scientific Research (NWO)); Deutsche Forschungsgemeinschaft (DFG)(German Research Foundation (DFG)); Slovak grant agency VEGA(Vedecka grantova agentura MSVVaS SR a SAV (VEGA)); DeiC National Life Science Supercomputer at DTU; US National Science Foundation(National Science Foundation (NSF)); BBSRC(UK Research &amp; Innovation (UKRI)Biotechnology and Biological Sciences Research Council (BBSRC)); Fundação para a Ciência e a Tecnologia(Fundacao para a Ciencia e a Tecnologia (FCT))</t>
  </si>
  <si>
    <t>R.R.F. thanks the Villum Fonden for grant VKR023446 (Villum Fonden Young Investigator Grant), the Portuguese Science Foundation (FCT) for grant PTDC/MAR/115347/2009; COMPETEFCOMP-01-012; FEDER-015453, Marie Curie Actions (FP7-PEOPLE2010-IEF, Proposal 272927), and the Danish National Research Foundation (DNRF96) for its funding of the Center for Macroecology, Evolution, and Climate. H.O. thanks the Rede Nacional de Espectrometria de Massa, ROTEIRO/0028/2013, ref. LISBOA01-0145-FEDER-022125, supported by COMPETE and North Portugal Regional Operational Programme (Norte2020), under the PORTUGAL 2020 Partnership Agreement, through the European Regional Development Fund (ERDF). A.C. thanks FCT for project UID/Multi/04423/2019. M.P. acknowledges the support from the Wellcome Trust (grant number WT108749/Z/15/Z) and the European Molecular Biology Laboratory. M.P.T.G. thanks the Danish National Research Foundation for its funding of the Center for GeoGenetics (grant DNRF94) and Lundbeck Foundation for grant R52-5062 on Pathogen Palaeogenomics. S.R. was supported by the Novo Nordisk Foundation grant NNF14CC0001. A.H. is supported by a Biotechnology and Biological Sciences Research Council David Phillips Fellowship (fellowship reference: BB/N020146/1). T.B. is supported by the Biotechnology and Biological Sciences Research Council-funded South West Biosciences Doctoral Training Partnership (training grant reference BB/M009122/1). This work was partially funded by the Lundbeck Foundation (R52-A4895 to B.B.).; H.J.T.H. was supported by the David and Lucile Packard Foundation, the Netherlands Organization for Scientific Research (#825.09.016), and currently by the Deutsche Forschungsgemeinschaft (DFG) under grant HO 5569/2-1 (Emmy Noether Junior Research Group). T.V. and B. Brejova were supported by grants from the Slovak grant agency VEGA (1/0684/16, 1/0458/18). F.S. was supported by a PhD grant (SFRH/BD/126560/2016) from FCT. A.A. was partly supported by the FCT project PTDC/CTAAMB/31774/2017. C.C. and Y.W. are partly supported by grant IIS1526415 from the US National Science Foundation. Computation for the work described in this article was partially supported by the DeiC National Life Science Supercomputer at DTU.</t>
  </si>
  <si>
    <t>giz152</t>
  </si>
  <si>
    <t>10.1093/gigascience/giz152</t>
  </si>
  <si>
    <t>LB5RK</t>
  </si>
  <si>
    <t>WOS:000524693000005</t>
  </si>
  <si>
    <t>Pearson, M</t>
  </si>
  <si>
    <t>Pearson, Michael</t>
  </si>
  <si>
    <t>'KNOWING' THE SOUTH SHETLAND ISLANDS The Role of Sealers' Charts</t>
  </si>
  <si>
    <t>SHIMA-THE INTERNATIONAL JOURNAL OF RESEARCH INTO ISLAND CULTURES</t>
  </si>
  <si>
    <t>charts; exploration; South Shetland Islands; Antarctica; imperialism; toponomy; sealing</t>
  </si>
  <si>
    <t>CARTOGRAPHY; POWER</t>
  </si>
  <si>
    <t>'Discovery' and 'knowing' are two separate processes. Charting of new coasts has been characterised as a colonising action, expressing a power relationship underpinned by discovery, but in the case of the sealers in the South Shetlands it was as much the necessity to know the islands in order to survive as it was an act of 'owning' the new land. The South Shetland Islands, located loo km off the Antarctic Peninsula and goo km south of Cape Horn, were discovered by Western mariners in 1819. Over the next three years, charts and sailing directions for the islands were created by a Royal Navy surveyor, and by sealers from Britain and the USA. This article looks at the resulting products, and analyses the complex process of knowing new and challenging territory, the underlying influences that can be read into the charts and journals, and in the naming of places in the new territory. It also reflects on the complex and sometimes contradictory forces that distinguish the naval, British sealer and American sealer ways of seeking to understand the South Shetlands.</t>
  </si>
  <si>
    <t>mike.p@ozemail.com.au</t>
  </si>
  <si>
    <t>MACQUARIE UNIV, DIV HUMANITIES</t>
  </si>
  <si>
    <t>SYDNEY</t>
  </si>
  <si>
    <t>MACQUARIE UNIV, SYDNEY, NSW 2109, AUSTRALIA</t>
  </si>
  <si>
    <t>1834-6049</t>
  </si>
  <si>
    <t>1834-6057</t>
  </si>
  <si>
    <t>SHIMA</t>
  </si>
  <si>
    <t>Shima</t>
  </si>
  <si>
    <t>10.21463/shima.14.1.09</t>
  </si>
  <si>
    <t>KZ9OM</t>
  </si>
  <si>
    <t>WOS:000523588500007</t>
  </si>
  <si>
    <t>Greenland, F; Hayward, P</t>
  </si>
  <si>
    <t>Greenland, Felicity; Hayward, Philip</t>
  </si>
  <si>
    <t>NINGEN The generation of media-lore concerning a giant, sub-Antarctic, aquatic humanoid and its relation to Japanese whaling activity</t>
  </si>
  <si>
    <t>ningen; media-lore; aquapelagic imaginary; Japanese whaling</t>
  </si>
  <si>
    <t>The ningen, a giant, sub-Antarctic aquatic humanoid, is a mythical creature created by Japanese Internet users in the mid-2000s. Since its inception it has crossed over into international Internet contexts and has been embellished and inflected in various ways. As such it forms an element within modern media-lore, joining a host of pre-constituted mythic/folkloric creatures and more modern inventions. One of the most notable aspects of ningen media-lore is that the creature was conceived as an inhabitant of sub-Antarctic waters, which have not traditionally been perceived to be rich in cryptozoological entities. Within this location it has been closely associated with Japan's Southern Ocean whaling fleet and can, in this regard, be understood as a manifestation of a modern aquapelagic imaginary. The article identifies that the original location of the ningen's story is not merely incidental to its circulation and elaboration but is, rather, a key element of its emergence as a Japanese figure and a continuing aspect of its significance in a broader, international arena.</t>
  </si>
  <si>
    <t>[Greenland, Felicity] Doshisha Univ, Kyoto, Japan; [Hayward, Philip] Univ Technol Sydney, Sydney, NSW, Australia</t>
  </si>
  <si>
    <t>Doshisha University; University of Technology Sydney</t>
  </si>
  <si>
    <t>Greenland, F (corresponding author), Doshisha Univ, Kyoto, Japan.</t>
  </si>
  <si>
    <t>felicity.greenland@gmail.com; prhshima@gmail.com</t>
  </si>
  <si>
    <t>10.21463/shima.14.1.10</t>
  </si>
  <si>
    <t>WOS:000523588500008</t>
  </si>
  <si>
    <t>Azizan, AA; Radzi, R; Omar, WMW; Convey, P; Merican, FMMS</t>
  </si>
  <si>
    <t>Azizan, Asmimie Asmawarnie; Radzi, Ranina; Omar, Wan Maznah Wan; Convey, Peter; Merican, Faradina Merican Mohd Sidik</t>
  </si>
  <si>
    <t>First Records of Morphological Diversity and Ecology of Periphytic Cyanobacteria from Tukun River, Penang Forest Reserve, Malaysia</t>
  </si>
  <si>
    <t>Cyanobacteria; Malaysia; Periphytic; Stream; National Park</t>
  </si>
  <si>
    <t>STREAM MACROALGAE; COMMUNITIES; ALGAE</t>
  </si>
  <si>
    <t>Despite the abundance of streams and rivers in Malaysia, the algal communities of these lotic ecosystems have remained largely unstudied. In a one-year floristic survey conducted from December 2014, 24 cyanobacterial morphospecies were identified for the first time from Tukun River, Penang Forest Reserve. Ten morphospecies were identified directly from field specimens while the remaining 14 morphospecies were identified only in cultures derived from the field samples. A total of 17 morphospecies; Leptolyngbya cf. botyana, L. cf. foveolarum, L. valderiana, Chroococcus cf. cohaerens, C. cf. disperses, C. cf. membraninus, C. cf. minutus, C. cf. varius, Gloeocapsopsis cf. crepidinum, Geitlerinema cf. fenuius, Phormidium simplicissimum, Dolichospermum sp., Fischerella sp., Homoeoptyche repens, Nematoplaca inscrustens, Scytonema hofmanii and S. stuposum are new records for Malaysia. Crusts were the most dominant macroscopic forms (seven morphospecies) followed by mats (three morphospecies). Scytonema was the most frequently encountered genus, occurring at 8/9 sampling sites. The presence of heterocytous cyanobacteria (S. stuposum, S. hofmanni) in 8/9 sampling sites is consistent with the low nitrate levels (&lt; 0.74 mg/L) recorded throughout the study stream. Chroococcales were dominant in both upper and middle parts of the stream. The morphospecies present showed distinct distribution patterns despite apparently minimal variations in ecological parameters such as temperature, dissolved oxygen, pH and conductivity between the sampling sites. This study provides important new baseline information in understanding the diversity of periphytic cyanobacteria not only in Penang Island but more widely in Malaysia. This information can make a useful contribution in biomonitoring stream health.</t>
  </si>
  <si>
    <t>[Azizan, Asmimie Asmawarnie; Radzi, Ranina; Omar, Wan Maznah Wan; Merican, Faradina Merican Mohd Sidik] Univ Sains Malaysia, Sch Biol Sci, Usm Pulau Pinang 11800, Malaysia; [Convey, Peter] British Antarctic Survey, NERC, Madingley Rd, Cambridge CB3 0ET, England</t>
  </si>
  <si>
    <t>Universiti Sains Malaysia; UK Research &amp; Innovation (UKRI); Natural Environment Research Council (NERC); NERC British Antarctic Survey</t>
  </si>
  <si>
    <t>Merican, FMMS (corresponding author), Univ Sains Malaysia, Sch Biol Sci, Usm Pulau Pinang 11800, Malaysia.</t>
  </si>
  <si>
    <t>Convey, Peter/0000-0001-8497-9903; Sidik Merican, Faradina Merican/0000-0003-1441-0134</t>
  </si>
  <si>
    <t>Universiti Sains Malaysia [304/PBIOLOGI/6313058]; Natural Environment Research Council (NERC); NERC [bas0100036] Funding Source: UKRI</t>
  </si>
  <si>
    <t>Universiti Sains Malaysia(Universiti Sains Malaysia); Natural Environment Research Council (NERC)(UK Research &amp; Innovation (UKRI)Natural Environment Research Council (NERC)); NERC(UK Research &amp; Innovation (UKRI)Natural Environment Research Council (NERC))</t>
  </si>
  <si>
    <t>This research was supported by Universiti Sains Malaysia short-term grant (304/PBIOLOGI/6313058). Peter Convey is supported by Natural Environment Research Council (NERC) core funding to the British Antarctic Survey's Biodiversity, Evolution and Adaptation Team. Access to the study site in Taman Negara Pulau Pinang was permitted by Jabatan Perlindungan Hidupan Liar dan Taman Negara (JPHL&amp;TN(IP): 80-4/2 Jld 84(9)).</t>
  </si>
  <si>
    <t>PENERBIT UNIV SAINS MALAYSIA</t>
  </si>
  <si>
    <t>PENERBIT UNIVERSITI SAINS MALAYSIA, PULAU PINANG, PINANG 11800, MALAYSIA</t>
  </si>
  <si>
    <t>10.21315/tlsr2020.31.1.6</t>
  </si>
  <si>
    <t>LA8BM</t>
  </si>
  <si>
    <t>WOS:000524167200006</t>
  </si>
  <si>
    <t>Golobokova, LP; Khodzher, TV; Chernov, DG; Sidorova, OR; Khuriganova, OI; Onischuk, NA; Zhuchenko, NA; Marinaite, II</t>
  </si>
  <si>
    <t>Golobokova, L. P.; Khodzher, T., V; Chernov, D. G.; Sidorova, O. R.; Khuriganova, O., I; Onischuk, N. A.; Zhuchenko, N. A.; Marinaite, I. I.</t>
  </si>
  <si>
    <t>Chemical composition of the near-surface atmospheric aerosol in Barentsburg (Svalbard) based on the long-term observations</t>
  </si>
  <si>
    <t>Arctic; atmospheric aerosol; Barentsburg; chemical elements; gaseous impurities; ions</t>
  </si>
  <si>
    <t>The chemical composition (ions, elements, polycyclic aromatic hydrocarbons) of aerosol and gaseous impurities (SO2, HNO3, HCl, NH3) in the surface layer of the atmosphere in Barentsburg, located on the Western Svalbard island (Svalbard archipelago), is analyzed. Atmospheric aerosol and gaseous impurities brought to the Arctic from middle latitudes and deposited on snow and ice not only interact with various natural objects, but also spread to long distances with melting dirty snow and ice. Air sampling was carried out following to methodology adopted by the international networks of the atmospheric monitoring programs in South-East Asia (EANET) and Europe (EMEP). In 2011-2015, the observations of the chemical composition of the atmospheric ground layer were performed daily during the light season (April-September), and monthly from April 2016 to 2018. The largest total ion concentrations were observed in 2011-2012. Seasonal variability of ion concentrations in the aerosol was characterized by high values in the cold period (October-February) and low values in the warm one (May-June). High values of the coefficient of correlation between ions Na+ and Cl- (r = 0,93) as well as between Mg2+ and Cl- (r = 0,81) throughout the year show that the main source of the aerosol is the sea surface. The significant correlation between ions K+, NO3-, NH4+, SO42-, K+, SO42- in the polar night point to the influence of local sources: coal mining at the mine and its combustion at thermal power plants. Emission of polycyclic aromatic hydrocarbons and the gaseous impurities (SO2, HNO3) into the atmosphere, especially during the polar night, is also influenced by local sources. Among the elements the maximum enrichment of the aerosol was revealed for As, Cr, Zn, Mo, Cd, Sn, Sb, W, and Pb with a low content of Cd, Sn, Sb, W, and Pb in the coal, sludge and on the underlying surface. On the basis of the elemental composition of the aerosol and the back-trajectory analysis, it was shown that the air masses enriched in heavy metals come to the area of the Barentsburg settlement from middle latitudes.</t>
  </si>
  <si>
    <t>[Golobokova, L. P.; Khodzher, T., V; Khuriganova, O., I; Onischuk, N. A.; Zhuchenko, N. A.; Marinaite, I. I.] Russian Acad Sci, Limnol Inst, Siberian Branch, Irkutsk, Russia; [Chernov, D. G.] Russian Acad Sci, Zuev Inst Atmospher Opt, Siberian Branch, Tomsk, Russia; [Sidorova, O. R.] Arctic &amp; Antarctic Res Inst, St Petersburg, Russia</t>
  </si>
  <si>
    <t>Irkutsk Science Centre of the Russian Academy of Sciences; Russian Academy of Sciences; Limnological Institute SB RAS; Russian Academy of Sciences; Zuev Institute of Atmospheric Optics, Siberian Branch of the Russian Academy of Sciences; Arctic &amp; Antarctic Research Institute</t>
  </si>
  <si>
    <t>Golobokova, LP (corresponding author), Russian Acad Sci, Limnol Inst, Siberian Branch, Irkutsk, Russia.</t>
  </si>
  <si>
    <t>lg@lin.irk.ru</t>
  </si>
  <si>
    <t>Sidorova, Olga/ABH-1841-2020</t>
  </si>
  <si>
    <t>Fundamental researches complex program of the SB RAS II.1 [0345-2018-0002, 0368-2018-0014]; Limnological Institute of the SB RAS [0345-2019-0008]</t>
  </si>
  <si>
    <t>Fundamental researches complex program of the SB RAS II.1; Limnological Institute of the SB RAS(Russian Academy of Sciences)</t>
  </si>
  <si>
    <t>The work was carried out within frameworks of the Fundamental researches complex program of the SB RAS II.1 (projects No 0345-2018-0002, 0368-2018-0014), of Russian Scientific Arctic expedition on Svalbard archipelago work program (RAE-S), of Federal State budgetary Institution AARI, subprogram 4 Organization and support of work and research in the Arctic and Antarctic of the state program of the Russian Federation Environmental Protection for 2012-2020. Analytical studies were carried out according to the project No 0345-2019-0008 on the basis of the instrumental center for collective use for physical-chemical ultramicroanalysis at Limnological Institute of the SB RAS. Authors thank to Mr.S.A. Turchionovich for participating in the measurements.</t>
  </si>
  <si>
    <t>10.31857/S2076673420010025</t>
  </si>
  <si>
    <t>KZ9PN</t>
  </si>
  <si>
    <t>WOS:000523591200007</t>
  </si>
  <si>
    <t>Sukhanova, AA; Popov, SV; Boronina, AS; Grigorieva, SD; Kashkevich, MP</t>
  </si>
  <si>
    <t>Sukhanova, A. A.; Popov, S., V; Boronina, A. S.; Grigorieva, S. D.; Kashkevich, M. P.</t>
  </si>
  <si>
    <t>Geophysical surveys in the vicinity of the Progress station, East Antarctica, performed during the 63rd RAE season (2017/18)</t>
  </si>
  <si>
    <t>East Antarctica; GPR profiling; ice crevasses; outburst flood; Progress Station; transport operations</t>
  </si>
  <si>
    <t>DIELECTRIC-CONSTANT; SNOW; SVALBARD</t>
  </si>
  <si>
    <t>In recent years, when organizing works of the Russian Antarctic Expedition (RAE), considerable attention is given to the safety of logistics operations carried out at Russian stations and field bases. The main factors that threaten polar explorers are extensive systems of cracks and water breakthroughs, confined to the marginal, the most dynamic part of the outlet glaciers, in the area of which the most part of stations are located. One example of the impact of these processes on transport communications in Antarctica is the breakthrough of an intraglacial reservoir in the Dolk glacier near the station Progress (Larsemann Hills, Eastern Antarctica) in the season of the 62nd RAE (2016/17). The outburst resulted in the formation of a huge hole in the glacier body and an extensive system of cracks directed towards its flanks. This took place on the part of the route connecting the Progress Station with the point of organization the sledge-tractor train marches to inner regions of the Antarctic continent. Thus, this destroyed the transport links between these points. That is why during the seasonal works of the 63rd RAE (2017/18) geophysical surveys were carried out around the hole by means of the GPR profiling for the purpose to find the best way and organize a new all-season route. The GPR soundings performed at frequencies of 900 and 150 MHz, made possible to fix numerous cracks and large volumes of melt water accumulations in the near-surface part of the ice layer. The analysis of the obtained time sections and the assessment of the depths of cracks and watered areas did show that the detected objects in the glacier body were not dangerous for advancing of the sledge-caterpillar equipment passing by the hole. These surveys allowed planning the optimal new route, after which it was rolled up and put into operation. The logistical connection between the station and the airfield has been restored. Until the end of the field season, the new all-season route was actively used for transportation.</t>
  </si>
  <si>
    <t>[Sukhanova, A. A.; Popov, S., V; Boronina, A. S.; Grigorieva, S. D.; Kashkevich, M. P.] St Petersburg State Univ, St Petersburg, Russia; [Popov, S., V] Polar Marine Geosurvey Expedit, St Petersburg, Russia</t>
  </si>
  <si>
    <t>Sukhanova, AA (corresponding author), St Petersburg State Univ, St Petersburg, Russia.</t>
  </si>
  <si>
    <t>suhanova.anastassiya@yandex.ru</t>
  </si>
  <si>
    <t>Popov, Sergey/IYJ-2371-2023; Popov, Sergey V./I-2319-2013</t>
  </si>
  <si>
    <t>Popov, Sergey/0000-0002-1830-8658; Popov, Sergey V./0000-0002-1830-8658; Grigoreva, Svetlana/0000-0002-8853-559X</t>
  </si>
  <si>
    <t>The authors are grateful to their colleague G.A. Deshevykh for assistance in carrying out of the field work; to the head of the Progress Station of the 62nd RAE, A.V. Mirakin for assistance in the organization of performed works and the provision of photographic materials; to the staff of Progress Station of the 62nd RAE and the head of Progress Station of the 63rd RAE A.V. Voevodin for assistance during the work organization; Institute of Earth Sciences of St. Petersburg State University and :GeofizPoisk for providing the geophysical equipment. The work was supported by the Russian Foundation for Basic Research in the framework of the scientific project No18-05-00421.</t>
  </si>
  <si>
    <t>10.31857/S2076673420010030</t>
  </si>
  <si>
    <t>WOS:000523591200012</t>
  </si>
  <si>
    <t>Bednaríková, M; Folgar-Cameán, Y; Kucerová, Z; Lazár, D; Spundová, M; Hájek, J; Barták, M</t>
  </si>
  <si>
    <t>Bednarikova, M.; Folgar-Camean, Y.; Kucerova, Z.; Lazar, D.; Spundova, M.; Hajek, J.; Bartak, M.</t>
  </si>
  <si>
    <t>Analysis of K- and L-band appearance in OJIPs in Antarctic lichens in low and high temperature</t>
  </si>
  <si>
    <t>PHOTOSYNTHETICA</t>
  </si>
  <si>
    <t>conductivity; photosynthesis; photosystem II; thermal stability; transient</t>
  </si>
  <si>
    <t>CHLOROPHYLL-A FLUORESCENCE; PHOTOSYNTHETIC ELECTRON-TRANSPORT; J-I-P; PHOTOSYSTEM-II; POLYPHASIC RISE; HEAT TOLERANCE; BARLEY LEAVES; SALT STRESS; INDUCTION; PLANTS</t>
  </si>
  <si>
    <t>In this study, we evaluated the effect of temperature on the fast chlorophyll fluorescence (ChlF) transient (OJIP) and OJIP-derived parameters in Antarctic lichens Xanthoria elegans, Usnea antarctica, and Dermatocarpon polyphyllizum. Samples were exposed to a range of temperatures (-5 to +45 degrees C) and measured after 15-min equilibration. High temperature (+45 degrees C) caused a decrease of ChlF, an increased J-step, and shortened time to reach peak ChlF (FP). Temperature below +5 degrees C caused the increase of ChlF and J-step. The K-band was identified in X. elegans (above +20 degrees C), U. antarctica (+35 degrees C), and D. polyphyllizum (+45 degrees C). L-band was well distinguishable in X. elegans (+45 degrees C). As indicated by the OJIP-derived parameters, high temperature inhibited photosystem II function. The inhibition was apparent as less effective energetic connectivity. The OJIP transients and auxiliary measurement of ChlF temperature curves suggested that X. elegans had the lowest termostability among the experimental species.</t>
  </si>
  <si>
    <t>[Bednarikova, M.; Folgar-Camean, Y.; Hajek, J.; Bartak, M.] Masaryk Univ, Sect Plant Expt Biol, Dept Expt Biol, Kotlarska 2, CS-61137 Brno, Czech Republic; [Folgar-Camean, Y.] Univ Santiago de Compostela, Fac Biol, C Lope Gomez de Marzoa S-N, Santiago De Compostela 15782, Spain; [Kucerova, Z.; Lazar, D.; Spundova, M.] Palacky Univ, Ctr Reg Hana Biotechnol &amp; Agr Res, Dept Biophys, Fac Sci, Slechtitelu 241-27, Olomouc 78371, Czech Republic</t>
  </si>
  <si>
    <t>Masaryk University Brno; Universidade de Santiago de Compostela; Palacky University Olomouc</t>
  </si>
  <si>
    <t>Bednaríková, M (corresponding author), Masaryk Univ, Sect Plant Expt Biol, Dept Expt Biol, Kotlarska 2, CS-61137 Brno, Czech Republic.</t>
  </si>
  <si>
    <t>bednarikova.mm@gmail.com</t>
  </si>
  <si>
    <t>Kučerová, Zuzana/AFQ-8613-2022; LAZÁR, Dušan/A-6790-2011; Hájek, Josef/F-4694-2019; Barták, Miloš/F-4714-2019</t>
  </si>
  <si>
    <t>Kučerová, Zuzana/0000-0002-2849-3084; LAZÁR, Dušan/0000-0001-8035-4017; Hájek, Josef/0000-0002-2679-1707; Bartak, Milos/0000-0002-3898-3626; Spundova, Martina/0000-0002-2260-4302</t>
  </si>
  <si>
    <t>ECOPOLARIS project [CZ.02.1.01/0.0/0.0/16_013/0001708]; ERDF project 'Plants as a tool for sustainable global development' [CZ.02.1.01/0.0/0.0/16_019/0000827]; CzechPolar2 field infrastructure [LM2015078]; Extreme Environments Life Laboratory (Department of Experimental Biology, Masaryk University, Brno, Czech Republic)</t>
  </si>
  <si>
    <t>ECOPOLARIS project; ERDF project 'Plants as a tool for sustainable global development'; CzechPolar2 field infrastructure; Extreme Environments Life Laboratory (Department of Experimental Biology, Masaryk University, Brno, Czech Republic)</t>
  </si>
  <si>
    <t>The authors would like to express their thanks for the support provided by the ECOPOLARIS project (CZ.02.1.01/0.0/0.0/16_013/0001708), the ERDF project 'Plants as a tool for sustainable global development' (CZ.02.1.01/0.0/0.0/16_019/0000827), and the CzechPolar2 field infrastructure (LM2015078, Mendel station, the James Ross Island, Antarctica), as well as the Extreme Environments Life Laboratory (Department of Experimental Biology, Masaryk University, Brno, Czech Republic). The authors are very grateful to Petr Ilik for valuable comments on the manuscript.</t>
  </si>
  <si>
    <t>ACAD SCIENCES CZECH REPUBLIC, INST EXPERIMENTAL BOTANY</t>
  </si>
  <si>
    <t>6 PRAGUE</t>
  </si>
  <si>
    <t>NA KARLOVCE 1A,, 6 PRAGUE, 160 00, CZECH REPUBLIC</t>
  </si>
  <si>
    <t>0300-3604</t>
  </si>
  <si>
    <t>1573-9058</t>
  </si>
  <si>
    <t>Photosynthetica</t>
  </si>
  <si>
    <t>10.32615/ps.2019.180</t>
  </si>
  <si>
    <t>LB2QM</t>
  </si>
  <si>
    <t>WOS:000524480200045</t>
  </si>
  <si>
    <t>Zhou, LY; Zhang, JY; Chen, XY; Du, ZJ; Mu, DS</t>
  </si>
  <si>
    <t>Zhou, Liu-Yan; Zhang, Jin-Yu; Chen, Xu-Yang; Du, Zong-Jun; Mu, Da-Shuai</t>
  </si>
  <si>
    <t>Tessaracoccus antarcticus sp. nov., a rhodopsin-containing bacterium from an Antarctic environment and emended description of the genus Tessaracoccus</t>
  </si>
  <si>
    <t>Tessaracoccus antarcticus; draft genome sequencing; xanthorhodopsin</t>
  </si>
  <si>
    <t>SALINIBACTER-RUBER; PROTON PUMP; XANTHORHODOPSIN; GENOME</t>
  </si>
  <si>
    <t>A Gram-stain-positive, facultatively anaerobic bacterium, strain JDX10(T), was isolated from a soil sample of Fildes Peninsula, Antarctica. Cells of the strain were irregular rod-shaped and non-motile. Cells grew at 4-40 degrees C (optimum, 28 degrees C), at pH 6.0-9.0 (optimum, 7.5) and with 0.0-3.0 % (w/v) NaCl (optimum, 1.0 %). According to phylogenetic analysis based on 165 rRNA gene sequences, strain JDX10(T) was associated with the genus Tessaracoccus, and showed highest similarities to Tessaracoccus rhinocerotis CCTCC AB 2013217(T) (97.2 %), Tessaracoccus flavescens 55T-39(T) (96.9 %) and Tessaracoccus terricola JCM 32157(T) (96.9 %). The average nucleotide identity scores of strain JOX10(T) to T rhinocerotis CCTCC AB 2013217(T) and T. bendigoensis JCM 13525(T) were 74.8 and 73.3 %, respectively and the Genome-to-Genome Distance Calculator scores were 19.2 and 18.7 %, respectively. The major (&gt;10.0 %) cellular fatty acid was anteiso-C-15:0. The predominant isoprenoid quinone was MK-10(H). The major polar lipids were diphosphatidylglycerol, phosphatidylglycerol and one unidentified glycolipid. The phylogenetic analysis and physiological and biochemical data showed that strain JDX10(T) should be classified as representing a novel species in the genus Tessaracoccus, for which the name Tessaracoccus antarcticus sp. nov. is proposed. The type strain is JDX10(T) (=MCCC 1H00351(T) =KCIC 49242(T)).</t>
  </si>
  <si>
    <t>[Zhou, Liu-Yan; Zhang, Jin-Yu; Chen, Xu-Yang; Du, Zong-Jun; Mu, Da-Shuai] Shandong Univ, Marine Coll, Weihai 264209, Peoples R China; [Du, Zong-Jun; Mu, Da-Shuai] Shandong Univ, State Key Lab Microbial Technol, Qingdao 266237, Peoples R China</t>
  </si>
  <si>
    <t>Shandong University; Shandong University</t>
  </si>
  <si>
    <t>Mu, DS (corresponding author), Shandong Univ, Marine Coll, Weihai 264209, Peoples R China.;Mu, DS (corresponding author), Shandong Univ, State Key Lab Microbial Technol, Qingdao 266237, Peoples R China.</t>
  </si>
  <si>
    <t>dashuai.mu@sdu.edu.cn</t>
  </si>
  <si>
    <t>Chen, Xuyang/JEO-6530-2023</t>
  </si>
  <si>
    <t>Du, Zong-Jun/0000-0002-7886-5667; xuyang, chen/0000-0002-3621-7207; Mu, Dashuai/0000-0001-7260-6165</t>
  </si>
  <si>
    <t>National Natural Science Foundation of China [41876166]; Science and Technology Basic Resources Investigation Program of China [2017FY100300]; SOA Key Laboratory for Polar Science, Polar Research Institute of China [KP201705]</t>
  </si>
  <si>
    <t>National Natural Science Foundation of China(National Natural Science Foundation of China (NSFC)); Science and Technology Basic Resources Investigation Program of China; SOA Key Laboratory for Polar Science, Polar Research Institute of China</t>
  </si>
  <si>
    <t>This work was supported by the National Natural Science Foundation of China (41876166) and the Science and Technology Basic Resources Investigation Program of China (2017FY100300) and the funding from the SOA Key Laboratory for Polar Science, Polar Research Institute of China (KP201705).</t>
  </si>
  <si>
    <t>10.1099/ijsem.0.003930</t>
  </si>
  <si>
    <t>KY9YL</t>
  </si>
  <si>
    <t>WOS:000522929700015</t>
  </si>
  <si>
    <t>Wei, ZY; Wu, T; Huang, Y; Zhu, GX; Zhang, YM; Geng, YC; Peng, F</t>
  </si>
  <si>
    <t>Wei, Ziyan; Wu, Tong; Huang, Yao; Zhu, Guoxin; Zhang, Yumin; Geng, Yingchao; Peng, Fang</t>
  </si>
  <si>
    <t>Pseudolysobacter antarcticus gen. nov., sp. nov., isolated from soil in Fildes Peninsula, Antarctica</t>
  </si>
  <si>
    <t>Pseudolyscbacter antarcticus; Antarctica; soil</t>
  </si>
  <si>
    <t>LUTEIMONAS-MEPHITIS; RECLASSIFICATION; SEQUENCES; DATABASE</t>
  </si>
  <si>
    <t>A novel strain, designated AQ6-296(T), was isolated from a soil sample collected in Fildes Peninsula, Antarctic. Cells were Gramstain-negative, non-endospore-forming, non-motile, strictly aerobic and rod-shaped. Growth occurred at 4-28 degrees C (optimum, 20 degrees C) and at pH 6.0-7.0 (optimum, pH 7.0). NaCl was not obligatory for growth. Colonies were pale yellow after growth for 3days at 20 degrees C on Reasoner's 2A agar. The strain was weakly positive for oxidase and the catalase test was negative. The only respira- tory quinone was Q-8. The predominant cellular fatty acids were iso-C-16:0, iso-C-15:0 3OH, summed feature 3 (comprising C-16:1 omega 7c and/or C-16:1 omega 6c) and summed feature 9 (comprising iso-C-17:1 omega 9c and/or C-16:1 10-methyl). The major polar lipids were phosphatidylethanolamine, unknown aminolipids, phosphatidylglycerol and diphosphatidylglycerol. The results of phylogenetic analysis based on 16S rRNA gene sequences (the highest similarity at 92.4% to Lysobacter dokdonensis) indicated that strain AQ6-296(T) is within the family Xanthomonadaceae. The DNA G+C content of the type strain was 58.6 mot%. On the basis of phenotypic, chemotaxonomic and phylogenetic data, strain AQ6-296(T )is considered to represent a novel genus and species in the family Xanthomonadaceae, for which the name Pseudolysobacter antarcticus gen. nov., sp. nov. is proposed. The type strain is AQ6-296(T) (CCTCC AB 2016313(T)=KCIC 52744(T)).</t>
  </si>
  <si>
    <t>[Wei, Ziyan; Wu, Tong; Huang, Yao; Zhu, Guoxin; Zhang, Yumin; Geng, Yingchao; Peng, Fang] Wuhan Univ, Coll Life Sci, CCTCC, Wuhan 430072, Peoples R China</t>
  </si>
  <si>
    <t>Peng, F (corresponding author), Wuhan Univ, Coll Life Sci, CCTCC, Wuhan 430072, Peoples R China.</t>
  </si>
  <si>
    <t>fangpeng2@aliyun.com</t>
  </si>
  <si>
    <t>Zhang, Han/JMR-0670-2023</t>
  </si>
  <si>
    <t>National Key R and D Program of China [2018YFC1406701]; R and D Infrastructure and Facility Development Program of the Ministry of Science and Technology of the People's Republic of China [NIMR-2019-8]; National Natural Science Foundation of China [31270538]; Chinese Polar Scientific Strategy Research Fund [IC201706]</t>
  </si>
  <si>
    <t>National Key R and D Program of China; R and D Infrastructure and Facility Development Program of the Ministry of Science and Technology of the People's Republic of China; National Natural Science Foundation of China(National Natural Science Foundation of China (NSFC)); Chinese Polar Scientific Strategy Research Fund</t>
  </si>
  <si>
    <t>This work was supported by the National Key R and D Program of China (2018YFC1406701), the R and D Infrastructure and Facility Development Program of the Ministry of Science and Technology of the People's Republic of China (Grant No. NIMR-2019-8), the National Natural Science Foundation of China (Grant No. 31270538), and the Chinese Polar Scientific Strategy Research Fund IC201706.</t>
  </si>
  <si>
    <t>10.1099/ijsem.0.003984</t>
  </si>
  <si>
    <t>WOS:000522929700055</t>
  </si>
  <si>
    <t>Choi, JY; Lee, PC</t>
  </si>
  <si>
    <t>Choi, Jun Young; Lee, Pyung Cheon</t>
  </si>
  <si>
    <t>Psychrobacillus glaciei sp. nov., a psychrotolerant species isolated from an Antarctic iceberg</t>
  </si>
  <si>
    <t>Psychrobacillus; Antarctica; iceberg</t>
  </si>
  <si>
    <t>RECLASSIFICATION; TAXONOMY</t>
  </si>
  <si>
    <t>We performed taxonomic studies on a psychrotolerant strain, designated PB01(T), isolated from an Antarctic iceberg. The cells of strain PB01(T) were Gram-stain-positive, strictly aerobic, white-yellow and rod-shaped. The results of 16S rRNA gene sequence analysis revealed that strain PB01(T) was closely related to Psychrobacillus psychrodurans DSM 11713(T) (99.19% similarity), Psychrobacillus psychrotolerans DSM 11706(T) (98.91%) and Psychrobacillus insolitus DSM 5(T) (98.85%). Despite high 165 rRNA, gene sequence similarity, the degrees of DNA-DNA relatedness between strain PB01(T) and its three closest phylogenetic neighbours were 62.4 +/- 7.3% for P psychrodurans DSM 11713(T), 61.1 +/- 5.4% for P psychrotolerans DSM 11706(T) and 56.1 +/- 6.9% for P insolitus DSM 5(T). The predominant cellular fatty acids were anteiso-C-15:0 iso-C-15:0 and C16:1 omega 7c-OH. Menaquinone-8 was the major respiratory quinone, and phosphatidylethanolamine was the major polar lipid. The DNA G+C content of strain PB01(T) calculated from the complete genome sequence was 36.0 mol%. Based on the phenotypic, chemotaxonomic, genomic and phylogenetic data obtained in the present study, we conclude that strain PB01(T) represents a novel species of the genus Psychrobacillus, for which we propose the name Psychrobacillus glaciei sp. nov. The type strain is PB01(T) (=CECT 9792(T)=KCTC 43041(T)).</t>
  </si>
  <si>
    <t>[Choi, Jun Young; Lee, Pyung Cheon] Ajou Univ, Dept Mol Sci &amp; Technol, Suwon 16499, South Korea; [Choi, Jun Young; Lee, Pyung Cheon] Ajou Univ, Dept Appl Chem &amp; Biol Engn, Suwon 16499, South Korea</t>
  </si>
  <si>
    <t>Ajou University; Ajou University</t>
  </si>
  <si>
    <t>Intelligent Synthetic Biology Centre of the Global Frontier Project [2014M3A6A8066439]; National Research Foundation of Korea [2017R1A2B4011899]; Priority Research Centres Program through the National Research Foundation of Korea [2019R1A6A11051471]</t>
  </si>
  <si>
    <t>Intelligent Synthetic Biology Centre of the Global Frontier Project; National Research Foundation of Korea(National Research Foundation of Korea); Priority Research Centres Program through the National Research Foundation of Korea(National Research Foundation of Korea)</t>
  </si>
  <si>
    <t>This work was supported by the Intelligent Synthetic Biology Centre of the Global Frontier Project (grant number 2014M3A6A8066439), by the National Research Foundation of Korea (grant number 2017R1A2B4011899), and by the Priority Research Centres Program through the National Research Foundation of Korea (grant number 2019R1A6A11051471).</t>
  </si>
  <si>
    <t>10.1099/ijsem.0.003998</t>
  </si>
  <si>
    <t>WOS:000522929700067</t>
  </si>
  <si>
    <t>Andrews, JT</t>
  </si>
  <si>
    <t>Andrews, John T.</t>
  </si>
  <si>
    <t>Glacier: Nature and Culture</t>
  </si>
  <si>
    <t>[Andrews, John T.] Univ Colorado Boulder, Inst Arctic Alpine Res INSTAAR, Dept Geol Sci, Boulder, CO 80309 USA</t>
  </si>
  <si>
    <t>University of Colorado System; University of Colorado Boulder</t>
  </si>
  <si>
    <t>Andrews, JT (corresponding author), Univ Colorado Boulder, Inst Arctic Alpine Res INSTAAR, Dept Geol Sci, Boulder, CO 80309 USA.</t>
  </si>
  <si>
    <t>andrewsj@colorado.edu</t>
  </si>
  <si>
    <t>Andrews, John Thomas/0000-0003-3169-5979</t>
  </si>
  <si>
    <t>10.1080/15230430.2020.1738190</t>
  </si>
  <si>
    <t>KW6DQ</t>
  </si>
  <si>
    <t>WOS:000521255900001</t>
  </si>
  <si>
    <t>Baker, GB; Elliott, GP; French, RK; Jensz, K; Muller, CG; Walker, KJ</t>
  </si>
  <si>
    <t>Baker, G. Barry; Elliott, Graeme P.; French, Rebecca K.; Jensz, Katrina; Muller, Chris G.; Walker, Kath J.</t>
  </si>
  <si>
    <t>Development of aerial monitoring techniques to estimate population size of great albatrosses (Diomedea spp.)</t>
  </si>
  <si>
    <t>aerial survey; photographic census; population monitoring; albatross; Diomedea</t>
  </si>
  <si>
    <t>CENSUS</t>
  </si>
  <si>
    <t>Two approaches to estimating the population size of great albatrosses (Diomedea spp.) were tested in the Auckland Islands, New Zealand. The first approach used a series of aerial photographs taken on Adams Island to produce high-resolution photo-mosaics suitable for counting nesting Gibson's wandering albatross (Diomedea antipodensis gibsoni). The second involved a direct count from a helicopter of southern royal albatross (D. epomophora) breeding on Enderby Island. Both techniques produced results that closely matched counts of albatrosses attending nests derived from ground counts, although aerial counts could not determine whether birds were sitting on eggs or empty nests. If estimates of breeding pairs are required, aerial counts of nests require a correction factor to adjust for birds that are apparently nesting but have not laid. Such correction factors are best based on ground counts undertaken simultaneously with the aerial counts. Used in conjunction with correction factors, the two techniques provide a method of estimating the population size of great albatrosses breeding in remote areas where it may be logistically difficult to undertake ground counts of the whole population.</t>
  </si>
  <si>
    <t>[Baker, G. Barry] Univ Tasmania, Inst Marine &amp; Antarctic Studies, Private Bag 22, Hobart, Tas 7001, Australia; [Baker, G. Barry; Jensz, Katrina] Latitude 42 Environm Consultants, 114 Watsons Rd, Kettering, Tas 7155, Australia; [Elliott, Graeme P.; Walker, Kath J.] Albatross Res, 549 Rocks Rd, Nelson 7011, New Zealand; [French, Rebecca K.] Univ Sydney, Sch Life &amp; Environm Sci, Charles Perkins Ctr, Sydney, NSW 2006, Australia; [French, Rebecca K.] Univ Sydney, Sydney Med Sch, Sydney, NSW 2006, Australia; [Muller, Chris G.] Massey Univ, Sch Vet Sci, Wildbase, Palmerston North 4442, New Zealand</t>
  </si>
  <si>
    <t>University of Tasmania; University of Sydney; University of Sydney; Massey University</t>
  </si>
  <si>
    <t>Baker, GB (corresponding author), Univ Tasmania, Inst Marine &amp; Antarctic Studies, Private Bag 22, Hobart, Tas 7001, Australia.;Baker, GB (corresponding author), Latitude 42 Environm Consultants, 114 Watsons Rd, Kettering, Tas 7155, Australia.</t>
  </si>
  <si>
    <t>barry.baker@latitude42.com.au</t>
  </si>
  <si>
    <t>French, Rebecca/AAC-8612-2019; French, Rebecca/JEF-3207-2023</t>
  </si>
  <si>
    <t>French, Rebecca/0000-0002-5452-6994; Baker, G. Barry/0000-0003-4766-8182</t>
  </si>
  <si>
    <t>Department of Conservation's Conservation Services Programme</t>
  </si>
  <si>
    <t>This project was funded by the Department of Conservation's Conservation Services Programme. Southern Lakes Helicopters and pilots Mark Deaker and Mark Hayes provided an excellent photographic platform for the study. The support of Igor Debski and Kris Ramm of the Department of Conservation, Wellington, during the course of the project was appreciated. Thanks to Graham Parker and Kalinka Rexer-Huber for undertaking field work and ground-truthing on Adams Island. We also appreciate the efforts of Henk Haazen and crew of RV Tiama for providing real-time weather reports for Adams Island around the time of our visit to the Auckland Islands. We thank David Thompson and an anonymous referee for valuable comments on the manuscript, and Colin Miskelly for managing the editorial process.</t>
  </si>
  <si>
    <t>KY2VW</t>
  </si>
  <si>
    <t>WOS:000522431400010</t>
  </si>
  <si>
    <t>Taylor, GA; Elliott, GP; Walker, KJ; Bose, S</t>
  </si>
  <si>
    <t>Taylor, Graeme A.; Elliott, Graeme P.; Walker, Kath J.; Bose, Samhita</t>
  </si>
  <si>
    <t>Year-round distribution, breeding cycle, and activity of white-headedpetrels (Pterodroma lessonii) nesting on Adams Island, Auckland Islands</t>
  </si>
  <si>
    <t>white-headed petrel; geolocation tracking; breeding biology; migrations; at-sea distribution; biennial breeding</t>
  </si>
  <si>
    <t>PETRELS; TRACKING; CONSERVATION; ALBATROSSES; MOVEMENTS; BIOLOGY</t>
  </si>
  <si>
    <t>Ten white-headed petrels (Pterodroma lessonii) from Adams Island, Auckland Islands, were tracked during 2011-14 using miniature geolocators, in the first study to examine the at-sea movements and key foraging areas of this pelagic seabird. Data revealed extensive migrations west to South Africa and east into the central South Pacific Ocean. The birds returned to colonies Aug-Oct. Median departure on pre-laying exodus was 24 Sep. Birds were away for up to 77 days during prelaying and moved west towards the Indian Ocean. Laying occurred 24 Nov-10 Dec. The first major incubation shifts by males and females were c. 19 days in duration. The maximum foraging range during incubation was 5,230 km from the colony, the most distant recorded by any seabird during this breeding stage. After eggs hatched in January, some birds foraged off Antarctica in sea temperatures down to -1 degrees C. Birds spent the inter-breeding period in disjunct areas (off South Africa, south of Australia, Tasman Sea, and South Pacific Ocean). This study revealed an unusual courtship behaviour not recorded previously in other seabird species. Females returned from distant oceans to spend just a few days ashore in the pre-laying period before leaving the breeding site until the following spring. The males also skipped breeding at the same time as their mates, but returned earlier in the season. The new knowledge gained about the breeding activity of this species will assist with future population assessments.</t>
  </si>
  <si>
    <t>[Taylor, Graeme A.; Bose, Samhita] Dept Conservat, Biodivers Grp, Aquat Unit, POB 10420, Wellington 6143, New Zealand; [Elliott, Graeme P.; Walker, Kath J.] Albatross Res, 549 Rocks Rd, Nelson 7011, New Zealand</t>
  </si>
  <si>
    <t>Taylor, GA (corresponding author), Dept Conservat, Biodivers Grp, Aquat Unit, POB 10420, Wellington 6143, New Zealand.</t>
  </si>
  <si>
    <t>gtaylor@doc.govt.nz</t>
  </si>
  <si>
    <t>Department of Conservation (Southern Islands team at Invercargill)</t>
  </si>
  <si>
    <t>Special thanks to Richard Phillips, James Fox, and the British Antarctic Survey for allowing the Department of Conservation to use their superbly crafted GLS tags. Thanks to David Thompson (NIWA) for assisting us to access these tags. The authors are grateful to team members of the Adams Island Gibson's wandering albatross project, who kept an eye on the WHP nests in 2012-15 to pick up any tagged birds not recovered by the authors. Team members included Richard Cuthbert and Erica Sommer (2012), Colin O'Donnell and Don Geddes (2013), Kalinka Rexer-Huber and Graham Parker (2014), and Moira Pryde and Peter Moore (2015). The Department of Conservation (Southern Islands team at Invercargill) supported the project through logistical support to KW, GE, and other expedition members, with boat transport and help with field supplies. We are especially grateful to Sharon Trainor and the late Doug Veint at the DOC Invercargill quarantine store for the vital role played in keeping Adams Island pest-free and a haven for these special seabirds. Early drafts of this paper were greatly improved by helpful comments from two anonymous reviewers and Colin Miskelly.</t>
  </si>
  <si>
    <t>WOS:000522431400014</t>
  </si>
  <si>
    <t>Roy, A; Suchocki, M; Gough, L; McLaren, JR</t>
  </si>
  <si>
    <t>Roy, Austin; Suchocki, Matthew; Gough, Laura; McLaren, Jennie R.</t>
  </si>
  <si>
    <t>Above- and belowground responses to long-term herbivore exclusion</t>
  </si>
  <si>
    <t>Moist acidic tundra; dry heath tundra; exclosure; extracellular enzyme; herbivory; microbial biomass; plant community; soil nutrients</t>
  </si>
  <si>
    <t>PLANT COMMUNITY RESPONSES; MAMMALIAN HERBIVORY; ECOSYSTEM PROCESSES; MICROBIAL BIOMASS; SOIL NUTRIENTS; TUNDRA; NITROGEN; REINDEER; CARBON; HEATH</t>
  </si>
  <si>
    <t>Herbivores can play an important role in determining arctic ecosystem function with effects determined in part by herbivore identity. We examined the impact of long-term (twenty-two years) small and large mammal herbivore exclusion in two arctic plant communities in northern Alaska: dry heath (DH) and moist acidic tundra (MAT). Our aims were to examine how herbivore exclusion influences (1) plant communities and (2) soil nutrient pools and microbial processes. Though herbivore absence increased moss and decreased evergreen shrub cover in MAT, there were few other significant effects on vegetation in either community. We also observed no influence of exclusion on most soil properties. However, in DH, phosphatase activity was greater in areas where small mammals alone were present, suggesting that they are altering phosphorus (P) availability, perhaps through herbivores' influence on the plant community and subsequently on competition for P with the microbial community. We conclude that herbivore impacts in the Arctic are dependent on both the plant community and herbivore identity (size). We show the importance of understanding the roles of herbivores in the Arctic and contribute to a growing number of herbivore studies in a biome likely to experience future changes in herbivore communities and ecosystem function.</t>
  </si>
  <si>
    <t>[Roy, Austin; McLaren, Jennie R.] Univ Texas El Paso, Dept Biol, 500 West Univ Ave, El Paso, TX 79968 USA; [Suchocki, Matthew; Gough, Laura] Towson Univ, Dept Biol Sci, Towson, MD USA</t>
  </si>
  <si>
    <t>University of Texas System; University of Texas El Paso; University System of Maryland; Towson University</t>
  </si>
  <si>
    <t>Roy, A (corresponding author), Univ Texas El Paso, Dept Biol, 500 West Univ Ave, El Paso, TX 79968 USA.</t>
  </si>
  <si>
    <t>anroy4@gmail.com</t>
  </si>
  <si>
    <t>McLaren, Jennie/0000-0003-2004-4783; Roy, Austin/0000-0002-2519-6455; Gough, Laura/0000-0002-9312-7910</t>
  </si>
  <si>
    <t>National Science Foundation [OPP-1603677, OPP-1603760, DEB-1637459]; University of Texas at El Paso</t>
  </si>
  <si>
    <t>National Science Foundation(National Science Foundation (NSF)); University of Texas at El Paso</t>
  </si>
  <si>
    <t>This project was supported by funds awarded by the National Science Foundation (OPP-1603677 to JRM and OPP-1603760 to LG, DEB-1637459 to ARC-LTER) and by start-up funds and a University Research Institute award to JRM by the University of Texas at El Paso.</t>
  </si>
  <si>
    <t>10.1080/15230430.2020.1733891</t>
  </si>
  <si>
    <t>KY2VH</t>
  </si>
  <si>
    <t>WOS:000522429900001</t>
  </si>
  <si>
    <t>Nomura, D; Wongpan, P; Toyota, T; Tanikawa, T; Kawaguchi, Y; Ono, T; Ishino, T; Tozawa, M; Tamura, TP; Yabe, IS; Son, EY; Vivier, F; Lourenco, A; Lebrun, M; Nosaka, Y; Hirawake, T; Ooki, A; Aoki, S; Else, B; Fripiat, F; Inoue, J; Vancoppenolle, M</t>
  </si>
  <si>
    <t>Nomura, Daiki; Wongpan, Pat; Toyota, Takenobu; Tanikawa, Tomonori; Kawaguchi, Yusuke; Ono, Takashi; Ishino, Tomomi; Tozawa, Manami; Tamura, Tetsuya P.; Yabe, Itsuka S.; Son, Eun Yae; Vivier, Frederic; Lourenco, Antonio; Lebrun, Marion; Nosaka, Yuichi; Hirawake, Toru; Ooki, Atsushi; Aoki, Shigeru; Else, Brent; Fripiat, Francois; Inoue, Jun; Vancoppenolle, Martin</t>
  </si>
  <si>
    <t>Saroma-ko Lagoon Observations for sea ice Physico-chemistry and Ecosystems 2019 (SLOPE2019)</t>
  </si>
  <si>
    <t>BULLETIN OF GLACIOLOGICAL RESEARCH</t>
  </si>
  <si>
    <t>sea ice; light; training and test measurement; inter-comparison; Saroma-ko Lagoon</t>
  </si>
  <si>
    <t>OPTICAL-PROPERTIES; HOKKAIDO; BIOMASS; SNOW; LAKE</t>
  </si>
  <si>
    <t>Saroma-ko Lagoon, located on the Okhotsk Sea coast of Hokkaido, is seasonally covered by flat, homogeneous, easily accessible and safe sea ice. As such, it proves a very useful experimental site for the study of sea ice processes, the inter-comparison of methods, the testing of equipment, and the training of researchers new to the Polar regions. In this contribution, we describe a physical, chemical, and ecosystem survey at Saroma-ko Lagoon, conducted over February 23-28, 2019 under the auspices of the SLOPE2019 (Saroma-ko Lagoon Observations for sea ice Physico-chemistry and Ecosystems 2019) program. Sea ice cores were collected to examine temperature, salinity, oxygen isotopic ratio, thin sections, and chemical and biological parameters such as carbonate chemistry, CH4, nutrients, chlorophyll a concentrations, and ice algae community assemblage. Broadband and spectral irradiance measurements were carried out above/under the sea ice, and different sensors were inter-compared at close positions and environments. Equipment such as spectrometers, air.sea ice CO2/CH4 flux chamber, and under-ice turbulent heat flux systems were tested for future Arctic and Antarctic expeditions. Finally, an artificial pool was dug into the sea ice to understand the effect of snow particles on ice growth and to compare the gas exchange process over sea ice with an ice-free water surface. Our SLOPE2019 field campaign activities provided useful information for intercomparison work and future sea ice research in the polar oceans.</t>
  </si>
  <si>
    <t>[Nomura, Daiki; Ishino, Tomomi; Tozawa, Manami; Tamura, Tetsuya P.; Hirawake, Toru; Ooki, Atsushi] Hokkaido Univ, Fac Fisheries Sci, Hakodate, Hokkaido, Japan; [Nomura, Daiki; Hirawake, Toru; Ooki, Atsushi] Hokkaido Univ, Arctic Res Ctr, Sapporo, Hokkaido, Japan; [Nomura, Daiki] Hokkaido Univ, Global Inst Collaborat Res &amp; Educ, Global Stn Arctic Res, Sapporo, Hokkaido, Japan; [Wongpan, Pat; Toyota, Takenobu; Ono, Takashi; Aoki, Shigeru] Hokkaido Univ, Inst Low Temp Sci, Sapporo, Hokkaido, Japan; [Wongpan, Pat] Japan Soc Promot Sci, Tokyo, Japan; [Tanikawa, Tomonori] Japan Meteorol Agcy, Meteorol Res Inst, Tsukuba, Ibaraki, Japan; [Kawaguchi, Yusuke; Yabe, Itsuka S.; Son, Eun Yae] Univ Tokyo, Atmosphere &amp; Ocean Res Inst, Tokyo, Japan; [Vivier, Frederic; Lourenco, Antonio; Lebrun, Marion; Vancoppenolle, Martin] Sorbonne Univ, Inst Pierre Simon Laplace, Lab Oceanog &amp; Climat, CNRS,IRD,MNHN, Paris, France; [Nosaka, Yuichi] Tokai Univ, Sch Biol Sci, Sapporo, Hokkaido, Japan; [Else, Brent] Univ Calgary, Calgary, AB, Canada; [Fripiat, Francois] Max Planck Inst Chem, Mains, Germany; [Inoue, Jun] Natl Inst Polar Res, Tokyo, Japan</t>
  </si>
  <si>
    <t>Hokkaido University; Hokkaido University; Hokkaido University; Hokkaido University; Japan Society for the Promotion of Science; Japan Meteorological Agency; Meteorological Research Institute - Japan; University of Tokyo; Universite Paris Cite; Museum National d'Histoire Naturelle (MNHN); Universite Paris Saclay; Sorbonne Universite; Centre National de la Recherche Scientifique (CNRS); CNRS - National Institute for Earth Sciences &amp; Astronomy (INSU); Institut de Recherche pour le Developpement (IRD); Tokai University; University of Calgary; Max Planck Society; Research Organization of Information &amp; Systems (ROIS); National Institute of Polar Research (NIPR) - Japan</t>
  </si>
  <si>
    <t>Nomura, D (corresponding author), Hokkaido Univ, Fac Fisheries Sci, Hakodate, Hokkaido, Japan.;Nomura, D (corresponding author), Hokkaido Univ, Arctic Res Ctr, Sapporo, Hokkaido, Japan.;Nomura, D (corresponding author), Hokkaido Univ, Global Inst Collaborat Res &amp; Educ, Global Stn Arctic Res, Sapporo, Hokkaido, Japan.</t>
  </si>
  <si>
    <t>daiki.nomura@fish.hokudai.ac.jp</t>
  </si>
  <si>
    <t>Vancoppenolle, Martin/AAA-7711-2022; Toyota, Takenobu/D-9101-2012; Fripiat, François/ABB-8918-2021; Vancoppenolle, Martin/B-3750-2011; Else, Brent G/D-5267-2012; Inoue, Jun/ABE-2305-2021; Wongpan, Pat/AAX-6946-2020</t>
  </si>
  <si>
    <t>Vancoppenolle, Martin/0000-0002-7573-8582; Vancoppenolle, Martin/0000-0002-7573-8582; Inoue, Jun/0000-0001-7738-6480; Wongpan, Pat/0000-0002-7113-8221; Vivier, Frederic/0000-0003-2539-4133; Fripiat, Francois/0000-0002-2591-6301; Tozawa, Manami/0000-0002-9278-2753</t>
  </si>
  <si>
    <t>Japan Society for the Promotion of Science [17H04715, 17K00534, 18H03745, 18KK0292, 18F18794]; Grant for Joint Research Program of the Institute of Low Temperature Science, Hokkaido University; Grant for Arctic Challenge for Sustainability from Ministry of the Environment of Japan in FY2017; Grant for the Global Environmental Research Coordination System from Ministry of the Environment of Japan in FY2017; EU FP7 BISICLO project; Joint Research Program of the Japan Arctic Research Network Center from Ministry of the Environment of Japan in FY2017; Grants-in-Aid for Scientific Research [17H04715, 18F18794, 17K00534] Funding Source: KAKEN</t>
  </si>
  <si>
    <t>Japan Society for the Promotion of Science(Ministry of Education, Culture, Sports, Science and Technology, Japan (MEXT)Japan Society for the Promotion of Science); Grant for Joint Research Program of the Institute of Low Temperature Science, Hokkaido University; Grant for Arctic Challenge for Sustainability from Ministry of the Environment of Japan in FY2017; Grant for the Global Environmental Research Coordination System from Ministry of the Environment of Japan in FY2017; EU FP7 BISICLO project(European Union (EU)); Joint Research Program of the Japan Arctic Research Network Center from Ministry of the Environment of Japan in FY2017; Grants-in-Aid for Scientific Research(Ministry of Education, Culture, Sports, Science and Technology, Japan (MEXT)Japan Society for the Promotion of ScienceGrants-in-Aid for Scientific Research (KAKENHI))</t>
  </si>
  <si>
    <t>We would like to express heartfelt thanks to Saroma Research Center of Aquaculture and Napal Kitami for their support in conducting the field work. This work was supported by the Japan Society for the Promotion of Science (17H04715, 17K00534, 18H03745, 18KK0292, and 18F18794), the Grant for Joint Research Program of the Institute of Low Temperature Science, Hokkaido University, the Grant for Arctic Challenge for Sustainability, Joint Research Program of the Japan Arctic Research Network Center and the Grant for the Global Environmental Research Coordination System from Ministry of the Environment of Japan in FY2017, and the EU FP7 BISICLO project. This paper is a contribution to the SCOR Working Group 152.Measuring Essential Climate Variables in Sea Ice (ECV-Ice) and Biogeochemical Exchange Processes at Sea-Ice Interfaces (BEPSII).</t>
  </si>
  <si>
    <t>NIHON SEPPYO GAKKAI-JAPANESE SOC SNOW &amp; ICE</t>
  </si>
  <si>
    <t>358-5 YAMABUKI-CHO, SHINJUKU-KU, TOKYO, 162-0801, JAPAN</t>
  </si>
  <si>
    <t>1345-3807</t>
  </si>
  <si>
    <t>1884-8044</t>
  </si>
  <si>
    <t>BULL GLACIOL RES</t>
  </si>
  <si>
    <t>Bull. Glaciol. Res.</t>
  </si>
  <si>
    <t>10.5331/bgr.19R02</t>
  </si>
  <si>
    <t>KY6OV</t>
  </si>
  <si>
    <t>WOS:000522694100001</t>
  </si>
  <si>
    <t>Kikuchi, DM; Uulu, KZ; Sharma, K; Soma, T; Kinoshita, K</t>
  </si>
  <si>
    <t>Kikuchi, Dale M.; Uulu, Kubanychbek Zhumabai; Sharma, Koustubh; Soma, Takuya; Kinoshita, Kodzue</t>
  </si>
  <si>
    <t>Is water an important resource for the snow leopard (Panthera uncia) in periods when terrain is covered with snow?</t>
  </si>
  <si>
    <t>Water resource; water ingestion; alpine ecosystem; cold environment; species management</t>
  </si>
  <si>
    <t>MOUNTAINS; HABITAT</t>
  </si>
  <si>
    <t>Some mammalian species that inhabit cold environments are known to eat snow to fulfill their water requirements. However, there is a potential trade-off between eating snow and drinking water because of the considerable energy that the body invests in warming the ingested snow. It is claimed that the snow leopard (Panthera uncia) eats snow to fulfill its requirement of water, which is why several researchers do not consider water as a limiting resource when developing resource selection functions. In this study, we placed camera traps along the unfrozen river banks in the Shamshy Wildlife Sanctuary in Kyrgyz Republic from September 2018 to May 2019 with the objective of recording access to liquid water by animals during different times of the year. A snow leopard was recorded for the first time drinking water during winter when the entire ground surface was covered with snow. The animal drank water for nearly 58 seconds, indicating that the snow leopard preferred to drink liquid water as opposed to snow that was ubiquitously present. The observation has significant implications for snow leopard research and conservation strategies that tend to assume the nonrelevance of the availability of water to snow leopards.</t>
  </si>
  <si>
    <t>[Kikuchi, Dale M.] Tokyo Inst Technol, Dept Mech Engn Sci, Tokyo, Japan; [Uulu, Kubanychbek Zhumabai; Sharma, Koustubh] Snow Leopard Fdn Kyrgyzstan, Bishkek, Kyrgyzstan; [Sharma, Koustubh] Snow Leopard Trust, Seattle, WA USA; [Soma, Takuya] Univ Tsukuba, Fac Humanities &amp; Social Sci, Ibaraki, Japan; [Kinoshita, Kodzue] Kyoto Univ, Wildlife Res Ctr, Kyoto, Japan</t>
  </si>
  <si>
    <t>Tokyo Institute of Technology; University of Tsukuba; Kyoto University</t>
  </si>
  <si>
    <t>Kikuchi, DM (corresponding author), Tokyo Inst Technol, Dept Mech Engn Sci, Meguro Ku, 2-12-1 Ookayama, Tokyo 152, Japan.</t>
  </si>
  <si>
    <t>kikuchi.d.ab@m.titech.ac.jp</t>
  </si>
  <si>
    <t>Sharma, Koustubh/0000-0001-7301-441X; Kinoshita, Kodzue/0000-0002-5804-5485; SOMA, Takuya/0000-0001-8687-2253</t>
  </si>
  <si>
    <t>Cooperation Research Program of Wildlife Research Center, Kyoto University; Joint Research Program of Arid Land Research Center, Tottori University [29C2005]; Grant ISHIZUE 2018 from Kyoto University; JSPS Core-to-Core Program, Advanced Research Networks (Wildlife Research Center of Kyoto University); [17K02047]; [19J01870]</t>
  </si>
  <si>
    <t>Cooperation Research Program of Wildlife Research Center, Kyoto University; Joint Research Program of Arid Land Research Center, Tottori University; Grant ISHIZUE 2018 from Kyoto University; JSPS Core-to-Core Program, Advanced Research Networks (Wildlife Research Center of Kyoto University)(Ministry of Education, Culture, Sports, Science and Technology, Japan (MEXT)Japan Society for the Promotion of Science); ;</t>
  </si>
  <si>
    <t>This work was partially supported by a Grant-in-Aid for JSPS Fellows (19J01870); the Cooperation Research Program of Wildlife Research Center, Kyoto University, JSPS Core-to-Core Program, Advanced Research Networks (Wildlife Research Center of Kyoto University); the Joint Research Program of Arid Land Research Center, Tottori University (No. 29C2005); Grant ISHIZUE 2018 from Kyoto University; and a Grant-in-Aid for Scientific Research (C) (17K02047).</t>
  </si>
  <si>
    <t>10.1080/15230430.2020.1736902</t>
  </si>
  <si>
    <t>KY2SE</t>
  </si>
  <si>
    <t>WOS:000522421800001</t>
  </si>
  <si>
    <t>Liebherr, JK</t>
  </si>
  <si>
    <t>Liebherr, James K.</t>
  </si>
  <si>
    <t>Phylogenetic placement of the Australian Pharetis, gen. nov., and Spherita, gen. nov., in a revised classification of the circum-Antarctic Moriomorphini (Coleoptera : Carabidae)</t>
  </si>
  <si>
    <t>INVERTEBRATE SYSTEMATICS</t>
  </si>
  <si>
    <t>adelphotaxon; amphitropical; Antarctica; cladistics; dispersal; monophyly; monotypic genera; vicariance</t>
  </si>
  <si>
    <t>MECYCLOTHORAX-SHARP COLEOPTERA; GENERA AMBLYTELUS ERICHSON; LORD HOWE ISLAND; NEW-ZEALAND; DYSTRICHOTHORAX BLACKBURN; TAXONOMIC REVISION; TASMAN SEA; BIOGEOGRAPHY; INSECTA; SYSTEMATICS</t>
  </si>
  <si>
    <t>The carabid beetle tribe Moriomorphini attains a disjunct austral geographical distribution, with member taxa occupying Australia, New Zealand, New Caledonia, the Sundas, southern South America and Polynesia. The group arose in Australia, the area exhibiting the greatest generic diversity for the tribe. In this contribution, two new genera are added to the Australian fauna. Pharetis thayerae, gen. nov., sp. nov., is described from Grenvillia, New South Wales, and Spherita newtoni, gen. nov., sp. nov., is described from Avon Valley National Park, Western Australia. Their phylogenetic placement within the tribe is accomplished by parsimony analysis based on 208 morphological characters across 124 taxa, 114 in-group species and 10 outgroup taxa representing Trechini, Psydrini and Patrobini. Nearly all polytypic moriomorphine genera are represented in the analysis by at least two exemplars, allowing initial tests of generic monophyly. A revised classification is proposed for Moriomorphini, with subtribal clades related as (Amblytelina + (Moriomorphina + Tropopterina)). The Western Australian genus Spherita is placed as adelphotaxon to Sitaphe Moore, a genus restricted to tropical montane Queensland. From the phylogenetic analysis, other non-contemporaneous east-west Australian disjunctions can be inferred, as well as multiple trans-Tasman area relationships between eastern Australia and New Zealand, all proposed to be of Miocene age. Pharetis exhibits a disjunct, trans-Antarctic relationship with Tropopterus Solier, its sister-group, distributed in southern South America. Alternative vicariance-based and dispersal-based hypotheses are discussed for the origin of Tropopterus. A review of the taxonomic development of the tribe illustrates the signal importance of monotypic genera in elucidating biological diversity.</t>
  </si>
  <si>
    <t>[Liebherr, James K.] Cornell Univ, Dept Entomol, 2144 Comstock Hall,129 Garden Ave, Ithaca, NY 14853 USA</t>
  </si>
  <si>
    <t>Cornell University</t>
  </si>
  <si>
    <t>Liebherr, JK (corresponding author), Cornell Univ, Dept Entomol, 2144 Comstock Hall,129 Garden Ave, Ithaca, NY 14853 USA.</t>
  </si>
  <si>
    <t>jkl5@cornell.edu</t>
  </si>
  <si>
    <t>Liebherr, James/0000-0001-9831-884X</t>
  </si>
  <si>
    <t>1445-5226</t>
  </si>
  <si>
    <t>1447-2600</t>
  </si>
  <si>
    <t>INVERTEBR SYST</t>
  </si>
  <si>
    <t>Invertebr. Syst.</t>
  </si>
  <si>
    <t>10.1071/IS19012</t>
  </si>
  <si>
    <t>KW7UI</t>
  </si>
  <si>
    <t>WOS:000521389400001</t>
  </si>
  <si>
    <t>Goto, R; Monnington, J; Sciberras, M; Hirabayashi, I; Rouse, GW</t>
  </si>
  <si>
    <t>Goto, Ryutaro; Monnington, James; Sciberras, Marija; Hirabayashi, Isao; Rouse, Greg W.</t>
  </si>
  <si>
    <t>Phylogeny of Echiura updated, with a revised taxonomy to reflect their placement in Annelida as sister group to Capitellidae</t>
  </si>
  <si>
    <t>Bonelliidae; dwarf males; Ikedidae; sexual dimorphism; spoon worm; Thalassematidae</t>
  </si>
  <si>
    <t>SPOON WORMS ECHIURA; MOLECULAR PHYLOGENY; SEQUENCE; CLASSIFICATION; EVOLUTION; EMPHASIS; BLOCKS</t>
  </si>
  <si>
    <t>Echiura (commonly called spoon worms) are derived annelids that have an unsegmented sausage-shaped body with a highly extensible anterior end (i.e. a proboscis). Echiura currently contains two superfamilies: Echiurioidea (with Echiuridae, Urechidae and Thalassematidae) and Bonellioidea (with Bonelliidae, and Ikedidae). Ikedidae contains only Ikeda, which is distinctive in having a huge trunk, a highly elongate proboscis with stripes or dots, and numerous gonoducts. A recent molecular phylogeny of Echiura recovered Ikedidae as the sister group to Bonelliidae. However, due to relatively low support values for the monophyly of Bonelliidae, this relationship remains problematic. In this study, we reinvestigated the relationship of Bonelliidae and Ikedidae using an expanded dataset with more taxa and genes. In contrast to the previous results, our analyses strongly support that Ikeda is nested within Bonelliidae due to the placement of Maxmuelleria. On the basis of this result, we synonymise Ikedidae with Bonelliidae and transfer Ikeda to the latter, the diagnosis of which is amended. In addition, we synonymise Urechidae with its sister group Echiuridae because they share the synapomorphy of having anal chaetae rings. Furthermore, considering that recent phylogenetic studies have consistently recovered Echiura as the sister group to Capitelliidae within Annelida, we drop the rank of the echiuran clade to family-level and propose a revised classification: Thalassematidae with two subfamilies, Thalassematinae (with two tribes Echiurini and Thalassematini) and Bonelliinae. In addition, weidentified a sample collected from the deep sea (similar to 1820m) of Monterey Bay, California, based on its molecular data. This terminal unexpectedly formed the sister group to the eight genera of Thalassematini, most members of which are inhabitants of littoral zones.</t>
  </si>
  <si>
    <t>[Goto, Ryutaro] Kyoto Univ, Seto Marine Biol Lab, Field Sci Educ &amp; Res Ctr, 459 Shirahama, Wakayama 6492211, Japan; [Monnington, James; Sciberras, Marija] Bangor Univ, Sch Ocean Sci, Menai Bridge LL59 5AB, Anglesey, Wales; [Hirabayashi, Isao] Kushimoto Marine Pk Ctr Ltd, 1157 Arita, Wakayama 6493514, Japan; [Rouse, Greg W.] UCSD, Scripps Inst Oceanog, 9500 Gilman Dr, La Jolla, CA 92093 USA</t>
  </si>
  <si>
    <t>Kyoto University; Bangor University; University of California System; University of California San Diego; Scripps Institution of Oceanography</t>
  </si>
  <si>
    <t>Goto, R (corresponding author), Kyoto Univ, Seto Marine Biol Lab, Field Sci Educ &amp; Res Ctr, 459 Shirahama, Wakayama 6492211, Japan.</t>
  </si>
  <si>
    <t>gotoryutaro@gmail.com</t>
  </si>
  <si>
    <t>Rouse, Gregory/AAW-1494-2021</t>
  </si>
  <si>
    <t>Rouse, Gregory/0000-0001-9036-9263; Sciberras, Marija/0000-0002-4319-3522; Goto, Ryutaro/0000-0002-5425-9603</t>
  </si>
  <si>
    <t>National Science Foundation (USA) Office of Polar Programs [1043749]; Office of Polar Programs (OPP); Directorate For Geosciences [1043749] Funding Source: National Science Foundation</t>
  </si>
  <si>
    <t>National Science Foundation (USA) Office of Polar Programs; Office of Polar Programs (OPP); Directorate For Geosciences(National Science Foundation (NSF)NSF - Directorate for Geosciences (GEO))</t>
  </si>
  <si>
    <t>The sampling of the Antarctic Thalassematidae was supported by award #1043749 from the National Science Foundation (USA) Office of Polar Programs to N. G. Wilson, G. W. Rouse and R. S. Burton.</t>
  </si>
  <si>
    <t>10.1071/IS19020</t>
  </si>
  <si>
    <t>WOS:000521389400004</t>
  </si>
  <si>
    <t>Soldatov, AA; Sevrikov, VV</t>
  </si>
  <si>
    <t>Soldatov, A. A.; Sevrikov, V. V.</t>
  </si>
  <si>
    <t>The Role of Myoglobin and Lipids in Correcting Oxygen Diffusion in Skeletal Muscles of Bony Fish (A Review)</t>
  </si>
  <si>
    <t>INLAND WATER BIOLOGY</t>
  </si>
  <si>
    <t>myoglobin; lipids; skeletal muscles; heart; capillary network; oxygen diffusion; bony fish</t>
  </si>
  <si>
    <t>DIFFERENTIAL SCANNING CALORIMETRY; RAINBOW-TROUT; BLOOD-FLOW; THERMAL-DENATURATION; ENERGY-METABOLISM; CIRCULAR-DICHROISM; ANTARCTIC ICEFISH; CYPRINUS-CARPIO; SALMO-GAIRDNERI; TUNA MYOGLOBIN</t>
  </si>
  <si>
    <t>Information on the pattern of oxygen diffusion in skeletal muscles of bony fish is discussed. This diffusion is determined by a number of variables. Endothelium of microcirculatory vessels should not be considered the main barrier for oxygen diffusion, as it has large pores and perforations. The main diffusion barrier is cytoplasmic and intracellular membranes of muscle fibers. A substantial contribution to the concept of facilitated diffusion at the cellular level is made by the myoglobin and content of lipids, primarily triacylglycerides. Data on the structure and functional features of myoglobins of skeletal muscles and heart in bony fish are summarized. Information on the pattern of organization of the polypeptide chain of this protein, key substitutions, polymorphism, and kinetic characteristics of oxygen binding is provided. A comparison between species has revealed a relationship between the density of capillary network and the myoglobin and lipid content of muscles. The myoglobin and lipid content of fish muscle tissue is quite labile and depends on the condition of both the environment and the organism. This gives reason to consider the above parameters as factors that can perform a directed correction of the oxygen regime in fish muscle tissue, increasing its resistance to oxygen deficiency.</t>
  </si>
  <si>
    <t>[Soldatov, A. A.] Russian Acad Sci, Kovalevsky Inst Biol Southern Seas, Sevastopol 299011, Russia; [Soldatov, A. A.; Sevrikov, V. V.] Sevastopol State Univ, Sevastopol, Russia</t>
  </si>
  <si>
    <t>Russian Academy of Sciences; AO Kovalevsky Institute of Biology of the Southern Seas of RAS (IBSS); Sevastopol State University</t>
  </si>
  <si>
    <t>Soldatov, AA (corresponding author), Russian Acad Sci, Kovalevsky Inst Biol Southern Seas, Sevastopol 299011, Russia.;Soldatov, AA (corresponding author), Sevastopol State Univ, Sevastopol, Russia.</t>
  </si>
  <si>
    <t>alekssoldatov@yandex.ru</t>
  </si>
  <si>
    <t>Soldatov, Aleksander/I-4617-2017</t>
  </si>
  <si>
    <t>Soldatov, Aleksander/0000-0002-9862-123X</t>
  </si>
  <si>
    <t>1995-0829</t>
  </si>
  <si>
    <t>1995-0837</t>
  </si>
  <si>
    <t>INLAND WATER BIOL</t>
  </si>
  <si>
    <t>Inland Water Biol.</t>
  </si>
  <si>
    <t>10.1134/S1995082920010150</t>
  </si>
  <si>
    <t>KU0FQ</t>
  </si>
  <si>
    <t>WOS:000519388200010</t>
  </si>
  <si>
    <t>Tereshchenko, VG; Kuznetsov, VA; Shakirova, FM; Tereshchenko, LI</t>
  </si>
  <si>
    <t>Tereshchenko, V. G.; Kuznetsov, V. A.; Shakirova, F. M.; Tereshchenko, L. I.</t>
  </si>
  <si>
    <t>Accuracy of Assessing the Abundance of Fish Generations under Conditions of Incomplete Initial Information</t>
  </si>
  <si>
    <t>method; accuracy; fish; population; abundance of generations</t>
  </si>
  <si>
    <t>ANTARCTIC FUR SEALS; AGE STRUCTURE; GROWTH; DEMOGRAPHY; LOBSTER</t>
  </si>
  <si>
    <t>The accuracy of estimating the relative abundance of generations of fish species under conditions of incomplete initial information is analyzed. Using the example of bream from the Kuibyshev Reservoir, it is shown that, if the information on the age structure is lost for 1 to 8 years, the error in estimating the abundance of generations averages from 5 to 15%. This makes it possible to apply this modification of the method of loss from fishing to estimate the abundance of fish generations in the current conditions. This method of estimating the number of generations may be useful in the analysis not only of fish, but also of other aquatic organisms.</t>
  </si>
  <si>
    <t>[Tereshchenko, V. G.; Tereshchenko, L. I.] Russian Acad Sci, Papanin Inst Biol Inland Waters, Nekouzskii Raion, Yaroslavl Oblas, Russia; [Kuznetsov, V. A.] Kazan State Fed Univ, Kazan, Russia; [Shakirova, F. M.] Russian Fed Res Inst Fisheries &amp; Oceanog, Tatarstan Branch, Kazan, Russia</t>
  </si>
  <si>
    <t>Papanin Institute for Biology of Inland Waters; Russian Academy of Sciences; Kazan Federal University</t>
  </si>
  <si>
    <t>Tereshchenko, VG (corresponding author), Russian Acad Sci, Papanin Inst Biol Inland Waters, Nekouzskii Raion, Yaroslavl Oblas, Russia.</t>
  </si>
  <si>
    <t>tervlad@ibiw.yaroslavl.ru</t>
  </si>
  <si>
    <t>Tereshchenko, Lubov I/B-1969-2017; Tereshchenko, Vladimir/AAR-1457-2021</t>
  </si>
  <si>
    <t>Tereshchenko, Vladimir/0000-0003-4170-9529</t>
  </si>
  <si>
    <t>Russian Foundation for Basic Research [18-44-160023 r_a]</t>
  </si>
  <si>
    <t>This study was performed within the framework of a state assignment (no.AAAA-A18-118012690102-9) and partially supported by the Russian Foundation for Basic Research, project no. 18-44-160023 r_a.</t>
  </si>
  <si>
    <t>10.1134/S1995082920010162</t>
  </si>
  <si>
    <t>WOS:000519388200011</t>
  </si>
  <si>
    <t>Jagoda, M; Rutkowska, M</t>
  </si>
  <si>
    <t>Jagoda, Marcin; Rutkowska, Miloslawa</t>
  </si>
  <si>
    <t>USE OF VLBI MEASUREMENT TECHNIQUE FOR DETERMINATION OF MOTION PARAMETERS OF THE TECTONIC PLATES</t>
  </si>
  <si>
    <t>METROLOGY AND MEASUREMENT SYSTEMS</t>
  </si>
  <si>
    <t>Very Long Base Interferometry measurement technique; plate tectonic; plate motion parameters; ITRF2008</t>
  </si>
  <si>
    <t>CRUSTAL MOTION</t>
  </si>
  <si>
    <t>Modern space measurement techniques like SLR, DORIS, VLBI and GNSS are used to study the tectonic plates. The determination of plate motion parameters (Phi, Lambda, omega) from various geodetic measurements is outlined. This paper is the third part of our studies on estimating geodetic and geodynamic parameters; it regards an accuracy analysis of the determined Phi, Lambda, omega parameters which describe motions of the tectonic plates using Very Long Base Interferometry (VLBI) technique. Prior to this, SLR and DORIS space measurement techniques were examined by authors. The study is based on the velocities of station positions, as included in a realization of the International Terrestrial Reference System- ITRF2008 for VLBI technique, published by the International Earth Rotation and Reference Systems Service (IERS). This model is made subject to an analysis in association with the APKIM2005 model. Six big plates, namely: Eurasian (EUAS), African (AFR), Australian (AUS), North American (NOAM), Pacific (PACF) and Antarctic (ANTC) were analysed. The results obtained in this analysis were compared with our previous estimations based on DORIS and SLR techniques and estimated according to the APKIM2005 model. Generally, all our three solutions based on SLR, DORIS and VLBI measurement techniques were found to be consistent.</t>
  </si>
  <si>
    <t>[Jagoda, Marcin; Rutkowska, Miloslawa] Koszalin Univ Technol, Fac Civil Engn Environm &amp; Geodet Sci, Sniadeckich 2, PL-75430 Koszalin, Poland</t>
  </si>
  <si>
    <t>Koszalin University of Technology</t>
  </si>
  <si>
    <t>Jagoda, M (corresponding author), Koszalin Univ Technol, Fac Civil Engn Environm &amp; Geodet Sci, Sniadeckich 2, PL-75430 Koszalin, Poland.</t>
  </si>
  <si>
    <t>marcin.jagoda@tu.koszalin.pl; miloslawa.rutkowska@tu.koszalin.pl</t>
  </si>
  <si>
    <t>Jagoda, Marcin/AFV-2251-2022</t>
  </si>
  <si>
    <t>Jagoda, Marcin/0000-0001-8073-6242; Rutkowska, Miloslawa/0000-0002-7345-9889</t>
  </si>
  <si>
    <t>0860-8229</t>
  </si>
  <si>
    <t>2300-1941</t>
  </si>
  <si>
    <t>METROL MEAS SYST</t>
  </si>
  <si>
    <t>Metrol. Meas. Syst.</t>
  </si>
  <si>
    <t>10.24425/mms.2020.131722</t>
  </si>
  <si>
    <t>KW3FH</t>
  </si>
  <si>
    <t>WOS:000521052200012</t>
  </si>
  <si>
    <t>Svyashchennikov, PN; Prokhorova, UV; Ivanov, BV</t>
  </si>
  <si>
    <t>Svyashchennikov, P. N.; Prokhorova, U. V.; Ivanov, B. V.</t>
  </si>
  <si>
    <t>Comparison of Atmospheric Circulation in the Area of Spitsbergen in 1920-1950 and in the Modern Warming Period</t>
  </si>
  <si>
    <t>Arctic; Spitsbergen; climate warming; atmospheric circulation; weather conditions</t>
  </si>
  <si>
    <t>The results of studying the temporal variability of atmospheric circulation in the Western Arctic (the Norwegian and Barents seas) are presented. The daily dataset of Girs-Vangengeim E, W, and C circulation forms for the period of 1891-2016 is used to describe atmospheric circulation. Special attention is given to the estimation of differences in weather conditions during the modern period of warming (1985-2015) and in the period of the first Arctic warming (1920-1950). For the cold (November-March) and warm (April-October) seasons, the trends in the frequency of occurrence of the circulation forms are determined. The occurrence of the number of consecutive days with the same atmospheric circulation form which can be considered as a characteristic of weather stability during the analyzed period of warming, is computed for both seasons. The prevalence of the E circulation form during the warm season is typical of both periods. The modern period of warming in the study area, as compared to the period of the first warming, is characterized by an increase in the occurrence of the C circulation form with a short duration. It is found that the current climate regime is characterized by an increase in surface air temperature against a background of less stable weather conditions.</t>
  </si>
  <si>
    <t>[Svyashchennikov, P. N.; Prokhorova, U. V.; Ivanov, B. V.] Arctic &amp; Antarctic Res Inst, Ul Beringa 38, St Petersburg 199397, Russia; [Svyashchennikov, P. N.; Ivanov, B. V.] St Petersburg State Univ, Univ Skaya Nab 7-9, St Petersburg 199034, Russia</t>
  </si>
  <si>
    <t>Arctic &amp; Antarctic Research Institute; Saint Petersburg State University</t>
  </si>
  <si>
    <t>Svyashchennikov, PN (corresponding author), Arctic &amp; Antarctic Res Inst, Ul Beringa 38, St Petersburg 199397, Russia.;Svyashchennikov, PN (corresponding author), St Petersburg State Univ, Univ Skaya Nab 7-9, St Petersburg 199034, Russia.</t>
  </si>
  <si>
    <t>svyashchennikov@mail.ru</t>
  </si>
  <si>
    <t>National Science Center of Poland [2015/19/B/ST10/02933]; project Investigation of Rapid Climate Changes in the Arctic and Their Regional and Large-scale Consequences [2017-14-588-0005-003, RFMEFI615617X0078]</t>
  </si>
  <si>
    <t>National Science Center of Poland(National Science Centre, Poland); project Investigation of Rapid Climate Changes in the Arctic and Their Regional and Large-scale Consequences</t>
  </si>
  <si>
    <t>The studies were performed within the Roshydromet project Studying Long-term Changes in Hydrometeorological and Environmental Conditions of the Spitsbergen Archipelago, the joint scientific program of Roshydromet and Norwegian Meteorological Institute for 2019-2021 and were supported by the grant of the National Science Center of Poland Causes of the Early 20th Century Arctic Warming (2015/19/B/ST10/02933) and by the project Investigation of Rapid Climate Changes in the Arctic and Their Regional and Large-scale Consequences (application code 2017-14-588-0005-003, project unique ID RFMEFI615617X0078).</t>
  </si>
  <si>
    <t>10.3103/S1068373920010033</t>
  </si>
  <si>
    <t>KU7LD</t>
  </si>
  <si>
    <t>WOS:000519893700003</t>
  </si>
  <si>
    <t>Schäffer, R; Sass, I; Heldmann, CD</t>
  </si>
  <si>
    <t>Schaeffer, Rafael; Sass, Ingo; Heldmann, Claus-Dieter</t>
  </si>
  <si>
    <t>Water supply in times of climate change-Tracer tests to identify the catchment area of an Alpine karst spring, Tyrol, Austria</t>
  </si>
  <si>
    <t>Uranine; karst; discharge; runoff; rock glaciers; Hochstegen Formation</t>
  </si>
  <si>
    <t>ROCK GLACIER; EASTERN ALPS; HYDROLOGY; INVENTORY; CHEMISTRY</t>
  </si>
  <si>
    <t>Climate change and glacial retreat are changing the runoff behavior of Alpine springs and streams. For example, in the extremely dry and hot summer of 2018, many springs used for drinking water supply lost up to 50 percent of their average discharge; a few springs have even run dry. In order to ensure drinking water supply in the future, springs featuring large and constantly sufficient discharge rates will have to be identified and tapped. A case study was undertaken at the Tuxbachquelle because catchment area and temporal variation of physicochemical and hydrochemical properties were previously unknown. Tracer tests with uranine proved a hydraulic connection between this karst spring and a stream a few kilometers uphill. At low runoff, uranine needed about 41/2 hours from the sink to the spring, whereas at high runoff more than four days was required. It became evident that discharge, electrical conductivity, temperature, and turbidity of the Tuxbachquelle respond within a few hours to precipitation events. The water quality and an examination of the water balance resulted in a significantly larger catchment area. It is assumed that widely karstified calcite marble subterraneously drains a considerable part of the Tuxertal (Tux Valley), including some active rock glaciers.</t>
  </si>
  <si>
    <t>[Schaeffer, Rafael; Sass, Ingo; Heldmann, Claus-Dieter] Tech Univ Darmstadt, Inst Appl Geosci Geothermal Sci &amp; Technol, Schnittspahnstr 9, D-64287 Darmstadt, Germany; [Sass, Ingo] Tech Univ Darmstadt, Darmstadt Grad Sch Excellence Energy Sci &amp; Engn, Darmstadt, Germany</t>
  </si>
  <si>
    <t>Technical University of Darmstadt; Technical University of Darmstadt</t>
  </si>
  <si>
    <t>Schäffer, R (corresponding author), Tech Univ Darmstadt, Inst Appl Geosci Geothermal Sci &amp; Technol, Schnittspahnstr 9, D-64287 Darmstadt, Germany.</t>
  </si>
  <si>
    <t>schaeffer@geo.tu-darmstadt.de</t>
  </si>
  <si>
    <t>Schaffer, Rafael/0000-0002-9717-6496</t>
  </si>
  <si>
    <t>German Research Foundation (DFG); Open Access Publishing Fund of Technische Universitat Darmstadt</t>
  </si>
  <si>
    <t>German Research Foundation (DFG)(German Research Foundation (DFG)); Open Access Publishing Fund of Technische Universitat Darmstadt</t>
  </si>
  <si>
    <t>The publication fee was covered by the German Research Foundation (DFG) and the Open Access Publishing Fund of Technische Universitat Darmstadt.</t>
  </si>
  <si>
    <t>10.1080/15230430.2020.1723853</t>
  </si>
  <si>
    <t>KV4QM</t>
  </si>
  <si>
    <t>WOS:000520466700001</t>
  </si>
  <si>
    <t>Kämpfer, P; Glaeser, SP; Irgang, R; Fernández-Negrete, G; Poblete-Morales, M; Fuentes-Messina, D; Cortez-San Martín, M; Avendaño-Herrera, R</t>
  </si>
  <si>
    <t>Kaempfer, Peter; Glaeser, Stefanie P.; Irgang, Rute; Fernandez-Negrete, Guillermo; Poblete-Morales, Matias; Fuentes-Messina, Derie; Cortez-San Martin, Marcelo; Avendano-Herrera, Ruben</t>
  </si>
  <si>
    <t>Psychrobacter pygoscelis sp. nov. isolated from the penguin Pygoscelis papua</t>
  </si>
  <si>
    <t>Psychrobacter; Psychrobacter pygoscelis; penguin</t>
  </si>
  <si>
    <t>MULTIPLE SEQUENCE ALIGNMENT; IMMOBILIS; GENERATION; INFECTION; BACTERIA; SEA</t>
  </si>
  <si>
    <t>One slightly beige-white pigmented, Gram-stain-negative, rod-shaped bacterium, strain I-STPP5b(T), was isolated from the trachea of a Gentoo penguin chick individual (Pygoscelin papua) investigated in Fildes Bay, Chilean Antarctic (62 degrees 12' S, 58 degrees 57' W). I-STPP5b(T) consists of a 3.4 Mb chromosome with a DNA G+C content of 44.4 mol%. Of the 3056 predicted genes, 1206 were annotated as hypothetical proteins and 51 were tRNAs. Phylogenetic analysis based on nearly full-length 16S rRNA gene sequences showed that the isolate shared a 16S rRNA gene sequence identity to the type strains of Psychrobacter phenylpyruvicus (98.8%), Psychrobacter arenosus and Psychrobacter pasteurii (both 98.3%), Psychrobacter piechaudii (98.2%) and Psychrobacter sanguinis (98.1%), but 16S rRNA gene sequence similarities to all other Psychrobacter species were &lt;= 98.0%. Partial gyrB nucleotide and amino acid sequence similarities among strain STPP5b(T) and the next related type strains were all below 81.8 and 92.9%, respectively. DNA-DNA hybridisation (DDH) with P. phenylpyruvicus LMG 5372(T), P. arenosus DSM 15389(T) and P. sanguinis DSM 23635(T) also showed low values (all below 30%). The main cellular fatty acids of the strain were C-18:1 omega 9c and C-16:1 omega 7c and/or C-16:1 omega 6c. Based on phylogenetic, chemotaxonomic, genomic and phenotypic analyses we propose a new species of the genus Psychrobacter, with the name Psychrobacter pygoscelis sp. nov. and strain I-STPP5b(T) (=CIP 111410(T)=CCM 8799(T)=LMG 30301(T)) as type strain.</t>
  </si>
  <si>
    <t>[Kaempfer, Peter; Glaeser, Stefanie P.] Justus Liebig Univ Giessen, Inst Angew Mikrobiol, D-35392 Giessen, Germany; [Irgang, Rute; Poblete-Morales, Matias; Avendano-Herrera, Ruben] Univ Andres Bello, Lab Patol Organismos Acuat &amp; Biotecnol Acuicola, Fac Ciencias Vida, Vina Del Mar, Chile; [Irgang, Rute; Poblete-Morales, Matias; Avendano-Herrera, Ruben] Interdisciplinary Ctr Aquaculture Res INCAR, Vina Del Mar, Chile; [Fernandez-Negrete, Guillermo; Fuentes-Messina, Derie] Fraunhofer Chile Res Fdn, Ctr Syst Biotechnol, Santiago, Chile; [Cortez-San Martin, Marcelo] Univ Santiago Chile, Fac Quim &amp; Biol, Lab Virol Mol, Santiago, Chile</t>
  </si>
  <si>
    <t>Justus Liebig University Giessen; Universidad Andres Bello; Universidad de Santiago de Chile</t>
  </si>
  <si>
    <t>Kämpfer, P (corresponding author), Justus Liebig Univ Giessen, Inst Angew Mikrobiol, D-35392 Giessen, Germany.;Avendaño-Herrera, R (corresponding author), Univ Andres Bello, Lab Patol Organismos Acuat &amp; Biotecnol Acuicola, Fac Ciencias Vida, Vina Del Mar, Chile.;Avendaño-Herrera, R (corresponding author), Interdisciplinary Ctr Aquaculture Res INCAR, Vina Del Mar, Chile.</t>
  </si>
  <si>
    <t>peter.kaempfer@umwelt.uni-giessen.de; reavendano@yahoo.com</t>
  </si>
  <si>
    <t>Glaeser, Stefanie/ABI-5518-2020; Poblete-Morales, Matías/AAS-1973-2020; Fuentes, Derie/GLS-8773-2022; Irgang, Rute/H-2399-2015</t>
  </si>
  <si>
    <t>Poblete-Morales, Matías/0000-0001-9064-3285; Avendano-Herrera, Ruben/0000-0001-5368-4475; Irgang, Rute/0000-0001-5608-0060; Kampfer, Peter/0000-0002-7165-3418; Cortez-San Martin, Marcelo/0000-0001-7185-4909; Fuentes, Derie/0000-0002-8189-8515</t>
  </si>
  <si>
    <t>FONDAP - Comision Nacional de Investigacion Cientifica y Tecnologica (CONICYT, Chile) [15110027]; FONDECYT - Comision Nacional de Investigacion Cientifica y Tecnologica (CONICYT, Chile) [1150695]; Instituto Antartico Chileno (INACH) [RT_08_13]</t>
  </si>
  <si>
    <t>FONDAP - Comision Nacional de Investigacion Cientifica y Tecnologica (CONICYT, Chile); FONDECYT - Comision Nacional de Investigacion Cientifica y Tecnologica (CONICYT, Chile); Instituto Antartico Chileno (INACH)</t>
  </si>
  <si>
    <t>RA-H acknowledges support received by the Grants FONDAP No 15110027 and FONDECYT No 1150695, awarded by the Comision Nacional de Investigacion Cientifica y Tecnologica (CONICYT, Chile) and Grant RT_08_13 entitled 'Study of viral and bacterial diversity in seawater and Antarctic fish species: Finding of natural reservoir of salmonid pathogens' by the Instituto Antartico Chileno (INACH).</t>
  </si>
  <si>
    <t>10.1099/ijsem.0.003739</t>
  </si>
  <si>
    <t>KM8VG</t>
  </si>
  <si>
    <t>WOS:000514419600031</t>
  </si>
  <si>
    <t>Wang, XJ; Xu, L; Wang, N; Sun, HM; Chen, XL; Zhang, YZ; Shi, M; Zhang, XY</t>
  </si>
  <si>
    <t>Wang, Xiu-Juan; Xu, Lin; Wang, Ning; Sun, He-Min; Chen, Xiu-Lan; Zhang, Yu-Zhong; Shi, Mei; Zhang, Xi-Ying</t>
  </si>
  <si>
    <t>Putridiphycobacter roseus gen. nov., sp. nov., isolated from Antarctic rotten seaweed</t>
  </si>
  <si>
    <t>the family Crocinitomicaceae; Antarctic; gen. nov</t>
  </si>
  <si>
    <t>ALGICOLA SP NOV.; FAMILY CRYOMORPHACEAE; EMENDED DESCRIPTIONS; MARINE BACTERIUM; BRUMIMICROBIUM; FLUVIICOLA; SEQUENCES; WATER; TAXA; TREE</t>
  </si>
  <si>
    <t>A Gram-stain-negative, pink-pigmented, rod-shaped, non-flagellated, aerobic bacterium, designated strain SM1701(T), was isolated from a rotten seaweed collected off Fildes Peninsula, King George Island, West Antarctica. The strain grew at 4-30 degrees C, pH 6.0-8.0 and with 0.5-5% (w/v) NaCl. It hydrolysed gelatin and Tweens (40, 60 and 80), but did not reduce nitrates to nitrites. The major cellular fatty acids of strain SM1701(T) were iso-C-15:0, iso-C(15:1)G, iso-C(16:1)G, C-16:0 and iso-C-17:0 3-OH. Polar lipids included phosphatidylethanolamine, one unidentified aminolipid, two unidentified glycolipids and one unidentified aminoglycolipid. The major respiratory quinone was MK-7. The genomic DNA G+C content of strain SM1701(T) was 34.1 mol%. It showed high 16S rRNA gene sequence similarities to Crocinitomix algicola (93.8%) and Crocinitomix catalasitica (92.5%) and less than 91% sequence similarities to other known members in the family Crocinitomicaceae. Phylogenetic analysis based on 16S rRNA gene sequences revealed that strain SM1701(T) constituted a distinct lineage within the family Crocinitomicaceae. The phylogenetic trees based on concatenated 261 protein sequences from genome sequences showed that strain SM1701(T) occupied a branch separated from those of known genera in the family of Crocinitomicaceae, indicating it may belong to a new genus. On the basis of the polyphasic characterization of strain SM1701(T) in this study, it is considered to represent a novel species in a new genus in the family Crocinitomicaceae, for which the name Putridiphycobacter roseus gen. nov., sp. nov. is proposed. The type strain is SM1701(T) (=KCTC 62302(T)=NBRC 113201(T)=CGMCC 1.16510(T)).</t>
  </si>
  <si>
    <t>[Wang, Xiu-Juan; Wang, Ning; Sun, He-Min; Chen, Xiu-Lan; Zhang, Yu-Zhong; Shi, Mei; Zhang, Xi-Ying] Shandong Univ, Marine Biotechnol Res Ctr, State Key Lab Microbial Technol, Qingdao 266237, Peoples R China; [Xu, Lin] Zhejiang Sci Tech Univ, Coll Life Sci &amp; Med, Hangzhou 310018, Peoples R China; [Chen, Xiu-Lan; Zhang, Yu-Zhong; Zhang, Xi-Ying] Pilot Natl Lab Marine Sci &amp; Technol Qingdao, Lab Marine Biol &amp; Biotechnol, Qingdao 266237, Peoples R China; [Zhang, Yu-Zhong] Ocean Univ China, Coll Marine Life Sci, Inst Adv Ocean Study, Qingdao 266003, Peoples R China</t>
  </si>
  <si>
    <t>Shandong University; Zhejiang Sci-Tech University; Laoshan Laboratory; Ocean University of China</t>
  </si>
  <si>
    <t>Zhang, Xi/HJH-1211-2023</t>
  </si>
  <si>
    <t>National Key R and D Program of China [2018YFC1406701, 2018YFC1406703, 2018YFC1406704]; National Science Foundation of China [31670063, 31470541, 31370056]; Chinese Arctic and Antarctic Administration, State Oceanic Administration, PR China [2012GW04004, 2014GW07007, 2013 YR03003, 2014 YR01011, 15/16YR07, 2016 YR07007]; Taishan Scholars Program of Shandong Province [tspd20181203]; Science and Technology Basic Resources Investigation Program of China [2017FY100804]; Key Laboratory of Global Change and Marine-Atmospheric Chemistry of the State Oceanic Administration, PR China [2018GCMAC16]</t>
  </si>
  <si>
    <t>National Key R and D Program of China; National Science Foundation of China(National Natural Science Foundation of China (NSFC)); Chinese Arctic and Antarctic Administration, State Oceanic Administration, PR China; Taishan Scholars Program of Shandong Province; Science and Technology Basic Resources Investigation Program of China; Key Laboratory of Global Change and Marine-Atmospheric Chemistry of the State Oceanic Administration, PR China</t>
  </si>
  <si>
    <t>The work was supported by the National Key R and D Program of China (2018YFC1406701 and 2018YFC1406703 and 2018YFC1406704, awarded to Y.-Z. Z. and X.-Y. Z., respectively), the National Science Foundation of China (grants 31670063, 31470541 and 31370056, awarded to X.-Y. Z., M. S. and Q.-L. Q., respectively), the Chinese Arctic and Antarctic Administration, State Oceanic Administration, PR China (2012GW04004, 2014GW07007, 2013 YR03003, 2014 YR01011, 15/16YR07 and 2016 YR07007, all awarded to Y.-Z. Z.), the Taishan Scholars Program of Shandong Province (tspd20181203, awarded to Y.-Z. Z.), the Science and Technology Basic Resources Investigation Program of China (2017FY100804, awarded to X.-Y. Z.) and funding from the Key Laboratory of Global Change and Marine-Atmospheric Chemistry of the State Oceanic Administration, PR China (2018GCMAC16, awarded to X.-Y. Z.). Persons employed by the funders had no role in the study nor in the preparation of the article or decision to publish.</t>
  </si>
  <si>
    <t>10.1099/ijsem.0.003809</t>
  </si>
  <si>
    <t>WOS:000514419600089</t>
  </si>
  <si>
    <t>Juricke, S; Danilov, S; Koldunov, N; Oliver, M; Sidorenko, D</t>
  </si>
  <si>
    <t>Juricke, Stephan; Danilov, Sergey; Koldunov, Nikolay; Oliver, Marcel; Sidorenko, Dmitry</t>
  </si>
  <si>
    <t>Ocean Kinetic Energy Backscatter Parametrization on Unstructured Grids: Impact on Global Eddy-Permitting Simulations</t>
  </si>
  <si>
    <t>ocean kinetic energy backscatter; subgrid eddy parametrization; inverse energy cascade; viscosity closure; eddy-permitting resolution</t>
  </si>
  <si>
    <t>ENERGETICALLY CONSISTENT; RESOLUTION; MODEL; CIRCULATION; CLIMATE; EDDIES; SENSITIVITY; FORMULATION; HEAT; MESH</t>
  </si>
  <si>
    <t>In this study we demonstrate the potential of a kinetic energy backscatter scheme for use in global ocean simulations. Ocean models commonly employ (bi)harmonic eddy viscosities causing excessive dissipation of kinetic energy in eddy-permitting simulations. Overdissipation not only affects the smallest resolved scales but also the generation of eddies through baroclinic instabilities, impacting the entire wave number spectrum. The backscatter scheme returns part of this overdissipated energy back into the resolved flow. We employ backscatter in the FESOM2 multiresolution ocean model with a quasi-uniform 1/4 degrees mesh. In multidecadal ocean simulations, backscatter increases eddy activity by a factor 2 or more, moving the simulation closer to observational estimates of sea surface height variability. Moreover, mean sea surface height, temperature, and salinity biases are reduced. This amounts to a globally averaged bias reduction of around 10% for each field, which is even larger in the Antarctic Circumpolar Current. However, in some regions such as the coastal Kuroshio, backscatter leads to a slight overenergizing of the flow and, in the Antarctic, to an unrealistic reduction of sea ice. Some of the bias increases can be reduced by a retuning of the model, and we suggest related adjustments to the backscatter scheme. The backscatter simulation is about 2.5 times as expensive as a simulation without backscatter. Most of the increased cost is due to a halving of the time step to accommodate higher simulated velocities. Plain Language Summary The weather of the oceans is determined by so-called mesoscale eddies, which carry a large portion of the kinetic energy of ocean currents. They are responsible for the transport of heat and dissolved substances; they can affect the large and fast mean currents of the ocean and interact strongly with the atmosphere above. However, these eddies are not well represented in current ocean and climate models. With this study, we apply a new method to better represent the effect of ocean weather in ocean models. We show that this leads to improvements of the simulation of ocean currents and their variability and reduces biases in ocean temperatures and salinity. While increasing the resolution of ocean models also helps to improve the representation of mesoscale eddies, such a resolution increase is computationally expensive. The new backscatter parametrization can help to save computational costs by allowing improved eddy simulations comparable to much higher resolution.</t>
  </si>
  <si>
    <t>[Juricke, Stephan; Danilov, Sergey; Oliver, Marcel] Jacobs Univ, Math, Bremen, Germany; [Juricke, Stephan; Danilov, Sergey; Koldunov, Nikolay; Sidorenko, Dmitry] Alfred Wegener Inst Polar &amp; Marine Res, Bremerhaven, Germany; [Koldunov, Nikolay] MARUM Ctr Marine Environm Sci, Bremen, Germany</t>
  </si>
  <si>
    <t>Jacobs University; Helmholtz Association; Alfred Wegener Institute, Helmholtz Centre for Polar &amp; Marine Research; University of Bremen</t>
  </si>
  <si>
    <t>Juricke, S (corresponding author), Jacobs Univ, Math, Bremen, Germany.;Juricke, S (corresponding author), Alfred Wegener Inst Polar &amp; Marine Res, Bremerhaven, Germany.</t>
  </si>
  <si>
    <t>s.juricke@jacobs-university.de</t>
  </si>
  <si>
    <t>Atmosphere and Ocean, Collaborative Research Center TRR 181- Energy Transfers in/AAY-2721-2020; Danilov, Sergey/S-6184-2016; Oliver, Marcel/AAG-8775-2020; Koldunov, Nikolay V. V./A-5439-2011</t>
  </si>
  <si>
    <t>Danilov, Sergey/0000-0001-8098-182X; Oliver, Marcel/0000-0003-0921-4032; Koldunov, Nikolay V. V./0000-0002-3365-8146; Juricke, Stephan/0000-0003-4614-2509; Sidorenko, Dmitry/0000-0001-8579-6068</t>
  </si>
  <si>
    <t>Deutsche Forschungsgemeinschaft (DFG, German Research Foundation) [274762653]; Helmholtz Climate Initiative REKLIM (Regional Climate Change)</t>
  </si>
  <si>
    <t>Deutsche Forschungsgemeinschaft (DFG, German Research Foundation)(German Research Foundation (DFG)); Helmholtz Climate Initiative REKLIM (Regional Climate Change)</t>
  </si>
  <si>
    <t>We would like to thank Malte Jansen and two other, anonymous reviewers for their valuable comments and suggestions that led to an improved presentation and discussion of our results. Their time and effort are greatly appreciated. This paper is a contribution to the projects M3 and S2 of the Collaborative Research Centre TRR 181 Energy Transfers in Atmosphere and Ocean funded by the Deutsche Forschungsgemeinschaft (DFG, German Research Foundation) under Project 274762653 (S.Juricke, S.Danilov, N. Koldunov, M. Oliver). The work was also supported by the Helmholtz Climate Initiative REKLIM (Regional Climate Change) (D. Sidorenko). The computational resources were supplied by the supercomputing facilities at the Alfred Wegener Institute in Bremerhaven. The model data and the backscatter adjustments to the code (i.e., the respective subroutines) are publicly available at the DKRZ cloud https://swiftbrowser.dkrz.de/public/dkrz_ 9248ec57effc444b996dab29cb29430b/GlobalBackscatter_1_4/). The latest stable release version of FESOM2 (with the full backscatter implementation soon to be added) is publicly available online (https://github.com/FESOM/fesom2/).The AVISO Ssalto/Duacs altimeter products were produced and distributed by the Copernicus Marine and Environment Monitoring Service (CMEMS; http://marine.copernicus.eu/).The Polar Science Center Hydrographic Climatology (PHC 3.0, updated from Steele et al., 2001) is available online (http://psc.apl.washington.edu/nonwp_projects/PHC/Data3.html, last access: August 2019).</t>
  </si>
  <si>
    <t>e2019MS001855</t>
  </si>
  <si>
    <t>10.1029/2019MS001855</t>
  </si>
  <si>
    <t>KU5ES</t>
  </si>
  <si>
    <t>WOS:000519733400013</t>
  </si>
  <si>
    <t>Wang, QJ; Bennett, JC; Robertson, DE; Li, M</t>
  </si>
  <si>
    <t>Wang, Quan J.; Bennett, James C.; Robertson, David E.; Li, Ming</t>
  </si>
  <si>
    <t>A Data Censoring Approach for Predictive Error Modeling of Flow in Ephemeral Rivers</t>
  </si>
  <si>
    <t>WATER RESOURCES RESEARCH</t>
  </si>
  <si>
    <t>PRECIPITATION FORECASTS; HYDROLOGICAL MODELS; STREAMFLOW; UNCERTAINTY</t>
  </si>
  <si>
    <t>Flow simulations of ephemeral rivers are often highly uncertain. Therefore, error models that can reliably quantify predictive uncertainty are particularly important. Existing error models are incapable of producing predictive distributions that contain &gt;50% zeros, making them unsuitable for use in highly ephemeral rivers. We propose a new method to produce reliable predictions in highly ephemeral rivers. The method uses data censoring of observed and simulated flow to estimate model parameters by maximum likelihood. Predictive uncertainty is conditioned on the simulation in such a way that it can generate &gt;50% zeros. Our method allows the setting of a censoring threshold above zero. Many conceptual hydrological models can only approach, but never equal, zero. For these hydrological models, we show that setting a censoring threshold slightly above zero is required to produce reliable predictive distributions in highly ephemeral catchments. Our new method allows reliable predictions to be generated even in highly ephemeral catchments.</t>
  </si>
  <si>
    <t>[Wang, Quan J.] Univ Melbourne, Dept Infrastruc Engn, Parkville, Vic, Australia; [Bennett, James C.; Robertson, David E.] CSIRO Land &amp; Water, Clayton, Vic, Australia; [Bennett, James C.] Univ Tasmania, Inst Marine &amp; Antarctic Studies, Hobart, Tas, Australia</t>
  </si>
  <si>
    <t>University of Melbourne; Commonwealth Scientific &amp; Industrial Research Organisation (CSIRO); University of Tasmania</t>
  </si>
  <si>
    <t>Wang, QJ (corresponding author), Univ Melbourne, Dept Infrastruc Engn, Parkville, Vic, Australia.</t>
  </si>
  <si>
    <t>quan.wang@unimelb.edu.au</t>
  </si>
  <si>
    <t>Robertson, David/C-3643-2011; Li, Ming/A-7655-2010; Wang, Quan J/D-2674-2012; Bennett, James/C-8456-2013</t>
  </si>
  <si>
    <t>Robertson, David/0000-0003-4230-8006; Wang, Quan J/0000-0002-8787-2738; Bennett, James/0000-0002-4930-2638</t>
  </si>
  <si>
    <t>Water Information Research and Development Alliance (WIRADA)</t>
  </si>
  <si>
    <t>This research has been supported by the Water Information Research and Development Alliance (WIRADA) between the Bureau of Meteorology and CSIRO Land and Water. Streamflow data have been retrieved from the Bureau of Meteorology's hydrological reference station data set, freely available at http://www.bom.gov.au/water/hrs/. Catchment delineations were created with the Bureau of Meteorology's geofabric, freely available from http://www.bom.gov.au/water/geofabric/. Rainfall and potential evaporation data were retrieved from the gridded Australian Water Availability Project (AWAP) data set: http://www.bom.gov.au/jsp/awap/. Derived time series of rainfall and potential evaporation used in this study are available from the authors on request. A full set of Matlab and C++ code used for this study are available on request; license conditions apply.</t>
  </si>
  <si>
    <t>0043-1397</t>
  </si>
  <si>
    <t>1944-7973</t>
  </si>
  <si>
    <t>WATER RESOUR RES</t>
  </si>
  <si>
    <t>Water Resour. Res.</t>
  </si>
  <si>
    <t>e2019WR026128</t>
  </si>
  <si>
    <t>10.1029/2019WR026128</t>
  </si>
  <si>
    <t>Environmental Sciences; Limnology; Water Resources</t>
  </si>
  <si>
    <t>KV0RN</t>
  </si>
  <si>
    <t>WOS:000520132500034</t>
  </si>
  <si>
    <t>Yu, LJ; Zhong, SY; Sun, B</t>
  </si>
  <si>
    <t>Yu, Lejiang; Zhong, Shiyuan; Sun, Bo</t>
  </si>
  <si>
    <t>The Climatology and Trend of Surface Wind Speed over Antarctica and the Southern Ocean and the Implication to Wind Energy Application</t>
  </si>
  <si>
    <t>wind energy; Antarctica wind; Antarctic Oscillation (AAO); Self-Organizing Map (SOM)</t>
  </si>
  <si>
    <t>ROSS ICE SHELF; KATABATIC WIND; SEA-ICE; ATMOSPHERIC CIRCULATION; ADELIE LAND; AIR-FLOW; REANALYSIS; MODEL; FIELD; POWER</t>
  </si>
  <si>
    <t>Surface wind trends and variability over Antarctica and the Southern Ocean and their implications to wind energy in the region are analyzed using the gridded ERA-Interim reanalysis data between 1979 and 2017 and the Self-Organizing Map (SOM) technique. In general, surface winds are stronger over the coastal regions of East Antarctica and the Transantarctic Mountains and weaker over the Ross and Ronne ice shelves and the Antarctic Peninsula; and stronger in winter and weaker in summer. Winds in the southern Indian and Pacific Oceans and along coastal regions exhibit a strong interannual variability that appears to be correlated to the Antarctic Oscillation (AAO) index. A significantly positive trend in surface wind speeds is found across most regions and about 20% and 17% of the austral autumn and summer wind trends, respectively, and less than 1% of the winter and spring wind trends may be explained by the trends in the AAO index. Except for the Antarctic Peninsula, Ronne and Ross ice shelves, and small areas in the interior East Antarctica, most of the continent is found to be suitable for the development of wind power.</t>
  </si>
  <si>
    <t>[Yu, Lejiang; Sun, Bo] Polar Res Inst China, SOA Key Lab Polar Sci, Shanghai 200136, Peoples R China; [Yu, Lejiang] Southern Marine Sci &amp; Engn Guangdong Lab, Zhuhai 519000, Peoples R China; [Zhong, Shiyuan] Michigan State Univ, Dept Geog Environm &amp; Spatial Sci, E Lansing, MI 48824 USA</t>
  </si>
  <si>
    <t>Polar Research Institute of China; Southern Marine Science &amp; Engineering Guangdong Laboratory; Michigan State University</t>
  </si>
  <si>
    <t>Yu, LJ (corresponding author), Polar Res Inst China, SOA Key Lab Polar Sci, Shanghai 200136, Peoples R China.;Yu, LJ (corresponding author), Southern Marine Sci &amp; Engn Guangdong Lab, Zhuhai 519000, Peoples R China.</t>
  </si>
  <si>
    <t>yulejiang@pric.org.cn; zhongs@msu.edu; sunbo@pric.org.cn</t>
  </si>
  <si>
    <t>Yu, Lejiang/0000-0003-0535-1937; Zhong, Shiyuan/0000-0002-2287-7220</t>
  </si>
  <si>
    <t>National Key R&amp;D Program of China [2018YFA0605701]; National Natural Science Foundation of China [41941009, 41941006]; Shanghai Pujiang Program [17PJ1409800]</t>
  </si>
  <si>
    <t>National Key R&amp;D Program of China; National Natural Science Foundation of China(National Natural Science Foundation of China (NSFC)); Shanghai Pujiang Program(Shanghai Pujiang Program)</t>
  </si>
  <si>
    <t>The authors thank ECMWF for producing ERA-Interim data. This research is supported by National Key R&amp;D Program of China (No. 2018YFA0605701), the National Natural Science Foundation of China (No. 41941009 and 41941006), and Shanghai Pujiang Program (No. 17PJ1409800).</t>
  </si>
  <si>
    <t>10.3390/atmos11010108</t>
  </si>
  <si>
    <t>KQ3KU</t>
  </si>
  <si>
    <t>WOS:000516826200108</t>
  </si>
  <si>
    <t>Xi, H; Jiang, H; An, JC; Wang, ZM; Xu, XY; Yan, HX; Feng, C</t>
  </si>
  <si>
    <t>Xi, Hui; Jiang, Hu; An, Jiachun; Wang, Zemin; Xu, Xueyong; Yan, Houxuan; Feng, Can</t>
  </si>
  <si>
    <t>Spatial and Temporal Variations of Polar Ionospheric Total Electron Content over Nearly Thirteen Years</t>
  </si>
  <si>
    <t>SENSORS</t>
  </si>
  <si>
    <t>global navigation satellite system (GNSS); total electron content (TEC); polar ionosphere; spherical cap harmonic (SCH) model; ionization patch</t>
  </si>
  <si>
    <t>CAP; PATCHES; TEC; MODELS; PLASMA</t>
  </si>
  <si>
    <t>It is of great significance for the global navigation satellite system (GNSS) service to detect the polar ionospheric total electron content (TEC) and its variations, particularly under disturbed ionosphere conditions, including different phases of solar activity, the polar day and night alternation, the Weddell Sea anomaly (WSA) as well as geomagnetic storms. In this paper, four different models are utilized to map the ionospheric TEC over the Arctic and Antarctic for about one solar cycle: the polynomial (POLY) model, the generalized trigonometric series function (GTSF) model, the spherical harmonic (SH) model, and the spherical cap harmonic (SCH) model. Compared to other models, the SCH model has the best performance with +/- 0.8 TECU of residual mean value and 1.5-3.5 TECU of root mean square error. The spatiotemporal distributions and variations of the polar ionospheric TEC are investigated and compared under different ionosphere conditions in the Arctic and Antarctic. The results show that the solar activity significantly affects the TEC variations. During polar days, the ionospheric TEC is more active than it is during polar nights. In polar days over the Antarctic, the maximum value of TEC always appears at night in the Antarctic Peninsula and Weddell Sea area affected by the WSA. In the same year, the ionospheric TEC of the Antarctic has a larger amplitude of annual variation than that of the TEC in the Arctic. In addition, the evolution of the ionization patch during a geomagnetic storm over the Antarctic can be clearly tracked employing the SCH model, which appears to be adequate for mapping the polar TEC, and provides a sound basis for further automatic identification of ionization patches.</t>
  </si>
  <si>
    <t>[Xi, Hui] Acad Sinica, Inst Earth Sci, Taipei 11529, Taiwan; [Jiang, Hu; Xu, Xueyong; Yan, Houxuan; Feng, Can] North Informat Control Res Acad Grp Co Ltd, Nanjing 211153, Peoples R China; [An, Jiachun; Wang, Zemin] Wuhan Univ, Chinese Antarctic Ctr Surveying &amp; Mapping, Wuhan 430079, Peoples R China</t>
  </si>
  <si>
    <t>Academia Sinica - Taiwan; Wuhan University</t>
  </si>
  <si>
    <t>Jiang, H (corresponding author), North Informat Control Res Acad Grp Co Ltd, Nanjing 211153, Peoples R China.</t>
  </si>
  <si>
    <t>xihui@earth.sinica.edu.tw; jianghu0429@163.com; jcan@whu.edu.cn; zmwang@whu.edu.cn; xxyyeah@163.com; yhx412@126.com; fengcan2004@126.com</t>
  </si>
  <si>
    <t>An, Jiachun/ABG-4275-2020; ZeMin, Wang/AAU-3422-2020</t>
  </si>
  <si>
    <t>An, Jiachun/0000-0002-3106-0714</t>
  </si>
  <si>
    <t>Ministry of Science and Technology of Taiwan [108-2116-M-001-016]; Natural Science Funds of China [41776195]</t>
  </si>
  <si>
    <t>Ministry of Science and Technology of Taiwan(Ministry of Science and Technology, Taiwan); Natural Science Funds of China(National Natural Science Foundation of China (NSFC))</t>
  </si>
  <si>
    <t>This work was supported by the Ministry of Science and Technology of Taiwan via grant no. 108-2116-M-001-016 and the Natural Science Funds of China (no. 41776195).</t>
  </si>
  <si>
    <t>1424-8220</t>
  </si>
  <si>
    <t>SENSORS-BASEL</t>
  </si>
  <si>
    <t>Sensors</t>
  </si>
  <si>
    <t>10.3390/s20020540</t>
  </si>
  <si>
    <t>Chemistry, Analytical; Engineering, Electrical &amp; Electronic; Instruments &amp; Instrumentation</t>
  </si>
  <si>
    <t>Chemistry; Engineering; Instruments &amp; Instrumentation</t>
  </si>
  <si>
    <t>KR7IT</t>
  </si>
  <si>
    <t>WOS:000517790100214</t>
  </si>
  <si>
    <t>Gorniak, R; Riginella, E; Koschnick, N; Laptikhovsky, V</t>
  </si>
  <si>
    <t>Gorniak, Rebecca; Riginella, Emilio; Koschnick, Nils; Laptikhovsky, Vladimir</t>
  </si>
  <si>
    <t>FIRST DATA ON THE DAILY FOOD CONSUMPTION BY ANTARCTIC FISH TREMATOMUS HANSONI (ACTINOPTERYGII: PERCIFORMES: NOTOTHENIIDAE) IN CAPTIVITY</t>
  </si>
  <si>
    <t>ACTA ICHTHYOLOGICA ET PISCATORIA</t>
  </si>
  <si>
    <t>daily ration; Nototheniidae; captivity; temperature; Antarctica</t>
  </si>
  <si>
    <t>TERRA-NOVA BAY; DAILY RATION; TEMPERATURE; BOULENGER; PISCES; DIET; CHANNICHTHYIDAE; METABOLISM; ENERGETICS; EVOLUTION</t>
  </si>
  <si>
    <t>In this study, we present first observations on the feeding behaviour of an Antarctic notothenioid fish, the striped rockcod, Trematomus hansoni Boulenger, 1902. During 13 days of feeding experiment onboard RV Polarstern, the striped rockcod consumed an average of 1.0% BM . day(-1) of Loligo reynaudii at the temperature around +1.0 degrees C. The daily food ration of T. hansoni turned out to be lower than predicted by theoretical equations derived for fish living at higher temperatures but was similar to values observed in other Antarctic fish in captivity.</t>
  </si>
  <si>
    <t>[Gorniak, Rebecca; Koschnick, Nils] Helmholtz Ctr Polar &amp; Marine Res AWI, Alfred Wegener Inst, Handelshafen 12, D-27570 Bremerhaven, Germany; [Riginella, Emilio] Staz Zool Anton Dohrn Napoli SZN, Dept Integrat Marine Ecol, Naples, Italy; [Laptikhovsky, Vladimir] Ctr Environm Fisheries &amp; Aquacufture Sci, Lowestoft, Suffolk, England</t>
  </si>
  <si>
    <t>Helmholtz Association; Alfred Wegener Institute, Helmholtz Centre for Polar &amp; Marine Research</t>
  </si>
  <si>
    <t>Gorniak, R (corresponding author), Helmholtz Ctr Polar &amp; Marine Res AWI, Alfred Wegener Inst, Handelshafen 12, D-27570 Bremerhaven, Germany.</t>
  </si>
  <si>
    <t>rebecca.gorniak@gmail.com; emilio.riginella@szn.it; nils.koschnick@awi.de; vladimir.laptikhovsky@cefas.co.uk</t>
  </si>
  <si>
    <t>Riginella, Emilio/Q-2987-2019</t>
  </si>
  <si>
    <t>Riginella, Emilio/0000-0002-1442-8310</t>
  </si>
  <si>
    <t>CNR of Ancona; University of Padua [PNRA16_00307]</t>
  </si>
  <si>
    <t>CNR of Ancona; University of Padua</t>
  </si>
  <si>
    <t>We express our gratitude to the crew of RV Polarstern for all their excellent support on board. We would also like to thank Carina Engicht, Rainer Graupner, Jakob Allerholt, and Moritz Krusenbaum who helped to deploy and release the fish trap. Furthermore, we are thankful to Isabel Diercks for taking the picture used in Fig. 1. We would like to thank M. Lucassen and S. Hain from AWI, M. La Mesa from CNR of Ancona for their support, and C. Papetti and L. Zane from the University of Padua, founded by the PNRA16_00307 project (ER on board). The projects were enabled by Alfred Wegener Institute, Helmholtz Centre for Polar and Marine Research (AWI).</t>
  </si>
  <si>
    <t>WYDAWNICTWO AKAD ROLNICZEJ W SZCZECINIE</t>
  </si>
  <si>
    <t>SZCZECIN</t>
  </si>
  <si>
    <t>KAZIMIERZA KROLEWICZA 4, SZCZECIN, 71550, POLAND</t>
  </si>
  <si>
    <t>0137-1592</t>
  </si>
  <si>
    <t>1734-1515</t>
  </si>
  <si>
    <t>ACTA ICHTHYOL PISCAT</t>
  </si>
  <si>
    <t>Acta Ichthyol. Piscat.</t>
  </si>
  <si>
    <t>10.3750/AIEP/02739</t>
  </si>
  <si>
    <t>Fisheries; Zoology</t>
  </si>
  <si>
    <t>KT8DI</t>
  </si>
  <si>
    <t>WOS:000519241800014</t>
  </si>
  <si>
    <t>Cui, W; Wang, W; Zhang, J; Yang, JG</t>
  </si>
  <si>
    <t>Cui, Wei; Wang, Wei; Zhang, Jie; Yang, Jungang</t>
  </si>
  <si>
    <t>Identification and census statistics of multicore eddies based on sea surface height data in global oceans</t>
  </si>
  <si>
    <t>satellite altimetry; mesoscale eddy; multicore structure; eddy identification; eddy characteristic</t>
  </si>
  <si>
    <t>MESOSCALE EDDIES; TROPICAL PACIFIC; EDDY TRANSPORT; CAPABILITY; WAVES; HEAT; KEY</t>
  </si>
  <si>
    <t>This study produced a statistical analysis of multicore eddy structures based on 23 years' altimetry data in global oceans. Multicore structures were identified using a threshold-free closed-contour algorithm of sea surface height, which was improved for this study in respect of certain technical details. Meanwhile a more accurate definition of eddy boundary was used to estimate eddy scale. Generally, multicore structures, which have two or more closed eddies of the same polarity within their boundaries, represent an important transitional stage in their lives during which the component eddies might experience splitting or merging. In comparison with global eddies, the lifetimes and propagation distances of multicore eddies were found to be much smaller because of their inherent structural instability. However, at the same latitude, the spatial scale of multicore eddies was found larger than that of single-core eddies, i.e., the eddy area could be at least twice as large. Multicore eddies were found to exhibit some features similar to global eddies. For example, multicore eddies tend to occur in the Antarctic Circumpolar Current, some western boundary currents, and mid-latitude regions around 25 degrees N/S, the majority (70%) of eddies propagate westward while only 30% propagate eastward, and large-amplitude eddies are restricted mainly to reasonably confined regions of highly unstable currents.</t>
  </si>
  <si>
    <t>[Cui, Wei; Zhang, Jie; Yang, Jungang] Minist Nat Resources, Inst Oceanog 1, Qingdao 266061, Peoples R China; [Cui, Wei; Wang, Wei] Ocean Univ China, Qingdao Collaborat Innovat Ctr Marine Sci &amp; Techn, Phys Oceanog Lab, Qingdao 266100, Peoples R China</t>
  </si>
  <si>
    <t>Ministry of Natural Resources of the People's Republic of China; First Institute of Oceanography, Ministry of Natural Resources; Ocean University of China</t>
  </si>
  <si>
    <t>Yang, JG (corresponding author), Minist Nat Resources, Inst Oceanog 1, Qingdao 266061, Peoples R China.</t>
  </si>
  <si>
    <t>yangjg@fio.org.cn</t>
  </si>
  <si>
    <t>Lin, Fan/JZT-1441-2024</t>
  </si>
  <si>
    <t>Lin, Fan/0000-0002-7330-3833</t>
  </si>
  <si>
    <t>National Key Reasearch and Development Program of China [2016YFC1401800]; National Natural Science Foundation of China [41576176]; National Programme on Global Change and Air-Sea Interaction; Dragon 4 Project [32292]</t>
  </si>
  <si>
    <t>National Key Reasearch and Development Program of China; National Natural Science Foundation of China(National Natural Science Foundation of China (NSFC)); National Programme on Global Change and Air-Sea Interaction; Dragon 4 Project</t>
  </si>
  <si>
    <t>The National Key Reasearch and Development Program of China under contract No. 2016YFC1401800; the National Natural Science Foundation of China under contract No. 41576176; the National Programme on Global Change and Air-Sea Interaction; Dragon 4 Project under contract No. 32292.</t>
  </si>
  <si>
    <t>10.1007/s13131-019-1519-y</t>
  </si>
  <si>
    <t>KT6JF</t>
  </si>
  <si>
    <t>WOS:000519120000004</t>
  </si>
  <si>
    <t>Liu, SJ; Lin, J; Zhou, ZY; Zhang, F</t>
  </si>
  <si>
    <t>Liu, Shoujin; Lin, Jian; Zhou, Zhiyuan; Zhang, Fan</t>
  </si>
  <si>
    <t>Large along-axis variations in magma supply and tectonism of the Southeast Indian Ridge near the Australian-Antarctic Discordance</t>
  </si>
  <si>
    <t>Oceanic Core Complexes; magma supply; Southeast Indian Ridge; lithospheric deformation; Australian-Antarctic Discordance</t>
  </si>
  <si>
    <t>OCEANIC DETACHMENT; DEPTH ANOMALIES; CORE COMPLEXES; NORMAL-FAULT; ATLANTIC; SLOW; ACCRETION; CHEMISTRY; BOUNDARY; OFFSET</t>
  </si>
  <si>
    <t>We analyzed seafloor morphology and geophysical anomalies of the Southeast Indian Ridge (SEIR) to reveal the remarkable changes in magma supply along this intermediate fast-spreading ridge. We found systematic differences of the Australian-Antarctic Discordance (AAD) from adjacent ridge segments with the residual mantle Bouguer gravity anomaly (RMBA) being more positive, seafloor being deeper, morphology being more chaotic, M factors being smaller at the AAD. These systematic anomalies, as well as the observed Na-8.0 being greater and Fe-8.0 being smaller at AAD, suggest relatively starved magma supply and relatively thin crust within the AAD. Comparing to the adjacent ridges segments, the calculated average map-view M factors are relatively small for the AAD, where several Oceanic Core Complexes (OCCs) develop. Close to 30 OCCs were found to be distributed asymmetrically along the SEIR with 60% of OCCs at the northern flank. The OCCs are concentrated mainly in Segments B3 and B4 within the AAD at similar to 124 degrees-126 degrees E, as well as at the eastern end of Zone C at similar to 115 degrees E. The relatively small map-view M factors within the AAD indicate stronger tectonism than the adjacent SEIR segments. The interaction between the westward migrating Pacific mantle and the relatively cold mantle beneath the AAD may have caused a reduction in magma supply, leading to the development of abundant OCCs.</t>
  </si>
  <si>
    <t>[Liu, Shoujin; Lin, Jian; Zhou, Zhiyuan; Zhang, Fan] Chinese Acad Sci, South China Sea Inst Oceanol, Key Lab Ocean &amp; Marginal Sea Geol, Guangzhou 510301, Peoples R China; [Liu, Shoujin] Univ Chinese Acad Sci, Beijing 100049, Peoples R China; [Lin, Jian] Woods Hole Oceanog Inst, Dept Geol &amp; Geophys, Woods Hole, MA 02543 USA; [Zhou, Zhiyuan; Zhang, Fan] Chinese Acad Sci, Innovat Acad South China Sea Ecol &amp; Environm Engn, Guangzhou 523936, Peoples R China</t>
  </si>
  <si>
    <t>Chinese Academy of Sciences; South China Sea Institute of Oceanology, CAS; Chinese Academy of Sciences; University of Chinese Academy of Sciences, CAS; Woods Hole Oceanographic Institution; Chinese Academy of Sciences</t>
  </si>
  <si>
    <t>Zhou, ZY (corresponding author), Chinese Acad Sci, South China Sea Inst Oceanol, Key Lab Ocean &amp; Marginal Sea Geol, Guangzhou 510301, Peoples R China.;Zhou, ZY (corresponding author), Chinese Acad Sci, Innovat Acad South China Sea Ecol &amp; Environm Engn, Guangzhou 523936, Peoples R China.</t>
  </si>
  <si>
    <t>zyzhou@scsio.ac.cn</t>
  </si>
  <si>
    <t>ZHOU, ZHIYUAN/U-2980-2018</t>
  </si>
  <si>
    <t>Zhou, Zhiyuan/0000-0002-8963-3167</t>
  </si>
  <si>
    <t>National Key R&amp;D Program of China [2018YFC0310105, 2018YFC0309800]; China Ocean Mineral Resources RD Association [DY135-S2-1-04]; National Natural Science Foundation of China [41890813, 91628301, 41976066, 41706056, 41976064, 91858207, U1606401]; Chinese Academy of Sciences [Y4SL021001, QYZDY-SSW-DQC005, 133244KYSB20180029]; Southern Marine Science and Engineering Guangdong Laboratory (Guangzhou) [GML2019ZD0205]</t>
  </si>
  <si>
    <t>National Key R&amp;D Program of China; China Ocean Mineral Resources RD Association; National Natural Science Foundation of China(National Natural Science Foundation of China (NSFC)); Chinese Academy of Sciences(Chinese Academy of Sciences); Southern Marine Science and Engineering Guangdong Laboratory (Guangzhou)</t>
  </si>
  <si>
    <t>The National Key R&amp;D Program of China under contract Nos 2018YFC0310105 and 2018YFC0309800; the China Ocean Mineral Resources R&amp;D Association under contract No. DY135-S2-1-04; the National Natural Science Foundation of China under contract Nos 41890813, 91628301, 41976066, 41706056, 41976064, 91858207 and U1606401; the Chinese Academy of Sciences under contract Nos Y4SL021001, QYZDY-SSW-DQC005 and 133244KYSB20180029; the Southern Marine Science and Engineering Guangdong Laboratory (Guangzhou) under contract No. GML2019ZD0205.</t>
  </si>
  <si>
    <t>10.1007/s13131-019-1518-z</t>
  </si>
  <si>
    <t>WOS:000519120000012</t>
  </si>
  <si>
    <t>Wells, ML; Karlson, B; Wulff, A; Kudela, R; Trick, C; Asnaghi, V; Berdalet, E; Cochlan, W; Davidson, K; De Rijcke, M; Dutkiewicz, S; Hallegraeff, G; Flynn, KJ; Legrand, C; Paerl, H; Silke, J; Suikkanen, S; Thompson, P; Trainer, VL</t>
  </si>
  <si>
    <t>Wells, Mark L.; Karlson, Bengt; Wulff, Angela; Kudela, Raphael; Trick, Charles; Asnaghi, Valentina; Berdalet, Elisa; Cochlan, William; Davidson, Keith; De Rijcke, Maarten; Dutkiewicz, Stephanie; Hallegraeff, Gustaaf; Flynn, Kevin J.; Legrand, Catherine; Paerl, Hans; Silke, Joe; Suikkanen, Sanna; Thompson, Peter; Trainer, Vera L.</t>
  </si>
  <si>
    <t>Future HAB science: Directions and challenges in a changing climate</t>
  </si>
  <si>
    <t>Climate change; HAS; Multi-stressor; Temperature; Stratification; Ocean acidification; Nutrients; Benthic; Cyanobacteria; Grazing; Fisheries; Aquaculture; Modeling; Experimental strategies; New tools; Observatories</t>
  </si>
  <si>
    <t>HARMFUL ALGAL BLOOMS; DOMOIC ACID PRODUCTION; CO2 CONCENTRATING MECHANISMS; PSEUDO-NITZSCHIA-MULTISERIES; OCEAN ACIDIFICATION; PHYTOPLANKTON BLOOMS; DINOFLAGELLATE ASSEMBLAGES; CYANOBACTERIAL DOMINANCE; ENVIRONMENTAL-CONDITIONS; MICROBIAL COMMUNITIES</t>
  </si>
  <si>
    <t>There is increasing concern that accelerating environmental change attributed to human-induced warming of the planet may substantially alter the patterns, distribution and intensity of Harmful Algal Blooms (HABs). Changes in temperature, ocean acidification, precipitation, nutrient stress or availability, and the physical structure of the water column all influence the productivity, composition, and global range of phytoplankton assemblages, but large uncertainty remains about how integration of these climate drivers might shape future HABs. Presented here are the collective deliberations from a symposium on HABs and climate change where the research challenges to understanding potential linkages between HABs and climate were considered, along with new research directions to better define these linkages. In addition to the likely effects of physical (temperature, salinity, stratification, light, changing storm intensity), chemical (nutrients, ocean acidification), and biological (grazer) drivers on microalgae (senso lato), symposium participants explored more broadly the subjects of cyanobacterial HABs, benthic HABs, HAB effects on fisheries, HAB modelling challenges, and the contributions that molecular approaches can bring to HAB studies. There was consensus that alongside traditional research, HAB scientists must set new courses of research and practices to deliver the conceptual and quantitative advances required to forecast future HAB trends. These different practices encompass laboratory and field studies, long-term observational programs, retrospectives, as well as the study of socioeconomic drivers and linkages with aqua culture and fisheries. In anticipation of growing HAB problems, research on potential mitigation strategies should be a priority. It is recommended that a substantial portion of HAB research among laboratories be directed collectively at a small sub-set of HAB species and questions in order to fast-track advances in our understanding. Climate-driven changes in coastal oceanographic and ecological systems are becoming substantial, in some cases exacerbated by localized human activities. That, combined with the slow pace of decreasing global carbon emissions, signals the urgency for HAB scientists to accelerate efforts across disciplines to provide society with the necessary insights regarding future HAB trends.</t>
  </si>
  <si>
    <t>[Wells, Mark L.] Univ Maine, Sch Marine Sci, Orono, ME 04469 USA; [Wells, Mark L.] Minist Nat Resources, Inst Oceanog 2, State Key Lab Satellite Ocean Environm Dynam, 36 Baochubei Rd, Hangzhou 310012, Peoples R China; [Karlson, Bengt] SMHI Swedish Meteorol &amp; Hydrol Inst, Forskning &amp; Utveckling, Oceanog Res &amp; Dev, Sven Kallfelts Gata 15, S-42671 Vastra Frolunda, Sweden; [Wulff, Angela] Univ Gothenburg, Dept Biol &amp; Environm Sci, Box 461, SE-40530 Gothenburg, Sweden; [Kudela, Raphael] Univ Calif Santa Cruz, Ocean Sci Dept, 1156 High St, Santa Cruz, CA 95064 USA; [Trick, Charles] Western Univ, Dept Biol, 1151 Richmond St N, London, ON N6A 5B7, Canada; [Trick, Charles] Schulich Sch Med &amp; Dent, Interfac Program Publ Hlth, 1151 Richmond St N, London, ON N6A 5B7, Canada; [Asnaghi, Valentina] Univ Genova DiSTAV, Cso Europa 26, I-16132 Genoa, Italy; [Berdalet, Elisa] CSIC, Inst Marine Sci ICM, Pg Maritim Barceloneta 37-49, Barcelona 08003, Catalonia, Spain; [Cochlan, William] San Francisco State Univ, Estuary &amp; Ocean Sci Ctr, Romberg Tiburon Campus,3150 Paradise Dr, Tiburon, CA 94920 USA; [Davidson, Keith] Scottish Assoc Marine Sci, Scottish Marine Inst, Oban PA37 1QA, Argyll, Scotland; [De Rijcke, Maarten] Flanders Marine Inst VLIZ, InnovOcean Site,Wandelaarkaai 7, B-8400 Oostende, Belgium; [Dutkiewicz, Stephanie] MIT, Dept Earth Atmospher &amp; Planetary Sci, Cambridge, MA 02139 USA; [Hallegraeff, Gustaaf] Univ Tasmania, Inst Marine &amp; Antarctic Studies, Private Bag 129, Hobart, Tas 7001, Australia; [Flynn, Kevin J.] Swansea Univ, Dept Biosci, Singleton Campus, Swansea SA2 8PP, W Glam, Wales; [Legrand, Catherine] Linnaeus Univ, Ctr Ecol &amp; Evolut Microbial Model Syst, Fac Hlth &amp; Life Sci, SE-39182 Kalmar, Sweden; [Paerl, Hans] Univ North Carolina Chapel Hill, Inst Marine Sci, Morehead City, NC 28557 USA; [Silke, Joe] Marine Inst, Oranmore H91 R673, Galway, Ireland; [Suikkanen, Sanna] Marine Res Ctr, Finnish Environm Inst, Latokartanonkaari 11, FI-00790 Helsinki, Finland; [Thompson, Peter] CSIRO, Marine &amp; Atmospher Sci, Hobart, Tas 7000, Australia; [Trainer, Vera L.] NOAA, Environm &amp; Fisheries Sci Div, Northwest Fisheries Sci Ctr, Natl Marine Fisheries Serv, 2725 Montlake Blvd E, Seattle, WA 98112 USA</t>
  </si>
  <si>
    <t>University of Maine System; University of Maine Orono; Ministry of Natural Resources of the People's Republic of China; Swedish Meteorological &amp; Hydrological Institute; University of Gothenburg; University of California System; University of California Santa Cruz; Western University (University of Western Ontario); Consejo Superior de Investigaciones Cientificas (CSIC); CSIC - Centro Mediterraneo de Investigaciones Marinas y Ambientales (CMIMA); CSIC - Instituto de Ciencias del Mar (ICM); California State University System; San Francisco State University; UHI Millennium Institute; Massachusetts Institute of Technology (MIT); University of Tasmania; Swansea University; Linnaeus University; University of North Carolina; University of North Carolina Chapel Hill; Marine Institute Ireland; Finnish Environment Institute; Commonwealth Scientific &amp; Industrial Research Organisation (CSIRO); National Oceanic Atmospheric Admin (NOAA) - USA</t>
  </si>
  <si>
    <t>Wells, ML (corresponding author), Univ Maine, Sch Marine Sci, Orono, ME 04469 USA.</t>
  </si>
  <si>
    <t>mlwells@maine.edu</t>
  </si>
  <si>
    <t>Asnaghi, Valentina/AFT-8900-2022; Karlson, Bengt/HII-5550-2022; Paerl, Hans W/ABE-7384-2020; Davidson, Keith/A-5474-2013; Flynn, Kevin/AAA-3253-2021; Flynn, KJ/AAA-3232-2021; Trainer, Vera/AAE-9306-2022; De Rijcke, Maarten/HDM-7218-2022; BERDALET, ELISA/K-6956-2014; Hallegraeff, Gustaaf/C-8351-2013</t>
  </si>
  <si>
    <t>Karlson, Bengt/0000-0002-7524-3504; Paerl, Hans W/0000-0003-2211-1011; Flynn, Kevin/0000-0001-6913-5884; De Rijcke, Maarten/0000-0002-0899-8122; Davidson, Keith/0000-0001-9269-3227; Asnaghi, Valentina/0000-0003-1659-2613; Suikkanen, Sanna/0000-0002-0768-8149; BERDALET, ELISA/0000-0003-1123-9706; , Vera/0009-0005-9585-6753; Hallegraeff, Gustaaf/0000-0001-8464-7343</t>
  </si>
  <si>
    <t>Swedish Research Council (FORMAS); Global Ecology and Oceanography of Harmful Algal Blooms (GEOHAB); North Pacific Marine Science Organization (PICES); BBSRC/NERC sustainable aquaculture programme [BB/M025934/1]; NWE Europe Interreg project PRIMROSE; Academy of Finland [259357]; Spanish MINECO through the OstreoRisk [CTM2014-53818-R]; M3-HABs project (ENPI CBC Mediterranean Sea Basin Programme); Commonwealth Scientific and Industrial Research Organisation of Australia; Academy of Finland (AKA) [259357] Funding Source: Academy of Finland (AKA); BBSRC [BB/M025934/1] Funding Source: UKRI; NERC [NE/R00675X/1] Funding Source: UKRI</t>
  </si>
  <si>
    <t>Swedish Research Council (FORMAS)(Swedish Research Council Formas); Global Ecology and Oceanography of Harmful Algal Blooms (GEOHAB); North Pacific Marine Science Organization (PICES); BBSRC/NERC sustainable aquaculture programme(UK Research &amp; Innovation (UKRI)Biotechnology and Biological Sciences Research Council (BBSRC)); NWE Europe Interreg project PRIMROSE(Interreg Europe); Academy of Finland(Research Council of Finland); Spanish MINECO through the OstreoRisk; M3-HABs project (ENPI CBC Mediterranean Sea Basin Programme); Commonwealth Scientific and Industrial Research Organisation of Australia; Academy of Finland (AKA); BBSRC(UK Research &amp; Innovation (UKRI)Biotechnology and Biological Sciences Research Council (BBSRC)); NERC(UK Research &amp; Innovation (UKRI)Natural Environment Research Council (NERC))</t>
  </si>
  <si>
    <t>The Symposium would not have been possible without the Swedish Research Council (FORMAS), the Global Ecology and Oceanography of Harmful Algal Blooms (GEOHAB), the North Pacific Marine Science Organization (PICES), who provided financial support for the Symposium, along with the local sponsors and hosts, the Swedish Meteorological and Hydrological Institute (SMHI) and the University of Gothenburg. Special thanks also go to the graduate student Rapporteurs: Marie Johansen, Maria Karlberg, Johannes Johansson, and Cathy Winterton. KD was supported by the BBSRC/NERC sustainable aquaculture programme grant BB/M025934/1 and the NWE Europe Interreg project PRIMROSE). SS was supported by the Academy of Finland (grant 259357). EB's attendance was funded by Spanish MINECO through the OstreoRisk (CTM2014-53818-R) project. VA's attendance to the workshop was funded in the framework of M3-HABs project (ENPI CBC Mediterranean Sea Basin Programme, www.m3habs.net). Funding was provided by the Commonwealth Scientific and Industrial Research Organisation of Australia to allow PT to attend. We thank the anonymous reviewers for their thought provoking critical comments that helped improve this paper. In closing, we offer our heartfelt appreciation of two good friends and respected colleagues; Professor Anna Godhe, who's contributions, collaborations, and passion for HAB science inspired so many of us, and Professor Theodore J. Smayda, whose life long dedication reminds us to remain curious about the mysteries of HABs. We dedicate this contribution to them.[CG]</t>
  </si>
  <si>
    <t>10.1016/j.hal.2019.101632</t>
  </si>
  <si>
    <t>KT0MV</t>
  </si>
  <si>
    <t>WOS:000518705600012</t>
  </si>
  <si>
    <t>Vanková, I; Nicholls, KW; Corr, HFJ; Makinson, K; Brennan, PV</t>
  </si>
  <si>
    <t>Vankova, Irena; Nicholls, Keith W.; Corr, Hugh F. J.; Makinson, Keith; Brennan, Paul V.</t>
  </si>
  <si>
    <t>Observations of Tidal Melt and Vertical Strain at the Filchner-Ronne Ice Shelf, Antarctica</t>
  </si>
  <si>
    <t>PHASE-SENSITIVE RADAR; BENEATH; CAVITY; RATES; MODEL</t>
  </si>
  <si>
    <t>The Filchner-Ronne Ice Shelf experiences strong tidal forcing known to displace portions of the ice shelf by several meters over a tidal cycle. These large periodic displacements may cause significant variation of the ice shelf vertical strain. Further, tidal currents in the ice shelf cavity may be responsible for basal melt variations. We deployed autonomous phase-sensitive radio-echo sounders at 17 locations across the ice shelf and measured basal motion and internal vertical ice motion at sufficiently short intervals to allow the resolution of all significant tidal constituents. Basal melt estimates with this surface-based technique rely on accurate estimation of vertical strain changes in the ice shelf. We present a method that can separate the vertical strain changes from the total thickness changes at tidal time scales, yielding a tidal basal melt estimate. The method was used to identify vertical strain and basal melt variations at the predominant semidiurnal M2 tidal constituent. At most sites the tidal vertical strain was depth independent. Tidal deformation at four sites was controlled by local effects causing elastic bending. Significant tidal melt was observed to occur at six locations, and upper bounds on the tidal melt amplitude were derived for the remaining sites. Finally, we show that observations of basal melt spectra, specifically at tidal frequencies and their multiples, can provide constraints on the hydrographic conditions near the ice base, such as the nontidal background ocean flow.</t>
  </si>
  <si>
    <t>[Vankova, Irena; Nicholls, Keith W.; Corr, Hugh F. J.; Makinson, Keith] British Antarctic Survey, Nat Environm Res Council, Cambridge, England; [Brennan, Paul V.] UCL, Dept Elect &amp; Elect Engn, London, England</t>
  </si>
  <si>
    <t>UK Research &amp; Innovation (UKRI); Natural Environment Research Council (NERC); NERC British Antarctic Survey; University of London; University College London</t>
  </si>
  <si>
    <t>Vanková, I (corresponding author), British Antarctic Survey, Nat Environm Res Council, Cambridge, England.</t>
  </si>
  <si>
    <t>irkova@bas.ac.uk</t>
  </si>
  <si>
    <t>Makinson, Keith/A-2495-2013; Corr, Hugh/C-5398-2011</t>
  </si>
  <si>
    <t>Makinson, Keith/0000-0002-5791-1767;</t>
  </si>
  <si>
    <t>European Union [790062]; NERC [NE/L013770/1]; NERC [NE/S006761/1, NE/L013444/1, bas0100033, NE/L013770/1] Funding Source: UKRI; Marie Curie Actions (MSCA) [790062] Funding Source: Marie Curie Actions (MSCA)</t>
  </si>
  <si>
    <t>European Union(European Union (EU)); NERC(UK Research &amp; Innovation (UKRI)Natural Environment Research Council (NERC)); NERC(UK Research &amp; Innovation (UKRI)Natural Environment Research Council (NERC)); Marie Curie Actions (MSCA)(Marie Curie Actions)</t>
  </si>
  <si>
    <t>This project has received funding from the European Union's Horizon 2020 research and innovation programme under the Marie Sklodowska-Curie Grant Agreement 790062. The ApRES data were collected as part of the NERC-funded project NE/L013770/1: Ice shelves in a warming world: Filchner Ice Shelf System (FISS), Antarctica. We thank Craig Stewart for sharing his code, Elin Darelius for her comments on an earlier version of the manuscript, and Laurie Padman, Olga Sergienko, and two anonymous reviewers for their detailed review which significantly improved the paper. The data set presented in this paper is available for download online (at https://doi.org/10.6084/m9.figshare.10009010).</t>
  </si>
  <si>
    <t>e2019JF005280</t>
  </si>
  <si>
    <t>10.1029/2019JF005280</t>
  </si>
  <si>
    <t>KT6JH</t>
  </si>
  <si>
    <t>WOS:000519120200001</t>
  </si>
  <si>
    <t>Thiebot, JB; McInnes, JC</t>
  </si>
  <si>
    <t>Thiebot, Jean-Baptiste; McInnes, Julie C.</t>
  </si>
  <si>
    <t>Why do marine endotherms eat gelatinous prey?</t>
  </si>
  <si>
    <t>ctenophores; diet; DNA analysis; endothermy; gelatinous zooplankton; jellyfish; predation; predator-prey; salps; video data logger</t>
  </si>
  <si>
    <t>STELLER SEA LIONS; EUMETOPIAS-JUBATUS; JUNK-FOOD; JELLYFISH AGGREGATIONS; SECONDARY METABOLITES; AMPHIPODA-HYPERIIDEA; NUTRITIONAL STRESS; SELF-MEDICATION; SOUTHERN-OCEAN; DIET</t>
  </si>
  <si>
    <t>There is growing evidence that gelatinous zooplanktonic organisms (gelata) are regular prey for marine endotherms. Yet the consumption of gelata is intriguing in terms of the energy reward, because endotherms have a high energy demand and the consumption of gelata provides little energy return. In this paper, we take advantage of recent advances in diet analysis methods, notably animal-borne video loggers and DNA analysis in seabirds, to examine our current understanding of this interaction. We suggest that several hypotheses commonly raised to explain predation on gelata (including increased biomass, reduced prey availability, and secondary ingestion) have already been tested and many lack strong support. We emphasize that gelata are widely consumed by endotherms (121 cases reported across 82 species of seabirds, marine mammals, and endothermic fishes) from the Arctic to the Antarctic but noticeably less in the tropics. We propose that in line with research from terrestrial ecosystems atypical food items might be beneficial to the consumers in a non-energetic context, encompassing self-medication, and responding to homeostatic challenges. Changing the last resort context for a functional response framework may improve our understanding of widespread predation on gelata. Further biochemical analyses are needed to formally examine this perspective.</t>
  </si>
  <si>
    <t>[Thiebot, Jean-Baptiste] Natl Inst Polar Res, 10-3 Midori Cho, Tachikawa, Tokyo 1908518, Japan; [McInnes, Julie C.] Univ Tasmania, Inst Marine &amp; Antarctic Studies, Private Bag 129, Hobart, Tas 7001, Australia</t>
  </si>
  <si>
    <t>Research Organization of Information &amp; Systems (ROIS); National Institute of Polar Research (NIPR) - Japan; University of Tasmania</t>
  </si>
  <si>
    <t>Thiebot, JB (corresponding author), Natl Inst Polar Res, 10-3 Midori Cho, Tachikawa, Tokyo 1908518, Japan.</t>
  </si>
  <si>
    <t>jbthiebot@gmail.com</t>
  </si>
  <si>
    <t>McInnes, Julie C/C-2865-2014</t>
  </si>
  <si>
    <t>Thiebot, Jean-Baptiste/0000-0002-4028-1228; McInnes, Julie/0000-0001-8902-5199</t>
  </si>
  <si>
    <t>JAN-FEB</t>
  </si>
  <si>
    <t>10.1093/icesjms/fsz208</t>
  </si>
  <si>
    <t>KS8BL</t>
  </si>
  <si>
    <t>WOS:000518530200006</t>
  </si>
  <si>
    <t>Krumova, E; Kostadinova, N; Miteva-Staleva, J; Stoyancheva, G; Abrashev, R; Dishlijska, V; Spasova, B; Angelova, M</t>
  </si>
  <si>
    <t>Krumova, Ekaterina; Kostadinova, Nedelina; Miteva-Staleva, Jeni; Stoyancheva, Galina; Abrashev, Radoslav; Dishlijska, Vladislava; Spasova, Boryana; Angelova, Maria</t>
  </si>
  <si>
    <t>SELECTION OF CATALASE PRODUCERS AMONG ANTARCTIC FUNGI</t>
  </si>
  <si>
    <t>COMPTES RENDUS DE L ACADEMIE BULGARE DES SCIENCES</t>
  </si>
  <si>
    <t>Antarctica; filamentous fungi; enzymes; catalase</t>
  </si>
  <si>
    <t>During a survey of cold-adapted fungi in the permanent Bulgarian Antarctic base on Livingston Island, 19 fungal strains isolated at temperature 4 degrees C demonstrated significant extra- and intracellular catalase activity. Thus, Antarctic fungi could be a suitable source for producing cold-active catalase enzymes. Among these strains, Penicillium chrisogenum and Aspergillus fumigatus were selected as perspective producers. Maximum enzyme production was achieved at a temperature 25 degrees C after 96 h submerged cultivation. Both strains exhibited intracellular catalase level comparable to the published data. P. chrisogenum presented three times higher extracellular activity than A. fumigatus.</t>
  </si>
  <si>
    <t>[Krumova, Ekaterina; Kostadinova, Nedelina; Miteva-Staleva, Jeni; Stoyancheva, Galina; Abrashev, Radoslav; Dishlijska, Vladislava; Spasova, Boryana; Angelova, Maria] Bulgarian Acad Sci, Stephan Angeloff Inst Microbiol, Acad G Bonchev St,Bl 26, Sofia 1113, Bulgaria</t>
  </si>
  <si>
    <t>Bulgarian Academy of Sciences; Stephan Angeloff Institute of Microbiology, Bulgarian Academy of Sciences</t>
  </si>
  <si>
    <t>Krumova, E (corresponding author), Bulgarian Acad Sci, Stephan Angeloff Inst Microbiol, Acad G Bonchev St,Bl 26, Sofia 1113, Bulgaria.</t>
  </si>
  <si>
    <t>ekrumova@abv.bg</t>
  </si>
  <si>
    <t>Kostadinova, Nedelina/AAW-4852-2021</t>
  </si>
  <si>
    <t>Bulgarian National Science Fund [DN-01/1-2016]</t>
  </si>
  <si>
    <t>Bulgarian National Science Fund(National Science Fund of Bulgaria)</t>
  </si>
  <si>
    <t>This work was supported by the Bulgarian National Science Fund, Grant DN-01/1-2016, to which we owe our sincere thanks.</t>
  </si>
  <si>
    <t>PUBL HOUSE BULGARIAN ACAD SCI</t>
  </si>
  <si>
    <t>SOFIA</t>
  </si>
  <si>
    <t>ACADEMICIAN G BONCEV ST, 1113 SOFIA, BULGARIA</t>
  </si>
  <si>
    <t>1310-1331</t>
  </si>
  <si>
    <t>CR ACAD BULG SCI</t>
  </si>
  <si>
    <t>C. R. Acad. Bulg. Sci.</t>
  </si>
  <si>
    <t>10.7546/CRABS.2020.02.10</t>
  </si>
  <si>
    <t>KS9AX</t>
  </si>
  <si>
    <t>WOS:000518600900010</t>
  </si>
  <si>
    <t>Cornwall, CE; Hurd, CL</t>
  </si>
  <si>
    <t>Cornwall, C. E.; Hurd, C. L.</t>
  </si>
  <si>
    <t>Variability in the benefits of ocean acidification to photosynthetic rates of macroalgae without CO2-concentrating mechanisms</t>
  </si>
  <si>
    <t>bicarbonate; carbon-concentrating mechanisms; carbon dioxide; carbon use; DIC use; non-CCM species; pCO(2)</t>
  </si>
  <si>
    <t>INORGANIC CARBON; CONCENTRATING MECHANISMS; CO2; RESPONSES; PH; DISSOCIATION; CONSTANTS; SEAWATER; IMPACTS; ACID</t>
  </si>
  <si>
    <t>Increasing concentrations of surface-seawater carbon dioxide (CO2) (ocean acidification) could favour seaweed species that currently are limited for dissolved inorganic carbon (DIC). Among them, those that are unable to use CO2-concentrating mechanisms (CCMs) to actively uptake bicarbonate (HCO3-) across the plasmalemma are most likely to benefit. Here, we assess how the DIC uptake and photosynthetic rates of three rhodophytes without CCMs respond to four seawater CO2 concentrations representing pre-industrial (280 mu atm), present-day (400 mu atm), representative concentration pathway (RCP) emissions scenario 8.5 2050 (650 mu atm) and RCP 8.5 2100 (1000 mu atm). We demonstrated that the photosynthetic rates of only one species increase between the preindustrial and end-of-century scenarios, but because of differing photosynthetic quotients (DIC taken up relative to O-2 evolved), all three increase their DIC uptake rates from pre-industrial or present-day scenarios to the end-of-century scenario. These variable, but generally beneficial, responses highlight that not all species without CCMs will respond to ocean acidification uniformly. This supports past assessments that, on average, this group will likely benefit from the impacts of ocean acidification. However, more concerted efforts are now required to assess whether similar benefits to photosynthetic rates and DIC uptake are also observed in chlorophytes and ochrophytes without CCMs.</t>
  </si>
  <si>
    <t>[Cornwall, C. E.; Hurd, C. L.] Univ Tasmania, Inst Marine &amp; Antarctic Studies, 20 Castray Esplanade, Hobart, Tas 7004, Australia; [Cornwall, C. E.] Victoria Univ Wellington, Sch Biol Sci, Wellington 6012, New Zealand; [Hurd, C. L.] Discipline Biol Sci, Private Bag 55, Hobart, Tas 7001, Australia</t>
  </si>
  <si>
    <t>University of Tasmania; Victoria University Wellington</t>
  </si>
  <si>
    <t>Cornwall, CE (corresponding author), Univ Tasmania, Inst Marine &amp; Antarctic Studies, 20 Castray Esplanade, Hobart, Tas 7004, Australia.;Cornwall, CE (corresponding author), Victoria Univ Wellington, Sch Biol Sci, Wellington 6012, New Zealand.</t>
  </si>
  <si>
    <t>christopher.cornwall@vuw.ac.nz</t>
  </si>
  <si>
    <t>Cornwall, Christopher Edward/J-3982-2012; Hurd, Catriona/J-2411-2013</t>
  </si>
  <si>
    <t>Cornwall, Christopher Edward/0000-0002-6154-4082; Hurd, Catriona/0000-0001-9965-4917</t>
  </si>
  <si>
    <t>IMAS Postdoctoral Fellowship; Royal Society of New Zealand Te Aparangi [RDF-VUW1701]</t>
  </si>
  <si>
    <t>IMAS Postdoctoral Fellowship; Royal Society of New Zealand Te Aparangi(Royal Society of New Zealand)</t>
  </si>
  <si>
    <t>C. E. Cornwall was supported by an IMAS Postdoctoral Fellowship and a Rutherford Discovery Fellowship by the Royal Society of New Zealand Te Aparangi (RDF-VUW1701).</t>
  </si>
  <si>
    <t>10.1071/MF19134</t>
  </si>
  <si>
    <t>WOS:000517577700003</t>
  </si>
  <si>
    <t>Frew, RD; Adu, T; Gault-Ringold, M; Hamidian, A; Currie, KI; Armstrong, E; Hunter, KA</t>
  </si>
  <si>
    <t>Frew, R. D.; Adu, T.; Gault-Ringold, M.; Hamidian, A.; Currie, K. I.; Armstrong, E.; Hunter, K. A.</t>
  </si>
  <si>
    <t>Strong seasonality in the cadmium and phosphate cycling at the subtropical convergence, south-eastern New Zealand</t>
  </si>
  <si>
    <t>OTAGO PENINSULA; IRON LIMITATION; PHYTOPLANKTON GROWTH; CARBONIC-ANHYDRASE; DISSOLVED CADMIUM; GLOBAL CADMIUM; SILICIC-ACID; SHELF WATERS; OCEAN WATERS; ZINC</t>
  </si>
  <si>
    <t>The global distribution of dissolved cadmium (Cd) in the world's oceans is generally well understood. However, information on seasonal variability of this and other trace metals in the open ocean is difficult to obtain and, therefore, our understanding is limited. Here, we present a 3-year time series of field measurements of dissolved and particulate Cd and phosphate (PO4) from a transect across the subtropical convergence, south-eastern New Zealand. In the final year of study, the bioactive trace metals (iron, Fe; zinc, Zn; cobalt, Co) and nutrients (nitrate, NO3; silicate, Si(OH)(4)) were also measured to identify their influence on Cd cycling in the region. Cadmium varied seasonally from 0.009 to 0.137 nM in the sub-Antarctic surface waters (SASW). Zinc in SASW varied between 0.03 and 0.011 nM, which is low enough to suggest Zn limitation year-round. The seasonal input of dissolved Fe may stimulate phytoplankton growth in summer where microplankton (especially diatoms) dominate the phytoplankton distribution. The Cd : PO4 ratio also varied strongly with season (0.015 x 10(-3) to 0.05 x 10(-3)). This seasonal variation in the Cd : PO4 ratio is productivity driven as revealed in the characteristic trend in the Cd : PO4 ratio, particulate Cd and chlorophyll-a measurements. The high seasonal variability between Cd and PO4 complicates the application of the Cd proxy for the reconstruction of historical PO4 concentrations in SASW.</t>
  </si>
  <si>
    <t>[Frew, R. D.; Adu, T.; Gault-Ringold, M.; Hamidian, A.; Armstrong, E.; Hunter, K. A.] Univ Otago, Dept Chem, POB 56,Union St, Dunedin 9056, New Zealand; [Hamidian, A.] Univ Tehran, Fac Nat Resources, Dept Environm, 16 Azar St, Karaj 3158777878, Iran; [Currie, K. I.] Natl Inst Water &amp; Atmospher Res NIWA, Union St, Dunedin 9056, New Zealand</t>
  </si>
  <si>
    <t>University of Otago; University of Tehran</t>
  </si>
  <si>
    <t>Frew, RD (corresponding author), Univ Otago, Dept Chem, POB 56,Union St, Dunedin 9056, New Zealand.</t>
  </si>
  <si>
    <t>rfrew@chemistry.otago.ac.nz</t>
  </si>
  <si>
    <t>Frew, Russell/HDN-6138-2022; Gault-Ringold, Melanie/H-4089-2011; Hamidian, Amir Hossein/L-6250-2019; Frew, Russell/I-5591-2012</t>
  </si>
  <si>
    <t>Hamidian, Amir Hossein/0000-0002-1813-0669; Frew, Russell/0000-0002-6138-2116</t>
  </si>
  <si>
    <t>University of Otago; Chemistry Department, University of Otago</t>
  </si>
  <si>
    <t>T. Adu was supported by a University of Otago scholarship and by funds from the Chemistry Department, University of Otago.</t>
  </si>
  <si>
    <t>10.1071/MF19216</t>
  </si>
  <si>
    <t>WOS:000517577700008</t>
  </si>
  <si>
    <t>Ellwood, MJ; Strzepek, R; Chen, XY; Trull, TW; Boyd, PW</t>
  </si>
  <si>
    <t>Ellwood, Michael J.; Strzepek, Robert; Chen, Xiaoyu; Trull, Thomas W.; Boyd, Philip W.</t>
  </si>
  <si>
    <t>Some observations on the biogeochemical cycling of zinc in the Australian sector of the Southern Ocean: a dedication to Keith Hunter</t>
  </si>
  <si>
    <t>POLAR FRONTAL ZONES; SUB-ANTARCTIC ZONE; ISOTOPE FRACTIONATION; SEASONAL EVOLUTION; TRACE-METALS; MIXED-LAYER; IRON; WATERS; CARBON; PHYTOPLANKTON</t>
  </si>
  <si>
    <t>In this study we investigated the distribution of dissolved and particulate zinc (dZn and pZn respectively) and its isotopes in the Subantarctic Zone as part of a Geotraces Process voyage. dZn and pZn depth profiles contrasted each other, with dZn showing depletion within the euphotic zone while pZn profiles showed enrichment. Fitting a power law equation to the pZn profiles produced an attenuation factor of 0.82, which contrasted values for particulate phosphorus, cadmium and copper. The results indicate that zinc has a longer regeneration length scale than phosphorus and cadmium, but shorter than copper. The differential regeneration of pZn relative to that of particulate phosphorus likely explains why dZn appears to have a deeper regeneration profile than that of phosphate. The dZn isotope (delta Zn-66(dissolved)) profiles collected across the Subantarctic Zone showed differing profile structures. For one station collected within an isolated cold-core eddy (CCE), delta Zn-66(dissolved) showed surface enrichment relative to deep waters. The corresponding pZn isotope profiles within the CCE did not show enrichment; rather, they were subtly depleted in surface waters and then converged to similar values at depth. Zinc isotope fractionation can be explained through a combination of fractionation processes associated with uptake by phytoplankton, zinc complexation by natural organic ligands and zinc regeneration from particulate matter.</t>
  </si>
  <si>
    <t>[Ellwood, Michael J.; Chen, Xiaoyu] Australian Natl Univ, Res Sch Earth Sci, Canberra, ACT 2601, Australia; [Strzepek, Robert; Boyd, Philip W.] Univ Tasmania, Inst Marine &amp; Antarctic Studies, Hobart, Tas 7004, Australia; [Trull, Thomas W.] CSIRO Oceans &amp; Atmosphere, Hobart, Tas 7004, Australia</t>
  </si>
  <si>
    <t>Australian National University; University of Tasmania; Commonwealth Scientific &amp; Industrial Research Organisation (CSIRO)</t>
  </si>
  <si>
    <t>michael.ellwood@anu.edu.au</t>
  </si>
  <si>
    <t>Strzepek, Robert Francis/GQH-8703-2022; Ellwood, Michael J/G-7390-2011; chen, xiaoyu/JNS-8767-2023; Boyd, Philip W/J-7624-2014</t>
  </si>
  <si>
    <t>Strzepek, Robert Francis/0000-0002-6442-7121; chen, xiaoyu/0000-0002-8243-0121; Ellwood, Michael/0000-0003-4288-8530</t>
  </si>
  <si>
    <t>Australian Research Council [DP170102108, DP130100679]; Australia's Marine National Facility [IN2016_V02, IN2017_V02]</t>
  </si>
  <si>
    <t>This research was supported financially under the Australian Research Council's Discovery Program (DP170102108; DP130100679) and ship time from Australia's Marine National Facility (IN2016_V02 and IN2017_V02).</t>
  </si>
  <si>
    <t>10.1071/MF19200</t>
  </si>
  <si>
    <t>WOS:000517577700009</t>
  </si>
  <si>
    <t>Du, XP; Cai, ZH; Zuo, P; Meng, FX; Zhu, JM; Zhou, J</t>
  </si>
  <si>
    <t>Du, Xiao-Peng; Cai, Zhong-Hua; Zuo, Ping; Meng, Fan-Xu; Zhu, Jian-Ming; Zhou, Jin</t>
  </si>
  <si>
    <t>Temporal Variability of Virioplankton during a Gymnodinium catenatum Algal Bloom</t>
  </si>
  <si>
    <t>algal bloom; phage; metagenomics; viral communities; dinoflagellates</t>
  </si>
  <si>
    <t>POPULATION-DYNAMICS; ANTARCTIC PENINSULA; COMMUNITY DYNAMICS; EMILIANIA-HUXLEYI; VIRAL COMMUNITIES; MARINE VIRUSES; BACTERIAL; PHYTOPLANKTON; DIVERSITY; ABUNDANCE</t>
  </si>
  <si>
    <t>Viruses are key biogeochemical engines in the regulation of the dynamics of phytoplankton. However, there has been little research on viral communities in relation to algal blooms. Using the virMine tool, we analyzed viral information from metagenomic data of field dinoflagellate (Gymnodinium catenatum) blooms at different stages. Species identification indicated that phages were the main species. Unifrac analysis showed clear temporal patterns in virioplankton dynamics. The viral community was dominated by Siphoviridae, Podoviridae, and Myoviridae throughout the whole bloom cycle. However, some changes were observed at different phases of the bloom; the relatively abundant Siphoviridae and Myoviridae dominated at pre-bloom and peak bloom stages, while at the post-bloom stage, the members of Phycodnaviridae and Microviridae were more abundant. Temperature and nutrients were the main contributors to the dynamic structure of the viral community. Some obvious correlations were found between dominant viral species and host biomass. Functional analysis indicated some functional genes had dramatic response in algal-associated viral assemblages, especially the CAZyme encoding genes. This work expands the existing knowledge of algal-associated viruses by characterizing viral composition and function across a complete algal bloom cycle. Our data provide supporting evidence that viruses participate in dinoflagellate bloom dynamics under natural conditions.</t>
  </si>
  <si>
    <t>[Du, Xiao-Peng; Cai, Zhong-Hua; Zhu, Jian-Ming; Zhou, Jin] Tsinghua Univ, Shenzhen Int Grad Sch, Shenzhen 518055, Peoples R China; [Zuo, Ping] Nanjing Univ, Sch Geog &amp; Ocean Sci, Nanjing 210000, Peoples R China; [Meng, Fan-Xu] Minist Nat Resources, Inst Oceanog 2, Hangzhou 310000, Peoples R China</t>
  </si>
  <si>
    <t>Tsinghua University; Nanjing University; Ministry of Natural Resources of the People's Republic of China</t>
  </si>
  <si>
    <t>Zhou, J (corresponding author), Tsinghua Univ, Shenzhen Int Grad Sch, Shenzhen 518055, Peoples R China.</t>
  </si>
  <si>
    <t>du.xiaopeng@sz.tsinghua.edu.cn; caizh@sz.tsinghua.edu.cn; zuoping@nju.edu.cn; fanxumeng@sio.org.cn; 19B929041@stu.hit.edu.cn; zhou.jin@sz.tsinghua.edu.cn</t>
  </si>
  <si>
    <t>Zhou, Jin/A-9889-2019</t>
  </si>
  <si>
    <t>Zhu, Jianming/0000-0002-4809-5008; Zuo, Ping/0000-0001-9309-3274; cai, zhonghua/0000-0002-3582-1664</t>
  </si>
  <si>
    <t>NSFC [41976126]; China Ocean Mineral Resources R&amp;D Association (COMRA) Special Foundation [DY135-E2-5-4]; Marine Science and Technology Innovation Project of Jiangsu Province Marine and Fisheries Bureau [HY2018-2]</t>
  </si>
  <si>
    <t>NSFC(National Natural Science Foundation of China (NSFC)); China Ocean Mineral Resources R&amp;D Association (COMRA) Special Foundation; Marine Science and Technology Innovation Project of Jiangsu Province Marine and Fisheries Bureau</t>
  </si>
  <si>
    <t>This research was funded by NSFC (41976126), China Ocean Mineral Resources R&amp;D Association (COMRA) Special Foundation (DY135-E2-5-4), and Marine Science and Technology Innovation Project of Jiangsu Province Marine and Fisheries Bureau (HY2018-2).</t>
  </si>
  <si>
    <t>10.3390/microorganisms8010107</t>
  </si>
  <si>
    <t>KN2DE</t>
  </si>
  <si>
    <t>WOS:000514650700072</t>
  </si>
  <si>
    <t>Monsalves, MT; Ollivet-Besson, GP; Amenabar, MJ; Blamey, JM</t>
  </si>
  <si>
    <t>Monsalves, Maria T.; Ollivet-Besson, Gabriela P.; Amenabar, Maximiliano J.; Blamey, Jenny M.</t>
  </si>
  <si>
    <t>Isolation of a Psychrotolerant and UV-C-Resistant Bacterium from Elephant Island, Antarctica with a Highly Thermoactive and Thermostable Catalase</t>
  </si>
  <si>
    <t>Antarctica; Serratia; psychrotolerant; UV-C radiation; catalase; thermostable; antioxidant; ROS; oxidative stress</t>
  </si>
  <si>
    <t>SUPEROXIDE-DISMUTASE; OXIDATIVE STRESS; PSYCHROPHILIC BACTERIUM; ESCHERICHIA-COLI; DECEPTION ISLAND; PURIFICATION; DIVERSITY; RADIATION; COMMUNITIES; PEROXIDASE</t>
  </si>
  <si>
    <t>Microorganisms present in Antarctica have to deal not only with cold temperatures but also with other environmental conditions, such as high UV radiation, that trigger the generation of reactive oxygen species. Therefore, Antarctic microorganisms must have an important antioxidant defense system to prevent oxidative damage. One of these defenses are antioxidant enzymes, such as catalase, which is involved in the detoxification of hydrogen peroxide produced under oxidative conditions. Here, we reported the isolation and partial characterization of an Antarctic bacterium belonging to the Serratia genus that was resistant to UV-C radiation and well-adapted to cold temperatures. This microorganism, denominated strain I1P, was efficient at decreasing reactive oxygen species levels produced after UV-C irradiation. Genomic and activity assays suggested that the enzymatic antioxidant defense mechanisms of strain I1P, especially its catalase enzyme, may confer UV resistance. This catalase was active in a wide range of temperatures (20-70 degrees C), showing optimal activity at 50 degrees C (at pH 7.0), a remarkable finding considering its psychrotolerant origin. In addition, this enzyme was thermostable, retaining around 60% of its activity after 6 h of incubation at 50 degrees C. The antioxidant defense systems of strain I1P, including its surprisingly thermoactive and thermostable catalase enzyme, make this microorganism a good source of biocompounds with potential biotechnological applications.</t>
  </si>
  <si>
    <t>[Monsalves, Maria T.; Ollivet-Besson, Gabriela P.; Amenabar, Maximiliano J.; Blamey, Jenny M.] Fdn Cient &amp; Cultural Biociencia, Jose Domingo Canas 2280, Santiago 7750132, Chile; [Blamey, Jenny M.] Univ Santiago Chile, Fac Quim &amp; Biol, Ave Libertador Bernardo OHiggins 3363, Santiago 9170022, Chile</t>
  </si>
  <si>
    <t>Blamey, JM (corresponding author), Fdn Cient &amp; Cultural Biociencia, Jose Domingo Canas 2280, Santiago 7750132, Chile.;Blamey, JM (corresponding author), Univ Santiago Chile, Fac Quim &amp; Biol, Ave Libertador Bernardo OHiggins 3363, Santiago 9170022, Chile.</t>
  </si>
  <si>
    <t>mtmonsalves@bioscience.cl; gollivet-besson@bioscience.cl; amenabar.barriuso@gmail.com; jblamey@bioscience.cl</t>
  </si>
  <si>
    <t>Amenabar, Maximiliano/AAD-5354-2020; Blamey, Jenny M/M-2637-2014</t>
  </si>
  <si>
    <t>Amenabar, Maximiliano/0000-0003-1890-5353; Blamey, Jenny M/0000-0002-7640-316X</t>
  </si>
  <si>
    <t>INNOVA-CORFO grant [07CN13PXT-64]; Air Force Office of Scientific Research (AFOSR) [FA9550-09-1-0349]; Conicyt-PIA grant [ACT-1412]; Instituto Antartico Chileno (INACH)</t>
  </si>
  <si>
    <t>INNOVA-CORFO grant; Air Force Office of Scientific Research (AFOSR)(United States Department of DefenseAir Force Office of Scientific Research (AFOSR)); Conicyt-PIA grant; Instituto Antartico Chileno (INACH)</t>
  </si>
  <si>
    <t>This research was funded by INNOVA-CORFO grant 07CN13PXT-64, the Air Force Office of Scientific Research (AFOSR) grant FA9550-09-1-0349, Conicyt-PIA grant No. ACT-1412 and Instituto Antartico Chileno (INACH).</t>
  </si>
  <si>
    <t>10.3390/microorganisms8010095</t>
  </si>
  <si>
    <t>WOS:000514650700057</t>
  </si>
  <si>
    <t>Moussavi, M; Pope, A; Halberstadt, ARW; Trusel, LD; Cioffi, L; Abdalati, W</t>
  </si>
  <si>
    <t>Moussavi, Mahsa; Pope, Allen; Halberstadt, Anna Ruth W.; Trusel, Luke D.; Cioffi, Leanne; Abdalati, Waleed</t>
  </si>
  <si>
    <t>Antarctic Supraglacial Lake Detection Using Landsat 8 and Sentinel-2 Imagery: Towards Continental Generation of Lake Volumes</t>
  </si>
  <si>
    <t>supraglacial lake; antarctica; meltwater volumes; ice shelf stability; supervised classification; satellite imagery; Landsat 8; Sentinel-2</t>
  </si>
  <si>
    <t>GREENLAND ICE-SHEET; WEST GREENLAND; SEASONAL EVOLUTION; SNOW COVER; DRAINAGE; MELTWATER; STREAMS; LARSEN; ELEVATION; GLACIER</t>
  </si>
  <si>
    <t>Melt and supraglacial lakes are precursors to ice shelf collapse and subsequent accelerated ice sheet mass loss. We used data from the Landsat 8 and Sentinel-2 satellites to develop a threshold-based method for detection of lakes found on the Antarctic ice shelves, calculate their depths and thus their volumes. To achieve this, we focus on four key areas: the Amery, Roi Baudouin, Nivlisen, and Riiser-Larsen ice shelves, which are all characterized by extensive surface meltwater features. To validate our products, we compare our results against those obtained by an independent method based on a supervised classification scheme (e.g., Random Forest algorithm). Additional verification is provided by manual inspection of results for nearly 1000 Landsat 8 and Sentinel-2 images. Our dual-sensor approach will enable constructing high-resolution time series of lake volumes. Therefore, to ensure interoperability between the two datasets, we evaluate depths from contemporaneous Landsat 8 and Sentinel-2 image pairs. Our assessments point to a high degree of correspondence, producing an average R-2 value of 0.85, no bias, and an average RMSE of 0.2 m. We demonstrate our method's ability to characterize lake evolution by presenting first evidence of drainage events outside of the Antarctic Peninsula on the Amery Ice shelf. The methods presented here pave the way to upscaling throughout the Landsat 8 and Sentinel-2 observational record across Antarctica to produce a first-ever continental dataset of supraglacial lake volumes. Such a dataset will improve our understanding of the influence of surface hydrology on ice shelf stability, and thus, future projections of Antarctica's contribution to sea level rise.</t>
  </si>
  <si>
    <t>[Moussavi, Mahsa; Pope, Allen] Natl Snow &amp; Ice Data Ctr, Boulder, CO 80303 USA; [Moussavi, Mahsa; Pope, Allen; Abdalati, Waleed] Univ Colorado, Cooperat Inst Res Environm Sci, Boulder, CO 80309 USA; [Halberstadt, Anna Ruth W.] Univ Massachusetts, Dept Geosci, Amherst, MA 01003 USA; [Trusel, Luke D.] Penn State Univ, Dept Geog, University Pk, PA 16801 USA; [Cioffi, Leanne] Rowan Univ, Dept Geog Planning &amp; Sustainabil, Glassboro, NJ 08028 USA</t>
  </si>
  <si>
    <t>University of Colorado System; University of Colorado Boulder; University of Massachusetts System; University of Massachusetts Amherst; Pennsylvania Commonwealth System of Higher Education (PCSHE); Pennsylvania State University; Pennsylvania State University - University Park; Rowan University</t>
  </si>
  <si>
    <t>Moussavi, M (corresponding author), Natl Snow &amp; Ice Data Ctr, Boulder, CO 80303 USA.;Moussavi, M (corresponding author), Univ Colorado, Cooperat Inst Res Environm Sci, Boulder, CO 80309 USA.</t>
  </si>
  <si>
    <t>MAHSA.MOUSSAVI@COLORADO.EDU; allen.pope@nsidc.org; ahalberstadt@umass.edu; trusel@psu.edu; leanne.cioffi@gmail.com; waleed.abdalati@colorado.edu</t>
  </si>
  <si>
    <t>Halberstadt, Anna Ruth/JPW-9990-2023; Moussavi, Mahsa S./B-4051-2016; Trusel, Luke D/E-2578-2013</t>
  </si>
  <si>
    <t>Trusel, Luke/0000-0002-7792-6173; Pope, Allen/0000-0001-9699-7500; Halberstadt, Anna Ruth/0000-0003-2582-7074</t>
  </si>
  <si>
    <t>NSF GEO [1643715, 1643733]; University of Colorado Boulder Libraries Open Access Fund</t>
  </si>
  <si>
    <t>NSF GEO; University of Colorado Boulder Libraries Open Access Fund</t>
  </si>
  <si>
    <t>M.M. and A.P. were funded by NSF GEO Grant 1643715. LDT was funded by NSF GEO Grant 1643733. Publication of this article was funded by the University of Colorado Boulder Libraries Open Access Fund.</t>
  </si>
  <si>
    <t>10.3390/rs12010134</t>
  </si>
  <si>
    <t>KO2PM</t>
  </si>
  <si>
    <t>WOS:000515391700134</t>
  </si>
  <si>
    <t>Qiao, G; Li, YJ; Guo, S; Ye, WK</t>
  </si>
  <si>
    <t>Qiao, Gang; Li, Yanjun; Guo, Song; Ye, Wenkai</t>
  </si>
  <si>
    <t>Evolving Instability of the Scar Inlet Ice Shelf based on Sequential Landsat Images Spanning 2005-2018</t>
  </si>
  <si>
    <t>Larsen B Ice Shelf; Scar Inlet Ice Shelf; ice flow velocity; ice front position; Landsat</t>
  </si>
  <si>
    <t>RADIO-ECHO SOUNDINGS; ANTARCTIC PENINSULA; REGIONAL CLIMATE; MASS-BALANCE; LARSEN; GLACIER; FLOW; VELOCITIES; STABILITY; MODIS</t>
  </si>
  <si>
    <t>Following the large-scale disintegration of the Larsen B Ice Shelf (LBIS) in 2002, ice flow velocities for its remnants and tributary glaciers began to increase. In this study, we used sequential Landsat images spanning 2005-2018 to produce detailed maps of the ice flow velocities and surface features for the Scar Inlet Ice Shelf (SIIS). Our results indicate that the ice flow velocities for the SIIS and its tributary glaciers (Flask and Leppard Glaciers) have substantially increased since 2005. Surface features, such as rifts and crevasses, have also substantially increased in both scope and scale and are particularly evident in the region between the Leppard Glacier and the Jason Peninsula. Several indicators-including the acceleration of ice flows, the rapid growth of major surface rifts, the heavily enhanced surface crevasses, and the dynamic position of the ice front-point to the evolving instability of the SIIS. These same indicators describe the conditions for the LBIS leading up to its 2002 collapse. To date, however, the SIIS remains intact. The formation of fast ice supporting the ice shelf front, combined with moderate mean summer temperatures, may be preventing or delaying its collapse.</t>
  </si>
  <si>
    <t>[Qiao, Gang; Li, Yanjun; Guo, Song; Ye, Wenkai] Tongji Univ, Coll Surveying &amp; Geoinformat, Ctr Spatial Informat Sci &amp; Sustainable Dev Applic, 1239 Siping Rd, Shanghai 200092, Peoples R China; [Qiao, Gang] Univ Corp Polar Res, Beijing 100875, Peoples R China</t>
  </si>
  <si>
    <t>Tongji University</t>
  </si>
  <si>
    <t>Qiao, G (corresponding author), Tongji Univ, Coll Surveying &amp; Geoinformat, Ctr Spatial Informat Sci &amp; Sustainable Dev Applic, 1239 Siping Rd, Shanghai 200092, Peoples R China.;Qiao, G (corresponding author), Univ Corp Polar Res, Beijing 100875, Peoples R China.</t>
  </si>
  <si>
    <t>qiaogang@tongji.edu.cn; 1710992@tongji.edu.cn; guosong@tongji.edu.cn; yewenkai1990@tongji.edu.cn</t>
  </si>
  <si>
    <t>Qiao, Gang/AAU-5717-2020</t>
  </si>
  <si>
    <t>Li, Yanjun/0000-0002-4206-4833; Qiao, Gang/0000-0002-2010-6238</t>
  </si>
  <si>
    <t>National Key Research and Development Program of China [2017YFB0503502]; National Science Foundation of China [91547210, 41771471]</t>
  </si>
  <si>
    <t>National Key Research and Development Program of China; National Science Foundation of China(National Natural Science Foundation of China (NSFC))</t>
  </si>
  <si>
    <t>This research was supported by the National Key Research and Development Program of China (2017YFA0603102), the National Science Foundation of China (91547210, 41771471), and the National Key Research and Development Program of China (2017YFB0503502).</t>
  </si>
  <si>
    <t>10.3390/rs12010036</t>
  </si>
  <si>
    <t>WOS:000515391700036</t>
  </si>
  <si>
    <t>Osmundsen, TC; Amundsen, VS; Alexander, KA; Asche, F; Bailey, J; Finstad, B; Olsen, MS; Hernandez, K; Salgado, H</t>
  </si>
  <si>
    <t>Osmundsen, Tonje C.; Amundsen, Vilde S.; Alexander, Karen A.; Asche, Frank; Bailey, Jennifer; Finstad, Bengt; Olsen, Marit Schei; Hernandez, Klaudia; Salgado, Hugo</t>
  </si>
  <si>
    <t>The operationalisation of sustainability: Sustainable aquaculture production as defined by certification schemes</t>
  </si>
  <si>
    <t>GLOBAL ENVIRONMENTAL CHANGE-HUMAN AND POLICY DIMENSIONS</t>
  </si>
  <si>
    <t>Sustainability standards; Certification; Aquaculture; Reference model; Multidisciplinary approach</t>
  </si>
  <si>
    <t>SALMON; SEAFOOD; GOVERNANCE; STANDARDS; GREEN; RISK</t>
  </si>
  <si>
    <t>Sustainability certification has become an increasingly important feature in aquaculture production, leading to a multitude of schemes with various criteria. However, the large number of schemes and the complexity of the standards creates confusion with respect to which sustainability objectives are targeted. As a result, what is meant by `sustainability' is unclear. In this paper, we examine the operationalisation of the concept from the vantage point of the certifying authorities, who devise standards and grant or withhold certification of compliance. We map the criteria of eight widely-used certification schemes using the four domains of the Wheel of Sustainability, a reference model designed to encompass a comprehensive understanding of sustainability. We show that, overall, the sustainability certifications have an overwhelming focus on environmental and governance indicators, and only display scattered attempts at addressing cultural and economic issues. The strong focus on governance indicators is, to a large degree, due to their role in implementing and legitimising the environmental indicators. The strong bias implies that these certification schemes predominantly focus on the environmental domain and do not address sustainability as a whole, nor do they complement each other. Sustainability is by definition and by necessity a comprehensive concept, but if the cultural and economic issues are to be addressed in aquaculture, the scope of certification schemes must be expanded. The Wheel of Sustainability can serve as a valid lexicon and asset to guide such efforts.</t>
  </si>
  <si>
    <t>[Osmundsen, Tonje C.; Olsen, Marit Schei] NTNU Samfunnsforskning, Studio Apertura, Dragvoll Alle 38 B, N-7049 Trondheim, Norway; [Amundsen, Vilde S.] Norwegian Univ Sci &amp; Technol, NTNU Samfunnsforskning, Studio Apertura, Dept Sociol &amp; Polit Sci, Trondheim, Norway; [Alexander, Karen A.] Univ Tasmania, Ctr Marine Socioecol, Inst Marine &amp; Antarctic Studies, Hobart, Tas, Australia; [Asche, Frank] Univ Florida, Inst Sustainable Seafood Syst, Gainesville, FL 32611 USA; [Asche, Frank] Univ Florida, Sch Forest Resources &amp; Conservat, Gainesville, FL 32611 USA; [Asche, Frank] Univ Stavanger, Dept Ind Econ, Stavanger, Norway; [Bailey, Jennifer] Norwegian Univ Sci &amp; Technol, Dept Sociol &amp; Polit Sci, Trondheim, Norway; [Finstad, Bengt] Norwegian Inst Nat Res NINA, Trondheim, Norway; [Hernandez, Klaudia] Univ Andres Bello, Dept Ecol &amp; Biodiversidad, Santiago, Chile; [Salgado, Hugo] Univ Talca, Fac Econ &amp; Negocios, Talca, Chile</t>
  </si>
  <si>
    <t>Norwegian University of Science &amp; Technology (NTNU); University of Tasmania; State University System of Florida; University of Florida; State University System of Florida; University of Florida; Universitetet i Stavanger; Norwegian University of Science &amp; Technology (NTNU); Norwegian Institute Nature Research; Universidad Andres Bello; Universidad de Talca</t>
  </si>
  <si>
    <t>Osmundsen, TC (corresponding author), NTNU Samfunnsforskning, Studio Apertura, Dragvoll Alle 38 B, N-7049 Trondheim, Norway.</t>
  </si>
  <si>
    <t>tonje.osmundsen@samfunn.ntnu.no</t>
  </si>
  <si>
    <t>Asche, Frank/AAG-9920-2020; Alexander, Karen/O-7042-2017</t>
  </si>
  <si>
    <t>Asche, Frank/0000-0002-1540-9728; Alexander, Karen/0000-0001-8801-413X; Olsen, Marit Schei/0000-0002-6152-337X; Bailey, Jennifer/0000-0002-7052-4112; Osmundsen, Tonje/0000-0002-5776-6694</t>
  </si>
  <si>
    <t>Norwegian Research Council [254841]</t>
  </si>
  <si>
    <t>This work has been conducted as part of the SustainFish project, funded by the Norwegian Research Council, grant no. 254841. We are grateful to the three anonymous reviewers and the editor providing valuable feedback. We thank Marie Nilsen for graphical assistance with figures.</t>
  </si>
  <si>
    <t>0959-3780</t>
  </si>
  <si>
    <t>1872-9495</t>
  </si>
  <si>
    <t>GLOBAL ENVIRON CHANG</t>
  </si>
  <si>
    <t>Glob. Environ. Change-Human Policy Dimens.</t>
  </si>
  <si>
    <t>10.1016/j.gloenvcha.2019.102025</t>
  </si>
  <si>
    <t>Environmental Sciences; Environmental Studies; Geography</t>
  </si>
  <si>
    <t>KN9XH</t>
  </si>
  <si>
    <t>Green Published, hybrid, Green Submitted</t>
  </si>
  <si>
    <t>WOS:000515200100013</t>
  </si>
  <si>
    <t>Bouffaut, L; Madhusudhana, S; Labat, V; Boudraa, AO; Klinck, H</t>
  </si>
  <si>
    <t>Bouffaut, Lea; Madhusudhana, Shyam; Labat, Valerie; Boudraa, Abdel-Ouahab; Klinck, Holger</t>
  </si>
  <si>
    <t>A performance comparison of tonal detectors for low-frequency vocalizations of Antarctic blue whales</t>
  </si>
  <si>
    <t>EXTRACTION</t>
  </si>
  <si>
    <t>Extraction of tonal signals embedded in background noise is a crucial step before classification and separation of low-frequency sounds of baleen whales. This work reports results of comparing five tonal detectors, namely the instantaneous frequency estimator, YIN estimator, harmonic product spectrum, cost-function-based detector, and ridge detector. Comparisons, based on a low-frequency adaptation of the Silbido scoring feature, employ five metrics, which quantify the effectiveness of these detectors to retrieve tonal signals that have a wide range of signal to noise ratios (SNRs) and the quality of the detection results. Ground-truth data were generated by embedding 20 synthetic Antarctic blue whale (Balaenoptera musculus intermedia) calls in randomly extracted 30-min noise segments from a 79h-library recorded by an Ocean Bottom Seismometer in the Indian Ocean during 2012-2013. Monte-Carlo simulations were performed using 20 trials per SNR, ranging from 0dB to 15dB. Overall, the tonal detection results show the superiority of the cost-function-based and the ridge detectors, over the other detectors, for all SNR values. More particularly, for lower SNRs &gt;= 7 dB, the five methods performed similarly. (C) 2020 Acoustical Society of America. https://doi.org/10.1121/10.0000609</t>
  </si>
  <si>
    <t>[Bouffaut, Lea; Labat, Valerie; Boudraa, Abdel-Ouahab] Ecole Navale Arts &amp; Metiers ParisTech BCRM, EA3634, Inst Rech Ecole Navale, F-29240 Brest 9, France; [Madhusudhana, Shyam; Klinck, Holger] Cornell Univ, Cornell Lab Ornithol, Bioacoust Res Program, 159 Sapsucker Woods Rd, Ithaca, NY 14850 USA</t>
  </si>
  <si>
    <t>Bouffaut, L (corresponding author), Ecole Navale Arts &amp; Metiers ParisTech BCRM, EA3634, Inst Rech Ecole Navale, F-29240 Brest 9, France.</t>
  </si>
  <si>
    <t>maillea.bouffaut@ntnu.no</t>
  </si>
  <si>
    <t>Klinck, Holger/X-5214-2019</t>
  </si>
  <si>
    <t>Klinck, Holger/0000-0003-1078-7268</t>
  </si>
  <si>
    <t>Ecole Navale; GdR ISIS; Bourse de la Fondation de la Mer</t>
  </si>
  <si>
    <t>This research was supported by the Ecole Navale, the GdR ISIS, and the Bourse de la Fondation de la Mer. The authors thank the anonymous reviewers for their careful reading of the manuscript and suggestions that helped to improve the content and clarity.</t>
  </si>
  <si>
    <t>10.1121/10.0000609</t>
  </si>
  <si>
    <t>KO4EF</t>
  </si>
  <si>
    <t>WOS:000515500300002</t>
  </si>
  <si>
    <t>Peng, AH; Klanderud, K; Wang, GX; Zhang, L; Xiao, Y; Yang, Y</t>
  </si>
  <si>
    <t>Peng, Ahui; Klanderud, Kari; Wang, Genxu; Zhang, Li; Xiao, Yao; Yang, Yan</t>
  </si>
  <si>
    <t>Plant community responses to warming modified by soil moisture in the Tibetan Plateau</t>
  </si>
  <si>
    <t>Open-top chamber; plant functional traits; N use efficiency; water use efficiency; alpine meadow; alpine swamp</t>
  </si>
  <si>
    <t>LEAF TRAITS; NITROGEN; TEMPERATURE; GRASSLAND; CARBON</t>
  </si>
  <si>
    <t>Predicted warming in Tibetan Plateau may have profound effects on plant community structure and function. We used open-top chambers to artificially warm two different plant communities in Tibet from 2012 to 2016. We recorded species richness, vegetation height, and graminoid, forb, legume, and litter cover each year of the experiment and leaf growth and chemical traits of the most dominant species after four years of warming. Our results showed that vegetation height increased under warming in both the alpine meadow and the swamp. Warming also marginally increased legume cover and C:N ratio of all species in the alpine meadow but not in the swamp, suggesting that plant growth rate and nitrogen cycling are higher in the meadow in a warmer future. An observed tradeoff between water use efficiency and nitrogen use efficiency in the alpine meadow, but not in the swamp, also indicated that resource use may be more efficient in plants in the drier meadow under future warming. Overall, our results support predictions that soil moisture may modify plant community responses to climate warming and that changes in carbon and nutrient cycling may be more pronounced in drier alpine meadows than in wetter swamps under climate warming.</t>
  </si>
  <si>
    <t>[Peng, Ahui; Wang, Genxu; Zhang, Li; Xiao, Yao; Yang, Yan] Chinese Acad Sci, Inst Mt Hazards &amp; Environm, CAS 9,Block 4,Renminnanlu Rd, Chengdu 610041, Peoples R China; [Peng, Ahui; Zhang, Li; Xiao, Yao] Univ Chinese Acad Sci, Coll Resources &amp; Environm, Beijing, Peoples R China; [Klanderud, Kari] Norwegian Univ Life Sci, Fac Environm Sci &amp; Nat Resource Management, As, Norway</t>
  </si>
  <si>
    <t>Chinese Academy of Sciences; Institute of Mountain Hazards &amp; Environment, CAS; Chinese Academy of Sciences; University of Chinese Academy of Sciences, CAS; Norwegian University of Life Sciences</t>
  </si>
  <si>
    <t>Yang, Y (corresponding author), Chinese Acad Sci, Inst Mt Hazards &amp; Environm, CAS 9,Block 4,Renminnanlu Rd, Chengdu 610041, Peoples R China.</t>
  </si>
  <si>
    <t>yyang@imde.ac.cn</t>
  </si>
  <si>
    <t>Yu, Chongxiu/KDM-7354-2024; Li, Chun/KBC-9591-2024</t>
  </si>
  <si>
    <t>Yu, Chongxiu/0000-0002-8221-6221; Xiao, Yao/0000-0003-2044-6993; , Kari/0000-0003-1049-7025; Wang, Genxu/0000-0002-3403-0983</t>
  </si>
  <si>
    <t>Strategic Priority Research Program of Chinese Academy of Sciences [XDA20050102, XDA23060601]; National Natural Science Foundation of China [41571204, 91547203, 41701081, 41271224]</t>
  </si>
  <si>
    <t>Strategic Priority Research Program of Chinese Academy of Sciences(Chinese Academy of Sciences); National Natural Science Foundation of China(National Natural Science Foundation of China (NSFC))</t>
  </si>
  <si>
    <t>This study was supported by the Strategic Priority Research Program of Chinese Academy of Sciences (No. XDA20050102, No. XDA23060601) and the National Natural Science Foundation of China (41571204, 91547203, 41701081, 41271224).</t>
  </si>
  <si>
    <t>10.1080/15230430.2020.1712875</t>
  </si>
  <si>
    <t>KN2PJ</t>
  </si>
  <si>
    <t>WOS:000514684100001</t>
  </si>
  <si>
    <t>Fujii, K; Yasue, K; Matsuura, Y; Osawa, A</t>
  </si>
  <si>
    <t>Fujii, Kazumichi; Yasue, Koh; Matsuura, Yojiro; Osawa, Akira</t>
  </si>
  <si>
    <t>Soil conditions required for reaction wood formation of drunken trees in a continuous permafrost region</t>
  </si>
  <si>
    <t>Active layer; earth hummock; frost heaving; gelisols; thermokarst</t>
  </si>
  <si>
    <t>EARTH HUMMOCKS; CLIMATE; THAW</t>
  </si>
  <si>
    <t>Black spruce trees lean to form drunken forest on degrading permafrost; however, the causes of tree leaning on continuous permafrost remain unclear. Leaning events are recorded by reaction wood formation in tree rings, and it remains unclear what soil conditions are required for reaction wood formation of drunken trees. Tree disk morphology and soil hummock properties were examined for fifty tree-mound combinations in Northwest Territories, Canada. Spruce trees growing on mound edges form reaction wood on the downslope sides of their trunks. Reaction wood formation in mature trees was greatest in stem tissues between ground level and 30 cm aboveground. Reaction wood formation occurred only in trees growing on mound edges. The extent of reaction wood formation was higher in trees growing in clayey soils than in trees on sandy soils. For trees growing on clayey mound edges, the extent of reaction wood formation decreased with increasing permafrost table depth. Black spruce tree rings formed between ground level and 30 cm aboveground could record movement of clayey soil hummocks over shallow, underlying permafrost tables. A combination of clayey soil texture and shallow permafrost table is likely required for development of hummocks and drunken forests on the continuous permafrost region studied.</t>
  </si>
  <si>
    <t>[Fujii, Kazumichi; Matsuura, Yojiro] Forestry &amp; Forest Prod Res Inst, Div Forest Soils, 1 Matsunosato, Tsukuba, Ibaraki 3058687, Japan; [Yasue, Koh] Shinshu Univ, Grad Sch Agr, Ina, Saitama, Japan; [Osawa, Akira] Kyoto Univ, Grad Sch Agr, Kyoto, Japan</t>
  </si>
  <si>
    <t>Forestry &amp; Forest Products Research Institute - Japan; Shinshu University; Kyoto University</t>
  </si>
  <si>
    <t>Fujii, K (corresponding author), Forestry &amp; Forest Prod Res Inst, Div Forest Soils, 1 Matsunosato, Tsukuba, Ibaraki 3058687, Japan.</t>
  </si>
  <si>
    <t>fkazumichi@affrc.go.jp</t>
  </si>
  <si>
    <t>Green Network of Excellence (GRENE) Arctic Climate Change Project; Japan Society for the Promotion of Science (JSPS) [17K15292]; Grants-in-Aid for Scientific Research [17K15292] Funding Source: KAKEN</t>
  </si>
  <si>
    <t>Green Network of Excellence (GRENE) Arctic Climate Change Project;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</si>
  <si>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financially supported by the Green Network of Excellence (GRENE) Arctic Climate Change Project and by a Japan Society for the Promotion of Science (JSPS) grant (No. 17K15292).</t>
  </si>
  <si>
    <t>10.1080/15230430.2020.1712858</t>
  </si>
  <si>
    <t>KM5IR</t>
  </si>
  <si>
    <t>WOS:000514170900001</t>
  </si>
  <si>
    <t>Rumolo, P; Zappes, IA; Fabiani, A; Barra, M; Rakaj, A; Palozzi, R; Allegrucci, G</t>
  </si>
  <si>
    <t>Rumolo, P.; Zappes, I. A.; Fabiani, A.; Barra, M.; Rakaj, A.; Palozzi, R.; Allegrucci, G.</t>
  </si>
  <si>
    <t>The diet of Weddell seals (Leptonychotes weddellii) in Terra Nova Bay using stable isotope analysis</t>
  </si>
  <si>
    <t>Weddell seal diet; Leptonychotes weddellii; stable isotopes; Terra Nova Bay; Antarctica</t>
  </si>
  <si>
    <t>ROSS SEA; TROPHIC RELATIONSHIPS; LIPID EXTRACTION; CARBON ISOTOPES; MCMURDO SOUND; ANTARCTIC TOOTHFISH; DIVING BEHAVIOR; FISH-TISSUES; FOOD; NITROGEN</t>
  </si>
  <si>
    <t>Stable isotope analyses were used to investigate the diet of Weddell seals in Terra Nova Bay (Ross Sea) and the potential variation of their foraging behaviour with age, sex and body mass. For this purpose, skin samples were collected from adult breeding seals and pups, together with muscle samples of their potential prey. Our results showed variation in foraging behavior between age classes, with pups reporting lower delta C-13 values than adults, while no significant differences in delta N-15 were recorded. In addition, contrary to expectations, a mixing model analysis showed that adult seals foraged mainly on shallow benthic prey, such as Trematomus spp. (34.1%) and Dissostichus mawsoni (21.1%), rather than on pelagic fish, such as Pleuragramma antarcticum (9.8%). Overall, with this paper we provide novel diet information on a seal colony not previously sampled, adding new insight into the feeding ecology of a top Antarctic predator.</t>
  </si>
  <si>
    <t>[Rumolo, P.; Barra, M.] CNR, Ist Sci Marine ISMAR, Naples, Italy; [Zappes, I. A.; Fabiani, A.; Rakaj, A.; Palozzi, R.; Allegrucci, G.] Univ Roma Tor Vergata, Dept Biol, Rome, Italy</t>
  </si>
  <si>
    <t>Consiglio Nazionale delle Ricerche (CNR); Istituto di Scienze Marine (ISMAR-CNR); University of Rome Tor Vergata</t>
  </si>
  <si>
    <t>Rumolo, P (corresponding author), CNR, Ist Sci Marine ISMAR, Naples, Italy.</t>
  </si>
  <si>
    <t>paola.rumolo@cnr.it</t>
  </si>
  <si>
    <t>Rakaj, Arnold/JXX-4306-2024; Barra, Marco/AAY-1562-2020; Rumolo, Paola/AAY-1671-2020; Allegrucci, Giuliana/AAZ-2217-2021</t>
  </si>
  <si>
    <t>Rakaj, Arnold/0000-0003-2213-7131; Barra, Marco/0000-0002-8621-504X; Rumolo, Paola/0000-0002-1726-1077;</t>
  </si>
  <si>
    <t>PNRA (Italian Program for Antarctic Researches) [PROG.2013/AZ1.01]; CAPES foundation of the Brazilian Ministry of Education</t>
  </si>
  <si>
    <t>PNRA (Italian Program for Antarctic Researches); CAPES foundation of the Brazilian Ministry of Education(Coordenacao de Aperfeicoamento de Pessoal de Nivel Superior (CAPES))</t>
  </si>
  <si>
    <t>This research was financially supported by a grant from the PNRA (the Italian Program for Antarctic Researches) to Giuliana Allegrucci (PROG.2013/AZ1.01). The authors thank the CAPES foundation of the Brazilian Ministry of Education for financial support to one of us (I.AZ). The authors thank also the staff from ENEA - Italian National Agency for New Technologies, Energy and Sustainable Economic Development - for the logistics and help in sampling the seal tissues around Mario Zucchelli Station, in Antarctica (especially Giorgio and Fedele).</t>
  </si>
  <si>
    <t>10.1080/24750263.2020.1720832</t>
  </si>
  <si>
    <t>KM8YW</t>
  </si>
  <si>
    <t>WOS:000514429200001</t>
  </si>
  <si>
    <t>Kukushkina, AV</t>
  </si>
  <si>
    <t>Kukushkina, Anna, V</t>
  </si>
  <si>
    <t>International Legal Aspects of Environmental Security at the Present Stage</t>
  </si>
  <si>
    <t>TOMSK STATE UNIVERSITY JOURNAL</t>
  </si>
  <si>
    <t>international law; environmental security; armed conflict; UNEP; environmental protection</t>
  </si>
  <si>
    <t>The main aim of the work is to consider environmental security problems and develop proposals for the further development of regulations in this area. The study is based on theoretical and empirical material. The following international legal acts were used: the Antarctic Treaty of 1959, the Treaty Banning Nuclear Weapon Tests in the Atmosphere, in Outer Space and Under Water in 1963, the Stockholm Declaration on the Environment of 1972, etc. The methodological basis for the study was the dialectical, historical legal and formal legal methods. In particular, the use of the dialectical method contributed to the definition of the concept of environmental security, the identification of norms and principles of international law in the field of environmental protection. The use of historical legal and formal legal methods helped to identify the stages of development of norms in the field of environmental security in domestic and international law. As a result, the author came to the conclusion that the continuous improvement of international environmental law, including the use of common or unique natural resources, territories and resources, the preservation of biological diversity in the world by participants in international relations, is important. Effective, consensus-based international procedures and mechanisms that would ensure the rational use of the planet's ecological resources are to be developed. The legal regime of international protection of the environment against various types of damage that has now been established covers many of its areas. But the formation of legal regulation, both international and domestic, lags behind the needs that are dictated by the rapid pace of development of scientific and technological progress and its impact on the environment. Difficulties with the adoption of environmental safety regulations are that they have to deal with a situation in which, under the influence of environmental hazards, it is always possible to clearly identify the main affected parties, but it is difficult to calculate the damage (especially in the long term). Sometimes it can be difficult to find a specific entity (state) to which appropriate sanctions can be applied. For a long period of time, the Russian Federation, which is the successor of the USSR, has been actively participating in international cooperation in compliance with international legal treaties and environmental programs. At the same time, it is often underrepresented in committees and other bodies established on the basis of the treaties.</t>
  </si>
  <si>
    <t>[Kukushkina, Anna, V] Moscow State Inst Int Relat, Moscow, Russia</t>
  </si>
  <si>
    <t>MGIMO University</t>
  </si>
  <si>
    <t>Kukushkina, AV (corresponding author), Moscow State Inst Int Relat, Moscow, Russia.</t>
  </si>
  <si>
    <t>kukushkina-anneta-90@mail.ru</t>
  </si>
  <si>
    <t>TOMSK STATE UNIV</t>
  </si>
  <si>
    <t>LENIN AVE, 36, TOMSK, 634050, RUSSIA</t>
  </si>
  <si>
    <t>1561-7793</t>
  </si>
  <si>
    <t>1561-803X</t>
  </si>
  <si>
    <t>TOMSK STATE UNIV J</t>
  </si>
  <si>
    <t>Tomsk State Univ. J.</t>
  </si>
  <si>
    <t>10.17223/15617793/450/26</t>
  </si>
  <si>
    <t>KM1QO</t>
  </si>
  <si>
    <t>WOS:000513895200026</t>
  </si>
  <si>
    <t>Teets, NM; Dalrymple, EG; Hillis, MH; Gantz, JD; Spacht, DE; Lee, RE; Denlinger, DL</t>
  </si>
  <si>
    <t>Teets, Nicholas M.; Dalrymple, Emma G.; Hillis, Maya H.; Gantz, J. D.; Spacht, Drew E.; Lee, Richard E., Jr.; Denlinger, David L.</t>
  </si>
  <si>
    <t>Changes in Energy Reserves and Gene Expression Elicited by Freezing and Supercooling in the Antarctic Midge, Belgica antarctica</t>
  </si>
  <si>
    <t>Antarctica; freeze-tolerance; energy stores; heat shock proteins; Belgica antarctica</t>
  </si>
  <si>
    <t>REPEATED COLD-EXPOSURE; CRYOPROTECTIVE DEHYDRATION; TOLERANCE; FROZEN; EVOLUTIONARY; VARIABILITY; PHYSIOLOGY; HARDINESS; SURVIVE; LARVAE</t>
  </si>
  <si>
    <t>Freeze-tolerance, or the ability to survive internal ice formation, is relatively rare among insects. Larvae of the Antarctic midge Belgica antarctica are freeze-tolerant year-round, but in dry environments, the larvae can remain supercooled (i.e., unfrozen) at subzero temperatures. In previous work with summer-acclimatized larvae, we showed that freezing is considerably more stressful than remaining supercooled. Here, these findings are extended by comparing survival, tissue damage, energetic costs, and stress gene expression in larvae that have undergone an artificial winter acclimation regime and are either frozen or supercooled at -5 degrees C. In contrast to summer larvae, winter larvae survive at -5 degrees C equally well for up to 14 days, whether frozen or supercooled, and there is no tissue damage at these conditions. In subsequent experiments, we measured energy stores and stress gene expression following cold exposure at -5 degrees C for either 24 h or 14 days, with and without a 12 h recovery period. We observed slight energetic costs to freezing, as frozen larvae tended to have lower glycogen stores across all groups. In addition, the abundance of two heat shock protein transcripts, hsp60 and hsp90, tended to be higher in frozen larvae, indicating higher levels of protein damage following freezing. Together, these results indicate a slight cost to being frozen relative to remaining supercooled, which may have implications for the selection of hibernacula and responses to climate change.</t>
  </si>
  <si>
    <t>[Teets, Nicholas M.; Dalrymple, Emma G.; Hillis, Maya H.] Univ Kentucky, Dept Entomol, Lexington, KY 40546 USA; [Gantz, J. D.] Hendrix Coll, Dept Biol, Conway, AK 72032 USA; [Spacht, Drew E.; Denlinger, David L.] Ohio State Univ, Dept Evolut Ecol &amp; Organismal Biol, Columbus, OH 43210 USA; [Lee, Richard E., Jr.] Miami Univ, Dept Biol, Oxford, OH 45056 USA; [Denlinger, David L.] Ohio State Univ, Dept Entomol, 1735 Neil Ave, Columbus, OH 43210 USA</t>
  </si>
  <si>
    <t>University of Kentucky; University System of Ohio; Ohio State University; University System of Ohio; Miami University; University System of Ohio; Ohio State University</t>
  </si>
  <si>
    <t>n.teets@uky.edu; emma.dalrymple@uky.edu; mhhi222@uky.edu; gantz@hendrix.edu; spacht.2@buckeyemail.osu.edu; leere@miamioh.edu; denlinger.1@osu.edu</t>
  </si>
  <si>
    <t>Teets, Nicholas/0000-0003-0963-7457; Spacht, Drew/0000-0002-3651-114X</t>
  </si>
  <si>
    <t>United States Department of Agricultural National Institute of Food and Agriculture Hatch Project [1010996]; National Science Foundation [OPP-1341385, OPP-1341393]</t>
  </si>
  <si>
    <t>United States Department of Agricultural National Institute of Food and Agriculture Hatch Project; National Science Foundation(National Science Foundation (NSF))</t>
  </si>
  <si>
    <t>This research was funded by the United States Department of Agricultural National Institute of Food and Agriculture Hatch Project grant 1010996 to N.M.T., National Science Foundation grant OPP-1341385 to R.E.L.J., and National Science Foundation grant OPP-1341393 to D.L.D.</t>
  </si>
  <si>
    <t>10.3390/insects11010018</t>
  </si>
  <si>
    <t>KL0NT</t>
  </si>
  <si>
    <t>WOS:000513130200028</t>
  </si>
  <si>
    <t>Mishra, RK; Senga, Y; Nakata, K; Mishra, S; Sahu, BK</t>
  </si>
  <si>
    <t>Mishra, R. K.; Senga, Y.; Nakata, K.; Mishra, S.; Sahu, B. K.</t>
  </si>
  <si>
    <t>Spatio-temporal variation of Prochlorococcus and phytoplankton community between Shimizu coast and Suruga bay, Northwest Pacific Ocean</t>
  </si>
  <si>
    <t>REGIONAL STUDIES IN MARINE SCIENCE</t>
  </si>
  <si>
    <t>Prochlorococcus; Phytoplankton; Synechococcus; Picophytoplankton; Diatom; HPLC</t>
  </si>
  <si>
    <t>CHLOROPHYLL-A; MARINE-PHYTOPLANKTON; HPLC METHOD; SYNECHOCOCCUS; CAROTENOIDS; PIGMENTS; PICOPHYTOPLANKTON; IRRADIANCE; PHYSIOLOGY; GROWTH</t>
  </si>
  <si>
    <t>A biweekly study was conducted in the surface waters of the Shimizu coast and Suruga Bay in the Northwest Pacific Ocean during January 2005 to February 2006. The diagnostic pigment fucoxanthin (Fuco), representing diatoms, and divinyl-chl a (div-chl a), representing Prochlorococcus (picophytoplankton), were highest in the near shore (type-1) water. The contribution of diatoms to the phytoplankton biomass; i.e. chlorophyll a (Chl a), was highest (similar to 76%) in the type-I water and lowest (similar to 64%) in the offshore (type-III) water. The Prochlorococcus contribution was similar to 13% and similar to 5% in the type-I and III water, respectively. The div-chl a concentration reached a maximum of 2.92 mg m(-3) in July (summer) followed by 0.9 mg m(-3) smaller peak in September, before decreasing to 0.01 mg m(-3) in January (winter). Zeaxanthin, a pigment which is a biomarker for Synechococcus (picophytoplankton), peaked in May (autumn), while chlorophyll b (Chl b) and lutein, representing chlorophytes, were elevated in August (summer). In contrast, the Fuco was highest (16.3 mg m(-3)) in June (spring). The Prochlorococcus concentrations peaked in July and September, when the water temperature was above 20 degrees C. However the lowest concentrations were observed between 1 degrees C and 15 degrees C, suggesting this community experienced temperature adaptation and was highest in type-I and type-II (i.e. mid-shore) water. Results revealed that Prochlorococcus had a greater contribution of temperature adaptations than diatoms to the ecosystem in comparison of the surface area of individual to volume ratio and played a major role in the biogeochemical cycle of the region. (C) 2019 Elsevier B.V. All rights reserved.</t>
  </si>
  <si>
    <t>[Mishra, R. K.; Senga, Y.; Nakata, K.] Tokai Univ, Sch Marine Sci &amp; Technol, Shimizu Ku, Shizuoka, Japan; [Mishra, R. K.] Minist Earth Sci, Natl Ctr Antarctic &amp; Ocean Res, Vasco Da Gama, Goa, India; [Mishra, S.; Sahu, B. K.] Berhampur Univ, Dept Marine Sci, Bhanja Bihar, Odisha, India</t>
  </si>
  <si>
    <t>Tokai University; Ministry of Earth Sciences (MoES) - India; National Centre for Polar and Ocean Research (NCPOR); Berhampur University</t>
  </si>
  <si>
    <t>Mishra, RK (corresponding author), Minist Earth Sci, Natl Ctr Antarctic &amp; Ocean Res, Vasco Da Gama, Goa, India.</t>
  </si>
  <si>
    <t>rajanimishra@ncaor.gov.in</t>
  </si>
  <si>
    <t>Japanese Government Ministry of Education, Culture, Sports, Science and Technology (Monbukagakusho, MEXT) Government scholarship, Japan</t>
  </si>
  <si>
    <t>The lead author (RKM) acknowledges the support from the Japanese Government Ministry of Education, Culture, Sports, Science and Technology (Monbukagakusho, MEXT) Government scholarship, Japan, during his studies. Thanks to Vessel Support for the research cruises, which were provided by the School of Marine Science and Technology, Tokai University, Japan. We would like to thank Dr. K. Swadling for her critical review and correction of language in the text that improved the quality of the manuscript. Also, thanks to the Director, National Centre for Polar and Ocean Research for encouraging the scientific publication.</t>
  </si>
  <si>
    <t>2352-4855</t>
  </si>
  <si>
    <t>REG STUD MAR SCI</t>
  </si>
  <si>
    <t>Reg. Stud. Mar. Sci.</t>
  </si>
  <si>
    <t>10.1016/j.rsma.2019.100890</t>
  </si>
  <si>
    <t>KK5FB</t>
  </si>
  <si>
    <t>WOS:000512766500003</t>
  </si>
  <si>
    <t>Lippl, S; Blindow, N; Fürst, JJ; Marinsek, S; Seehaus, TC; Braun, MH</t>
  </si>
  <si>
    <t>Lippl, Stefan; Blindow, Norbert; Fuerst, Johannes J.; Marinsek, Sebastian; Seehaus, Thorsten C.; Braun, Matthias H.</t>
  </si>
  <si>
    <t>Uncertainty Assessment of Ice Discharge Using GPR-Derived Ice Thickness from Gourdon Glacier, Antarctic Peninsula</t>
  </si>
  <si>
    <t>James Ross Island; Antarctic Peninsula; ice thickness; ice discharge; Gourdon Glacier</t>
  </si>
  <si>
    <t>SURFACE MASS-BALANCE; VOLUME; ELEVATION; MODEL; DYNAMICS</t>
  </si>
  <si>
    <t>Ice cliffs within a glacier represent a challenge for the continuity equations used in many glacier models by interrupting the validity of input parameters. In the case of Gourdon Glacier on James Ross Island, Antarctica, a similar to 300-500m high, almost vertical cliff, separates the outlet glacier from its main accumulation area on the plateau of the island. In 2017 and 2018 we conducted ice thickness measurements during two airborne ground penetrating radar campaigns in order to evaluate differences to older measurements from the 1990s. The observed differences are mostly smaller than the estimated error bars. In comparison to the in situ data, the published consensus ice thickness estimate strongly overestimates the ice thickness at the outlet. We analyse three different interpolation and ice thickness reconstruction methods. One approach additionally includes the mass input from the plateau. Differences between the interpolation methods have a minor impact on the ice discharge estimation if the used flux gates are in areas with a good coverage of in situ measurements. A much stronger influence was observed by uncertainties in the glacier velocities derived from remote sensing, especially in the direction of the velocity vector in proximity to the ice cliff. We conclude that the amount of in situ measurements should be increased for specific glacier types in order to detect biases in modeled ice thickness and ice discharge estimations.</t>
  </si>
  <si>
    <t>[Lippl, Stefan; Blindow, Norbert; Fuerst, Johannes J.; Seehaus, Thorsten C.; Braun, Matthias H.] Friedrich Alexander Univ Erlangen Nurnberg, Inst Geog, Wetterkreuz 15, D-91052 Erlangen, Germany; [Marinsek, Sebastian] Inst Antartico Argentino, 25 Mayo 1143, RA-1650 San Martin, Argentina</t>
  </si>
  <si>
    <t>University of Erlangen Nuremberg; Instituto Antartico Argentino</t>
  </si>
  <si>
    <t>Lippl, S (corresponding author), Friedrich Alexander Univ Erlangen Nurnberg, Inst Geog, Wetterkreuz 15, D-91052 Erlangen, Germany.</t>
  </si>
  <si>
    <t>stefan.lippl@fau.de; norbert.blindow@gmail.com; johannes.fuerst@fau.de; smarinsek@dna.gov.ar; thorsten.seehaus@fau.de; matthias.h.braun@fau.de</t>
  </si>
  <si>
    <t>Braun, Matthias H/S-4693-2016; Braun, Matthias/A-4968-2009</t>
  </si>
  <si>
    <t>Seehaus, Thorsten/0000-0001-5055-8959; Braun, Matthias/0000-0001-5169-1567; Lippl-Seifert, Stefan/0000-0003-0312-0051</t>
  </si>
  <si>
    <t>Deutsche Forschungsgemeinschaft (DFG) [BR 2105/13-1, BR 2105/9-1]; HGF Alliance Remote Sensing of Earth System Dynamics; DLR/BMWi grant GEKKO [50EE1544]; 'Balance de masa y dinamica de glaciares en la Peninsula Antartica' from Instituto Antartico Argentino</t>
  </si>
  <si>
    <t>Deutsche Forschungsgemeinschaft (DFG)(German Research Foundation (DFG)); HGF Alliance Remote Sensing of Earth System Dynamics; DLR/BMWi grant GEKKO; 'Balance de masa y dinamica de glaciares en la Peninsula Antartica' from Instituto Antartico Argentino</t>
  </si>
  <si>
    <t>This study was funded by the Deutsche Forschungsgemeinschaft (DFG) under the grants BR 2105/13-1 as well as BR 2105/9-1. Latter formed part of the DFG priority programme Antarctic Research with comparative investigations in Arctic ice areas. We would like to thank the HGF Alliance Remote Sensing of Earth System Dynamics for additional support. TS was financially supported by the DLR/BMWi grant GEKKO (50EE1544). Costs covered by our Argentinian partner were funded by the project from 'Balance de masa y dinamica de glaciares en la Peninsula Antartica' from Instituto Antartico Argentino. Access to satellite data was kindly provided by various space agencies, e.g., under ESA AO 4032, DLR TerraSAR-X Background Mission Antarctic Peninsula and Ice Shelves, TSX AO LAN0013, TanDEM-X Mission TDX AO XTI_GLAC0264, ASF, and GLIMS as well as NASA and USGS.</t>
  </si>
  <si>
    <t>10.3390/geosciences10010012</t>
  </si>
  <si>
    <t>KL0NY</t>
  </si>
  <si>
    <t>WOS:000513130700020</t>
  </si>
  <si>
    <t>Nardin, R; Amore, A; Becagli, S; Caiazzo, L; Frezzotti, M; Severi, M; Stenni, B; Traversi, R</t>
  </si>
  <si>
    <t>Nardin, Raffaello; Amore, Alessandra; Becagli, Silvia; Caiazzo, Laura; Frezzotti, Massimo; Severi, Mirko; Stenni, Barbara; Traversi, Rita</t>
  </si>
  <si>
    <t>Volcanic Fluxes Over the Last Millennium as Recorded in the Gv7 Ice Core (Northern Victoria Land, Antarctica)</t>
  </si>
  <si>
    <t>volcanism; Antarctica; ion chromatography; paleoclimate; ice cores; tephra</t>
  </si>
  <si>
    <t>EXPLOSIVE VOLCANISM; EAST ANTARCTICA; SULFATE DEPOSITION; PALEO-RECORDS; VARIABILITY; DOME; GREENLAND; ERUPTION; AEROSOL; SIGNAL</t>
  </si>
  <si>
    <t>Major explosive volcanic eruptions may significantly alter the global atmosphere for about 2-3 years. During that period, volcanic products (mainly H2SO4) with high residence time, stored in the stratosphere or, for shorter times, in the troposphere are gradually deposited onto polar ice caps. Antarctic snow may thus record acidic signals providing a history of past volcanic events. The high resolution sulphate concentration profile along a 197 m long ice core drilled at GV7 (Northern Victoria land) was obtained by Ion Chromatography on around 3500 discrete samples. The relatively high accumulation rate (241 +/- 13 mm we yr (-1)) and the 5-cm sampling resolution allowed a preliminary counted age scale. The obtained stratigraphy covers roughly the last millennium and 24 major volcanic eruptions were identified, dated, and tentatively ascribed to a source volcano. The deposition flux of volcanic sulphate was calculated for each signature and the results were compared with data from other Antarctic ice cores at regional and continental scale. Our results show that the regional variability is of the same order of magnitude as the continental one.</t>
  </si>
  <si>
    <t>[Nardin, Raffaello; Amore, Alessandra; Becagli, Silvia; Severi, Mirko; Traversi, Rita] Univ Florence, Dept Chem Ugo Schiff, I-50019 Florence, Italy; [Caiazzo, Laura] Ist Nazl Fis Nucl, Natl Inst Nucl Phys, I-50019 Florence, Italy; [Frezzotti, Massimo] Univ Roma Tre, Dept Sci, I-00146 Rome, Italy; [Stenni, Barbara] Ca Foscari Univ Venice, Dept Environm Sci Informat &amp; Stat, I-30170 Venice, Italy</t>
  </si>
  <si>
    <t>University of Florence; Istituto Nazionale di Fisica Nucleare (INFN); Italfarmaco; Roma Tre University; Universita Ca Foscari Venezia</t>
  </si>
  <si>
    <t>Severi, M (corresponding author), Univ Florence, Dept Chem Ugo Schiff, I-50019 Florence, Italy.</t>
  </si>
  <si>
    <t>raffaello.nardin@unifi.it; ale.amore@gmail.com; silvia.becagli@unifi.it; laura.caiazzo@unifi.it; massimo.frezzotti@uniroma3.it; mirko.severi@unifi.it; barbara.stenni@unive.it; rita.traversi@unifi.it</t>
  </si>
  <si>
    <t>FREZZOTTI, Massimo/AAK-7275-2020; Caiazzo, Laura/AAT-1502-2020; Becagli, Silvia/GNW-2665-2022; Severi, Mirko/J-2508-2012; Traversi, Rita/M-7586-2015</t>
  </si>
  <si>
    <t>FREZZOTTI, Massimo/0000-0002-2461-2883; Caiazzo, Laura/0000-0001-7932-2499; Severi, Mirko/0000-0003-1511-6762; Traversi, Rita/0000-0002-9790-2195; Amore, Alessandra/0000-0003-4233-8328; NARDIN, RAFFAELLO/0000-0002-8940-4858; Stenni, Barbara/0000-0003-4950-3664</t>
  </si>
  <si>
    <t>MIUR (Italian Ministry of University and Research)-PNRA (Italian Antarctic Research Program) program through the IPICS-2kyr-It project (International Partnership for Ice Core Science, reconstructing the climate variability for the last 2kyr, the Italian co; KOPRI (Korea Polar Research Institute) [PE15010]; Fondazione Cassa di Risparmio di Firenze; MIUR-PNRA BE-OI project [PNRA16_00124]; MIUR-PNRA 3D project [PNRA16_00212]; MIUR-PRIN 2017 AMICO</t>
  </si>
  <si>
    <t>MIUR (Italian Ministry of University and Research)-PNRA (Italian Antarctic Research Program) program through the IPICS-2kyr-It project (International Partnership for Ice Core Science, reconstructing the climate variability for the last 2kyr, the Italian co; KOPRI (Korea Polar Research Institute); Fondazione Cassa di Risparmio di Firenze(Fondazione Cassa Risparmio Firenze); MIUR-PNRA BE-OI project; MIUR-PNRA 3D project; MIUR-PRIN 2017 AMICO</t>
  </si>
  <si>
    <t>This research was financially supported by the MIUR (Italian Ministry of University and Research)-PNRA (Italian Antarctic Research Program) program through the IPICS-2kyr-It project (International Partnership for Ice Core Science, reconstructing the climate variability for the last 2kyr, the Italian contribution). The IPICS-2kyr-It project is carried out in cooperation with KOPRI (Korea Polar Research Institute, grant No. PE15010). The fellowship personnel involved the analysis of the GV7 core and the laboratory equipment was partially funded by Fondazione Cassa di Risparmio di Firenze, MIUR-PNRA BE-OI (PNRA16_00124) and 3D (PNRA16_00212) projects and MIUR-PRIN 2017 AMICO. We appreciate the feedback of the two anonymous reviewers, which greatly helped to clarify and improve the manuscript.</t>
  </si>
  <si>
    <t>10.3390/geosciences10010038</t>
  </si>
  <si>
    <t>WOS:000513130700033</t>
  </si>
  <si>
    <t>Polyakov, V; Abakumov, EV</t>
  </si>
  <si>
    <t>Polyakov, Vyacheslav; Abakumov, Evgeny, V</t>
  </si>
  <si>
    <t>Humic Acids Isolated from Selected Soils from the Russian Arctic and Antarctic: Characterization by Two-Dimensional 1H-13C HETCOR and 13C CP/Mas NMR Spectroscopy</t>
  </si>
  <si>
    <t>cryoconite; cryosol; ornitogenic soil; permafrost-affected soils; molecular composition</t>
  </si>
  <si>
    <t>LENA RIVER DELTA; ORGANIC-MATTER; ELEMENTAL COMPOSITION; MOLECULAR COMPOSITION; TUNDRA SOILS; CLIMATE-CHANGE; PERMAFROST; SUBSTANCES; CARBON; RESPIRATION</t>
  </si>
  <si>
    <t>Here we describe the molecular composition and resistance to decomposition of humic acids isolated from selected soils of the Russian Arctic and Antarctic. The degree of soil organic matter stabilization was assessed using modern instrumental methods: nuclear magnetic resonance spectroscopy (cross peak magic-angle spinning (CP/MAS) C-13-NMR and H-1-C-13 heteronuclear-correlation (HETCOR)). Analysis of the humic acids showed that aromatic compounds prevail in the organic matter formed in cryoconites, located on the surfaces of the glaciers. The predominance of aliphatic fragments is revealed in the soils of the Yamal peninsula and Antarctica. This could be caused by sedimentation of fresh organic matter exhibiting low decomposition stage due to the severe climate and processes of hydrogenation in the humic acids, destruction of the C-C bonds, and formation of chains with high hydrogen content. These processes result in formation of aliphatic fragments in the humic acids.</t>
  </si>
  <si>
    <t>[Polyakov, Vyacheslav; Abakumov, Evgeny, V] St Petersburg State Univ, Fac Biol, Dept Appl Ecol, 16th Liniya VO 29, St Petersburg 199178, Russia</t>
  </si>
  <si>
    <t>Polyakov, V (corresponding author), St Petersburg State Univ, Fac Biol, Dept Appl Ecol, 16th Liniya VO 29, St Petersburg 199178, Russia.</t>
  </si>
  <si>
    <t>slavon6985@gmail.com; e_abakumov@mail.ru</t>
  </si>
  <si>
    <t>Abakumov, Evgeny/AAO-8580-2020; Abakumov, e_abakumov@mail.ru/ADJ-1297-2022; Polyakov, Vyacheslav/H-5483-2016</t>
  </si>
  <si>
    <t>Abakumov, Evgeny/0000-0002-5248-9018; Abakumov, e_abakumov@mail.ru/0000-0002-5248-9018; Polyakov, Vyacheslav/0000-0001-6171-3221</t>
  </si>
  <si>
    <t>Grant of Saint-Petersburg State University Urbanized ecosystems of the Russian Arctic: Dynamics, state, and sustainable development; Russian Foundation for Basic Research [19-54-18003, 18-04-00900]</t>
  </si>
  <si>
    <t>Grant of Saint-Petersburg State University Urbanized ecosystems of the Russian Arctic: Dynamics, state, and sustainable development; Russian Foundation for Basic Research(Russian Foundation for Basic Research (RFBR)Spanish Government)</t>
  </si>
  <si>
    <t>This work was supported by the Grant of Saint-Petersburg State University Urbanized ecosystems of the Russian Arctic: Dynamics, state, and sustainable development. Russian Foundation for Basic Research, No. 19-54-18003 and Russian Foundation for Basic Research No. 18-04-00900.</t>
  </si>
  <si>
    <t>10.3390/geosciences10010015</t>
  </si>
  <si>
    <t>WOS:000513130700034</t>
  </si>
  <si>
    <t>Szynkiewicz, A; Olichwer, T; Tarka, R</t>
  </si>
  <si>
    <t>Szynkiewicz, Anna; Olichwer, Tomasz; Tarka, Robert</t>
  </si>
  <si>
    <t>Delineation of groundwater provenance in Arctic environment using isotopic compositions of water and sulphate</t>
  </si>
  <si>
    <t>JOURNAL OF HYDROLOGY</t>
  </si>
  <si>
    <t>Sulfate; Isotopes; Groundwater; Polar</t>
  </si>
  <si>
    <t>HAUT-GLACIER-DAROLLA; SEA-LEVEL RISE; THERMAL SPRINGS; PROGLACIAL ZONE; REGIONAL CLIMATE; SOUTH SVALBARD; HYDROCHEMISTRY; BED; WERENSKIOLDBREEN; OXIDATION</t>
  </si>
  <si>
    <t>Little is known about water-rock interaction related to deeper groundwater flows along tectonic discontinuities in the Arctic glacial catchments. Therefore, we analyzed oxygen and sulfur isotope compositions (delta O-18, delta S-34) of dissolved sulfate (SO42-) to better understand this process in groundwater from mineral and thermal springs and subglacial outflows of southern Spitsbergen. Our results show that coupled delta O-18-delta S-34 of SO42- is a useful measure of groundwater provenance and its relation to water-rock interaction along flow paths in different lithologies. In the studied area, groundwater-rock interaction with carbonate and crystalline rocks contributes two different sources of sulfide-derived SO42- with distinctive isotope compositions and leaves similar isotopic signature as in shallow surface environment (e.g., proglacial lakes and streams). The sulfide-derived SO42- from Paleozoic carbonates has lower delta S-34 (+5 parts per thousand) and higher delta O-18(- 5 parts per thousand) compared to higher delta S-34 (+ 10 to +15 parts per thousand) and more negative delta O-18(- 10 parts per thousand) in the Precambrian crystalline rocks. Minor contributions of SO42- are from sea spray. Conversely, direct inflows of seawater appear to be negligible, if any. Moreover, the more negative delta H-2 and delta O-18 values (- 85 to - 70%o and -12 to - 9 parts per thousand, respectively) suggest that majority of the studied groundwater and surface water is from melting of snow/ice formed in fall/winter months compared to lower contributions from spring/summer precipitation with higher delta H-3 and delta O-18 (- 65 to - 55 parts per thousand and - 8 to - 6 parts per thousand). Interestingly, the water-soluble SO42- from the Antarctic soils with high delta S-34 (+12 to + 16 parts per thousand) and negative delta O-18 (-15 to +5 parts per thousand) is remarkably similar to the sulfide-derived SO42- from the Precambrian crystalline rocks analyzed by us in southern Spitsbergen. This implies that sulfide oxidation might be a widespread process in polar environments, even under extremely dry conditions as in Antarctica.</t>
  </si>
  <si>
    <t>[Szynkiewicz, Anna] Univ Tennessee, Dept Earth &amp; Planetary Sci, 1621 Cumberland Ave, Knoxville, TN 37996 USA; [Olichwer, Tomasz; Tarka, Robert] Univ Wroclaw, Inst Geol Sci, Cybulskiego 30, Wroclaw, Poland</t>
  </si>
  <si>
    <t>University of Tennessee System; University of Tennessee Knoxville; University of Wroclaw</t>
  </si>
  <si>
    <t>Szynkiewicz, A (corresponding author), Univ Tennessee, Dept Earth &amp; Planetary Sci, 1621 Cumberland Ave, Knoxville, TN 37996 USA.</t>
  </si>
  <si>
    <t>aszynkie@utk.edu</t>
  </si>
  <si>
    <t>; Tarka, Robert/S-8563-2018</t>
  </si>
  <si>
    <t>Olichwer, Tomasz/0000-0002-9989-4504; Tarka, Robert/0000-0002-2973-8258</t>
  </si>
  <si>
    <t>University of Wroclaw, Institute of Geological Sciences [0401/0163/17]</t>
  </si>
  <si>
    <t>University of Wroclaw, Institute of Geological Sciences</t>
  </si>
  <si>
    <t>This study was supported by a grant no. 0401/0163/17 from the University of Wroclaw, Institute of Geological Sciences titled Processes of recharge, flow and drainage of groundwater. We greatly thank Prof. Lisa Pratt for giving us access to Stable Isotope Facility in Indiana University and Dr. Anthony Faiia for help with oxygen isotope analysis of barium sulfate in University of Tennessee. Comments from Simon Bottrell and one anonymous reviewers are greatly appreciated.</t>
  </si>
  <si>
    <t>0022-1694</t>
  </si>
  <si>
    <t>1879-2707</t>
  </si>
  <si>
    <t>J HYDROL</t>
  </si>
  <si>
    <t>J. Hydrol.</t>
  </si>
  <si>
    <t>10.1016/j.jhydrol.2019.124232</t>
  </si>
  <si>
    <t>Engineering, Civil; Geosciences, Multidisciplinary; Water Resources</t>
  </si>
  <si>
    <t>KG0GY</t>
  </si>
  <si>
    <t>WOS:000509620900001</t>
  </si>
  <si>
    <t>Beger, M; Wendt, H; Sullivan, J; Mason, C; LeGrand, J; Davey, K; Jupiter, S; Ceccarelli, DM; Dempsey, A; Edgar, G; Feary, DA; Fenner, D; Gauna, M; Grice, H; Kirmani, SN; Mangubhai, S; Purkisi, S; Richards, ZT; Rotjan, R; Stuart-Smith, R; Sykes, H; Yakub, N; Bauman, AG; Hughes, A; Raubani, J; Lewis, A; Fernandes, L</t>
  </si>
  <si>
    <t>Beger, Maria; Wendt, Hans; Sullivan, Jonah; Mason, Claire; LeGrand, Jimaima; Davey, Kate; Jupiter, Stacy; Ceccarelli, Daniela M.; Dempsey, Alex; Edgar, Graham; Feary, David A.; Fenner, Douglas; Gauna, Marian; Grice, Hannah; Kirmani, Sahar Noor; Mangubhai, Sangeeta; Purkisi, Sam; Richards, Zoe T.; Rotjan, Randi; Stuart-Smith, Rick; Sykes, Helen; Yakub, Naushad; Bauman, Andrew G.; Hughes, Alec; Raubani, Jason; Lewis, Adam; Fernandes, Leanne</t>
  </si>
  <si>
    <t>National-scale marine bioregions for the Southwest Pacific</t>
  </si>
  <si>
    <t>Bioregionalisation; Conservation planning data; Species distribution modelling; Hierarchical cluster analysis; Pelagic environment; Coral reef biodiversity</t>
  </si>
  <si>
    <t>BIOGEOGRAPHIC CLASSIFICATION; CONSERVATION; OCEAN; BIODIVERSITY; TUNA; PATTERNS; REEF; COMMUNITY; ECOSYSTEM; NETWORK</t>
  </si>
  <si>
    <t>Existing marine bioregions covering the Pacific Ocean are conceptualised at spatial scales that are too broad for national marine spatial planning. Here, we developed the first combined oceanic and coastal marine bioregionalisation at national scales, delineating 262 deep-water and 103 reef-associated bioregions across the southwest Pacific. The deep-water bioregions were informed by thirty biophysical environmental variables. For reef-associated environments, records for 806 taxa at 7369 sites were used to predict the probability of observing taxa based on environmental variables. Both deep-water and reef-associated bioregions were defined with cluster analysis applied to the environmental variables and predicted species observation probabilities, respectively to classify areas with high taxonomic similarity. Local experts further refined the delineation of the bioregions at national scales for four countries. This work provides marine bioregions that enable the design of ecologically representative national systems of marine protected areas within offshore and inshore environments in the Pacific.</t>
  </si>
  <si>
    <t>[Beger, Maria; Grice, Hannah] Univ Leeds, Fac Biol Sci, Sch Biol, Leeds LS2 9JT, W Yorkshire, England; [Beger, Maria; Mason, Claire] Univ Queensland, Ctr Biodivers &amp; Conservat Sci, Sch Biol Sci, Brisbane, Qld 4072, Australia; [Wendt, Hans; Sullivan, Jonah; LeGrand, Jimaima; Davey, Kate; Gauna, Marian; Kirmani, Sahar Noor; Yakub, Naushad; Fernandes, Leanne] IUCN Int Union Conservat Nat, Oceania Reg Off, 5 Maafu St,Private Mail Bag, Suva, Fiji; [Sullivan, Jonah; Lewis, Adam] Geosci Australia, Environm Geosci Div, 101 Jerrabomberra Ave, Symonston, ACT 101, Australia; [Mason, Claire] Univ Tasmania, Inst Marine &amp; Antarctic Studies, 20 Castray Esplanade, Battery Point, Tas 7004, Australia; [LeGrand, Jimaima] Dept Transport &amp; Main Rd, 131 Sugar Rd, Maroochydore, Qld, Australia; [Jupiter, Stacy; Mangubhai, Sangeeta] Wildlife Conservat Soc, Melanesia Program, 11 Maafu St, Suva, Fiji; [Ceccarelli, Daniela M.] Marine Ecol Consultant, 36 Barton St, Magnet Isl, Qld 4819, Australia; [Dempsey, Alex; Purkisi, Sam] Khaled Bin Sultan Living Oceans Fdn, Annapolis, MD 21403 USA; [Edgar, Graham; Stuart-Smith, Rick] Univ Tasmania, Inst Marine &amp; Antarctic Studies, Nubeena Crescent, Taroona 7053, Australia; [Feary, David A.] MRAG Ltd, 18 Queen St, London W1J 5PN, England; [Fenner, Douglas] POB 7390, Pago Pago 96799, American Samoa, Samoa; [Purkisi, Sam] Univ Miami, Rosenstiel Sch Marine &amp; Atmospher Sci, Dept Marine Geosci, Coral Gables, FL 33124 USA; [Richards, Zoe T.] Curtin Univ, Sch Mol &amp; Life Sci, Coral Conservat &amp; Res Grp, Bentley, WA 6102, Australia; [Richards, Zoe T.] Western Australian Museum, Aquat Zool Dept, Welshpool, WA, Australia; [Rotjan, Randi] Boston Univ, Dept Biol, 5 Cummington Hall, Boston, MA 02215 USA; [Sykes, Helen] Marine Ecol Consulting, POB 2558,Govt Bldg, Suva, Fiji; [Bauman, Andrew G.] Natl Univ Singapore, Dept Biol Sci, Expt Marine Ecol Lab, Singapore 117543, Singapore; [Hughes, Alec] Wildlife Conservat Soc, POB 98, Munda, Western Provinc, Solomon Islands; [Raubani, Jason] Pacific Community, 95 Promenade Roger Laroque,BP D5, Noumea 98848, New Caledonia</t>
  </si>
  <si>
    <t>University of Leeds; University of Queensland; Geoscience Australia; University of Tasmania; University of Tasmania; University of Miami; Curtin University; Western Australian Museum; Boston University; National University of Singapore</t>
  </si>
  <si>
    <t>Beger, M (corresponding author), Univ Leeds, Fac Biol Sci, Sch Biol, Leeds LS2 9JT, W Yorkshire, England.;Beger, M (corresponding author), Univ Queensland, Ctr Biodivers &amp; Conservat Sci, Sch Biol Sci, Brisbane, Qld 4072, Australia.;Fernandes, L (corresponding author), IUCN Int Union Conservat Nat, Oceania Reg Off, 5 Maafu St,Private Mail Bag, Suva, Fiji.</t>
  </si>
  <si>
    <t>m.beger@leeds.ac.uk; Leanne.Fernandes@iucn.org</t>
  </si>
  <si>
    <t>Ceccarelli, Daniela/AAN-3577-2020; Rotjan, Randi D/T-7575-2019; Beger, Maria/ABC-5975-2022; Stuart-Smith, Rick/I-5214-2019; Ceccarelli, Daniela/AGO-7628-2022; Mason, Claire Jocelyn/F-6977-2018; Edgar, Graham/AAY-3797-2020</t>
  </si>
  <si>
    <t>Rotjan, Randi D/0000-0002-3401-9784; Beger, Maria/0000-0003-1363-3571; Stuart-Smith, Rick/0000-0002-8874-0083; Mason, Claire Jocelyn/0000-0001-8063-5812; Edgar, Graham/0000-0003-0833-9001; Bauman, Andrew/0000-0001-9260-2153; Jupiter, Stacy/0000-0001-9742-1677; Grice, Hannah/0000-0003-0265-5820; Mangubhai, Sangeeta/0000-0002-4728-4421</t>
  </si>
  <si>
    <t>Marine and Coastal Biodiversity Managementin Pacific Island Countries (MACBIO) project; German Federal Ministry for the Environment, Nature Conservation, Building and Nuclear Safety's (BMUB's) International Climate Initiative (IKI)</t>
  </si>
  <si>
    <t>This study was supported by the country representatives of the Marine and Coastal Biodiversity Managementin Pacific Island Countries (MACBIO) project. We particularly thank in-country experts who helped refine and finalise the marine bioregions for use in their respective countries. MACBIO was funded by the German Federal Ministry for the Environment, Nature Conservation, Building and Nuclear Safety's (BMUB's) International Climate Initiative (IKI). It was implemented by the Deutsche Gesellschaft fur Internationale Zusammenarbeit (GIZ) with the countries of Fiji, Kiribati, Solomon Islands, Tonga and Vanuatu. It had technical support from the Oceania Regional Office of the International Union for the Conservation of Nature (IUCN) and worked in close collaboration with the Secretariat of the Pacific Regional Environment Program (SPREP). Significant assistance with data provision was provided by the following people and institutions: National Oceanic and Atmospheric Administration; Reef Life Survey; Secretariat of the Pacific Community (SPC); Secretariat of the Pacific Regional Environment Programme (SPREP); The Nature Conservancy (TNC); UNEP-WCMC; WorldFish Centre; World Resources Institute (WRI), Gerry Allen, Simon Donner (UBC), Mael Imirizaldu (Marine Conservation Consulting), Stuart Sandin (Scripps Institution of Oceanography), Karen Stone (Vava'u Environmental Protection Association), Paul Muir (Museum of Tropical Queensland), Yashika Nand and Waisea Naisilisili (Wildlife Conservation Society Fiji), Peter Houk (University of Guam) and the Micronesia Coral Reef Monitoring program, Emre Turak, and Kate Fraser, Badi R Samaniego, Janet Eyre working with the Khaled bin Sultan Living Oceans Foundation. We are further grateful to the University of Queensland and the University of Leeds for assistance with administration, and to Geoscience Australia for releasing Mr Sullivan for this project. The report benefitted from comments by Mark Spalding and Piers Dunstan, and the help of Roopinder Nagra.</t>
  </si>
  <si>
    <t>10.1016/j.marpolbul.2019.110710</t>
  </si>
  <si>
    <t>KG0DF</t>
  </si>
  <si>
    <t>Green Published, Green Accepted, Green Submitted</t>
  </si>
  <si>
    <t>WOS:000509611200072</t>
  </si>
  <si>
    <t>Vesman, A; Moulin, E; Egorova, A; Zaikov, K</t>
  </si>
  <si>
    <t>Vesman, Anna; Moulin, Elodie; Egorova, Alexandra; Zaikov, Konstantin</t>
  </si>
  <si>
    <t>Marine litter pollution on the Northern Island of the Novaya Zemlya archipelago</t>
  </si>
  <si>
    <t>Marine litter; Marine pollution; Plastic; Arctic; Novaya zemlya</t>
  </si>
  <si>
    <t>PLASTIC DEBRIS; SEA; ENVIRONMENT; PARTICLES; TRANSPORT; INCREASE; BEACHES</t>
  </si>
  <si>
    <t>This study focused on the identification and classification of marine litter on four different shores of the uninhabited Northern Island of the Novaya Zemlya archipelago (Russian Federation). Using the methodology of the Marine Strategy Framework Directive (MSFD), beach sections of 100 m in length were selected and marine litter items larger than 2.5 cm were collected and classified into nine material categories. A total of 376 marine litter items were collected from the four study areas, corresponding to a density of 1.5 x 10(3) items/km(2). Eighty-eight percent of debris was plastic. Marine litter was brought to the shores by major ocean currents, potentially affecting local ecosystems.</t>
  </si>
  <si>
    <t>[Vesman, Anna] Arctic &amp; Antarctic Res Inst, St Petersburg, Russia; [Moulin, Elodie; Egorova, Alexandra] Univ Geneva, Geneva, Switzerland; [Zaikov, Konstantin] Northern Arctic Fed Univ, Arkhangelsk, Russia</t>
  </si>
  <si>
    <t>Arctic &amp; Antarctic Research Institute; University of Geneva; Northern Arctic Federal University</t>
  </si>
  <si>
    <t>Vesman, A (corresponding author), Arctic &amp; Antarctic Res Inst, St Petersburg, Russia.</t>
  </si>
  <si>
    <t>anna.vesman@aari.ru; elodie.moulin@unige.ch; alexandra.unige@gmail.com; k.zaikov@narfu.ru</t>
  </si>
  <si>
    <t>Vesman, Anna/ABC-8337-2020; Zaikov, Konstantin S/L-7047-2016</t>
  </si>
  <si>
    <t>Vesman, Anna/0000-0002-8805-0349;</t>
  </si>
  <si>
    <t>Geneva Global Program</t>
  </si>
  <si>
    <t>Geneva Global Program.</t>
  </si>
  <si>
    <t>10.1016/j.marpolbul.2019.110671</t>
  </si>
  <si>
    <t>WOS:000509611200028</t>
  </si>
  <si>
    <t>Cho, SM; Lee, H; Hong, SG; Lee, J</t>
  </si>
  <si>
    <t>Cho, Sung Mi; Lee, Hyoungseok; Hong, Soon Gyu; Lee, Jungeun</t>
  </si>
  <si>
    <t>Study of Ecophysiological Responses of the Antarctic Fruticose Lichen Cladonia borealis Using the PAM Fluorescence System under Natural and Laboratory Conditions</t>
  </si>
  <si>
    <t>PLANTS-BASEL</t>
  </si>
  <si>
    <t>fruticose lichens; Cladonia borealis; Antarctic; phytochemistry; poikilohydric; non-photochemical quenching; desiccated state; shade-adapted lichen</t>
  </si>
  <si>
    <t>KING-GEORGE-ISLAND; CHLOROPHYLL FLUORESCENCE; WATER-CONTENT; CO2 EXCHANGE; PHYSIOLOGICAL INTERPRETATION; PHOTOSYNTHETIC PRODUCTIVITY; DESICCATION-TOLERANCE; ENERGY-DISSIPATION; EXCITATION-ENERGY; LECANORA-MURALIS</t>
  </si>
  <si>
    <t>Antarctic lichens have been used as indicators of climate change for decades, but only a few species have been studied. We assessed the photosynthetic performance of the fruticose lichen Cladonia borealis under natural and laboratory conditions using the PAM fluorescence system. Compared to that of sun-adapted Usnea sp., the photosynthetic performance of C. borealis exhibits shade-adapted lichen features, and its chlorophyll fluorescence does not occur during dry days without rain. To understand its desiccation-rehydration responses, we measured changes in the PSII photochemistry in C. borealis under the average light intensity of dawn light and daylight and the desiccating conditions of its natural microclimate. Interestingly, samples under daylight and rapid-desiccation conditions showed a delayed reduction in Fv'/Fm' and rETRmax, and an increase in Y(II) and Y(NPQ) levels. These results suggest that the photoprotective mechanism of C. borealis depends on sunlight and becomes more efficient with improved desiccation tolerance. Amplicon sequencing revealed that the major photobiont of C. borealis was Asterochloris irregularis, which has not been reported in Antarctica before. Collectively, these results from both field and laboratory could provide a better understanding of specific ecophysiological responses of shade-adapted lichens in the Antarctic region.</t>
  </si>
  <si>
    <t>[Cho, Sung Mi; Lee, Jungeun] Korea Polar Res Inst, Unit Res Pract Applicat, Incheon 21990, South Korea; [Lee, Hyoungseok; Hong, Soon Gyu] Korea Polar Res Inst, Div Polar Life Sci, Incheon 21990, South Korea; [Lee, Hyoungseok] Univ Sci &amp; Technol, Polar Sci, Daejeon 34114, South Korea</t>
  </si>
  <si>
    <t>Korea Polar Research Institute (KOPRI); Korea Polar Research Institute (KOPRI); University of Science &amp; Technology (UST)</t>
  </si>
  <si>
    <t>Lee, J (corresponding author), Korea Polar Res Inst, Unit Res Pract Applicat, Incheon 21990, South Korea.</t>
  </si>
  <si>
    <t>smcho@kopri.re.kr; soulaid@kopri.re.kr; polypore@kopri.re.kr; jelee@kopri.re.kr</t>
  </si>
  <si>
    <t>, Jungeun/0000-0002-6934-0199; Lee, Hyoungseok/0000-0002-5831-6345; Cho, Sung Mi/0000-0001-5414-7727</t>
  </si>
  <si>
    <t>This research was funded by the Korea Polar Research Institute (PE20170).</t>
  </si>
  <si>
    <t>2223-7747</t>
  </si>
  <si>
    <t>Plants-Basel</t>
  </si>
  <si>
    <t>10.3390/plants9010085</t>
  </si>
  <si>
    <t>KL2DE</t>
  </si>
  <si>
    <t>WOS:000513238700085</t>
  </si>
  <si>
    <t>Phillips, RA; Kraev, I; Lange, S</t>
  </si>
  <si>
    <t>Phillips, Richard A.; Kraev, Igor; Lange, Sigrun</t>
  </si>
  <si>
    <t>Protein Deimination and Extracellular Vesicle Profiles in Antarctic Seabirds</t>
  </si>
  <si>
    <t>BIOLOGY-BASEL</t>
  </si>
  <si>
    <t>Peptidylarginine deiminases (PADs); protein deimination; extracellular vesicles (EVs); Antarctic seabirds (wandering albatross (Diomedea exulans); grey-headed albatross (Thalassarche chrysostoma); black-browed albatross (Thalassarche melanophris); northern giant petrel (Macronectes halli); southern giant petrel (Macronectes giganteus); white-chinned petrel (Procellaria aequinoctialis); brown skua (Stercorarius antarcticus); south polar skua (Stercorarius maccormicki)); immunity; metabolism</t>
  </si>
  <si>
    <t>APOLIPOPROTEIN-A-I; HISTIDINE-RICH GLYCOPROTEIN; CORTICOSTEROID-BINDING GLOBULIN; PERSISTENT ORGANIC POLLUTANTS; COMPLEMENT COMPONENT C3; ACUTE-PHASE PROTEINS; GADUS-MORHUA L.; BRAIN-TUMORS 1; ARGININE DEIMINASES; DMBT1 EXPRESSION</t>
  </si>
  <si>
    <t>Pelagic seabirds are amongst the most threatened of all avian groups. They face a range of immunological challenges which seem destined to increase due to environmental changes in their breeding and foraging habitats, affecting prey resources and exposure to pollution and pathogens. Therefore, the identification of biomarkers for the assessment of their health status is of considerable importance. Peptidylarginine deiminases (PADs) post-translationally convert arginine into citrulline in target proteins in an irreversible manner. PAD-mediated deimination can cause structural and functional changes in target proteins, allowing for protein moonlighting in physiological and pathophysiological processes. PADs furthermore contribute to the release of extracellular vesicles (EVs), which play important roles in cellular communication. In the present study, post-translationally deiminated protein and EV profiles of plasma were assessed in eight seabird species from the Antarctic, representing two avian orders: Procellariiformes (albatrosses and petrels) and Charadriiformes (waders, auks, gulls and skuas). We report some differences between the species assessed, with the narrowest EV profiles of 50-200 nm in the northern giant petrel Macronectes halli, and the highest abundance of larger 250-500 nm EVs in the brown skua Stercorarius antarcticus. The seabird EVs were positive for phylogenetically conserved EV markers and showed characteristic EV morphology. Post-translational deimination was identified in a range of key plasma proteins critical for immune response and metabolic pathways in three of the bird species under study; the wandering albatross Diomedea exulans, south polar skua Stercorarius maccormicki and northern giant petrel. Some differences in Gene Ontology (GO) biological and Kyoto Encyclopedia of Genes and Genomes (KEGG) pathways for deiminated proteins were observed between these three species. This indicates that target proteins for deimination may differ, potentially contributing to a range of physiological functions relating to metabolism and immune response, as well as to key defence mechanisms. PAD protein homologues were identified in the seabird plasma by Western blotting via cross-reaction with human PAD antibodies, at an expected 75 kDa size. This is the first study to profile EVs and to identify deiminated proteins as putative novel plasma biomarkers in Antarctic seabirds. These biomarkers may be further refined to become useful indicators of physiological and immunological status in seabirds-many of which are globally threatened.</t>
  </si>
  <si>
    <t>[Phillips, Richard A.] NERC, British Antarctic Survey, Cambridge CB3 0ET, England; [Kraev, Igor] Open Univ, Fac Sci Technol Engn &amp; Math, Electron Microscopy Suite, Milton Keynes MK7 6AA, Bucks, England; [Lange, Sigrun] Univ Westminster, Sch Life Sci, Tissue Architecture &amp; Regenerat Res Grp, London W1W 6UW, England</t>
  </si>
  <si>
    <t>UK Research &amp; Innovation (UKRI); Natural Environment Research Council (NERC); NERC British Antarctic Survey; Open University - UK; University of Westminster</t>
  </si>
  <si>
    <t>Lange, S (corresponding author), Univ Westminster, Sch Life Sci, Tissue Architecture &amp; Regenerat Res Grp, London W1W 6UW, England.</t>
  </si>
  <si>
    <t>raphil@bas.ac.uk; igor.kraev@open.ac.uk; S.Lange@westminster.ac.uk</t>
  </si>
  <si>
    <t>Kraev, Igor/J-2528-2015</t>
  </si>
  <si>
    <t>Kraev, Igor/0000-0003-1822-278X; Lange, Sigrun/0000-0002-7193-3102</t>
  </si>
  <si>
    <t>Natural Environment Research Council; University ofWestminster start-up grant; NERC [bas0100035] Funding Source: UKRI</t>
  </si>
  <si>
    <t>Natural Environment Research Council(UK Research &amp; Innovation (UKRI)Natural Environment Research Council (NERC)); University ofWestminster start-up grant; NERC(UK Research &amp; Innovation (UKRI)Natural Environment Research Council (NERC))</t>
  </si>
  <si>
    <t>This study represents a contribution to the Ecosystems component of the British Antarctic Survey Polar Science for Planet Earth Programme, funded by the Natural Environment Research Council. Parts of the study were also supported by a University ofWestminster start-up grant to S.L.</t>
  </si>
  <si>
    <t>2079-7737</t>
  </si>
  <si>
    <t>Biology-Basel</t>
  </si>
  <si>
    <t>10.3390/biology9010015</t>
  </si>
  <si>
    <t>KL0OA</t>
  </si>
  <si>
    <t>WOS:000513130900009</t>
  </si>
  <si>
    <t>Hull, J</t>
  </si>
  <si>
    <t>Hull, Joanna</t>
  </si>
  <si>
    <t>MOVING BEYOND THE FIELD OF DATA CAPTURE FOR DIGITAL PRESERVATION 3D BIM Models for Heritage Asset Management</t>
  </si>
  <si>
    <t>GIM INTERNATIONAL-THE WORLDWIDE MAGAZINE FOR GEOMATICS</t>
  </si>
  <si>
    <t>Research undertaken under a collaborative doctoral partnership between Historic England and the University of Reading, UK, is moving beyond the field of 3D data capture for digital preservation. It considers how critical information for the conservation, repair and maintenance of historic buildings can be visualized in 3D BIM models and how BIM processes can be used for the management of structured datasets that inform conservation and repair programmes. A pilot study has been conducted using the work of the UK Antarctic Heritage Trust and historic British research base 'E' on Stonington Island, Antarctica, to consider this potential.</t>
  </si>
  <si>
    <t>[Hull, Joanna] UK Def Acad, Projects Serco Def, Swindon, Wilts, England</t>
  </si>
  <si>
    <t>Hull, J (corresponding author), UK Def Acad, Projects Serco Def, Swindon, Wilts, England.</t>
  </si>
  <si>
    <t>j.l.hull@pgr.reading.ac.uk</t>
  </si>
  <si>
    <t>UK Antarctic Heritage Trust; Historic England; University of Reading</t>
  </si>
  <si>
    <t>Thank you to the UK Antarctic Heritage Trust which has supported this pilot study along with the British Antarctic Survey, Mapping and Geographic Information Centre (MAGIC) for providing expert advice and assistance in digital data capture and processing. Last but not least, thanks to Historic England and the University of Reading for supervising the Collaborative Doctoral Award.</t>
  </si>
  <si>
    <t>REED BUSINESS-GEO</t>
  </si>
  <si>
    <t>LEMMER</t>
  </si>
  <si>
    <t>PO BOX 112, LEMMER, 8530 AC, NETHERLANDS</t>
  </si>
  <si>
    <t>1566-9076</t>
  </si>
  <si>
    <t>GIM INT</t>
  </si>
  <si>
    <t>GIM Int.</t>
  </si>
  <si>
    <t>Remote Sensing</t>
  </si>
  <si>
    <t>KM2AR</t>
  </si>
  <si>
    <t>WOS:000513923700009</t>
  </si>
  <si>
    <t>Waldmann, C; Funke, O</t>
  </si>
  <si>
    <t>Waldmann, Christoph; Funke, Oliver</t>
  </si>
  <si>
    <t>The TRIPLE/nanoAUV initiative a technology development initiative to support astrobiological exploration of ocean worlds</t>
  </si>
  <si>
    <t>CEAS SPACE JOURNAL</t>
  </si>
  <si>
    <t>Ocean worlds; Biosignatures; Ocean exploration; Ice melting; Earth-analogue mission; Antarctica</t>
  </si>
  <si>
    <t>LIQUID WATER; LIFE</t>
  </si>
  <si>
    <t>From a scientific point of view, the exploration of oceans on other planets and moons in our solar system is extremely enticing, however, from a technical point of view, it is an almost insurmountable challenge. It is this particular combination of space and ocean-going equipment that makes developing a coherent system such a demanding task. The TRIPLE/nanoAUV Initiative, where the acronym TRIPLE stands for Technologies for Rapid Ice Penetration and subglacial Lake Exploration, is intended to specifically address the design and realization of an autonomous underwater vehicle, the nanoAUV, for future space missions that can be operated in conjunction with melting probes for reaching subglacial lakes or ocean waters. Any conceivable technical concept has to first undergo extensive testing in appropriate Earth-analogue environments which at least come close to the actual conditions that are expected on the envisaged space mission in order to provide an indication of the technical feasibility. For the time being Antarctica appears to be the most favorable region for the anticipated test missions including reaching subglacial lakes like the one in the Dome C region although other regions like Devon Ice Cap in Canada will be considered as well. It is not just the basic physical conditions such as a thick ice cover above liquid water/seawater but also the sparsity of microbial life forms that makes it a good Earth-analogue environment [1] as it poses similar challenges to the deployed systems as found on space missions. Just recently, it was discerned that the basic requirements of a planetary mission, melting through the ice and deploying robotic systems into the water body below, are perfectly matching the interest of terrestrial scientific missions. The recent larger breaks off of the Antarctic ice shelf have exposed pristine ocean regions that due to their difficult accessibility necessitate the use of robotic exploration tools. This momentum shall be used to get one step closer to a future planetary mission by evaluating related scientific and technical concepts in Earth-analogue environments.</t>
  </si>
  <si>
    <t>[Waldmann, Christoph] Univ Bremen, MARUM, Leobener Str 8, D-28359 Bremen, Germany; [Funke, Oliver] German Aerosp Ctr DLR, Space Adm, Koenigswinterer Str 522-524, D-53227 Bonn, Germany</t>
  </si>
  <si>
    <t>University of Bremen; Helmholtz Association; German Aerospace Centre (DLR)</t>
  </si>
  <si>
    <t>Waldmann, C (corresponding author), Univ Bremen, MARUM, Leobener Str 8, D-28359 Bremen, Germany.</t>
  </si>
  <si>
    <t>waldmann@marum.de</t>
  </si>
  <si>
    <t>Waldmann, Christoph/F-3386-2017</t>
  </si>
  <si>
    <t>Waldmann, Christoph/0000-0003-3388-7579</t>
  </si>
  <si>
    <t>1868-2502</t>
  </si>
  <si>
    <t>1868-2510</t>
  </si>
  <si>
    <t>CEAS SPACE J</t>
  </si>
  <si>
    <t>CEAS Space J.</t>
  </si>
  <si>
    <t>10.1007/s12567-019-00275-7</t>
  </si>
  <si>
    <t>Engineering, Aerospace</t>
  </si>
  <si>
    <t>KJ5IY</t>
  </si>
  <si>
    <t>WOS:000512094900009</t>
  </si>
  <si>
    <t>Martinez, D; Vargas-Lagos, C; Saravia, J; Oyarzun, R; Loncoman, C; Pontigo, JP; Vargas-Chacoff, L</t>
  </si>
  <si>
    <t>Martinez, D.; Vargas-Lagos, C.; Saravia, J.; Oyarzun, R.; Loncoman, C.; Pontigo, J. P.; Vargas-Chacoff, L.</t>
  </si>
  <si>
    <t>Cellular stress responses of Eleginops maclovinus fish injected with Piscirickettsia salmonis and submitted to thermal stress</t>
  </si>
  <si>
    <t>Eleginops maclovinus; Heat shock proteins; Sub-Antarctic Notothenioid; Gene expression; Thermal stress; Piscirickettsia salmonis</t>
  </si>
  <si>
    <t>UBIQUITIN-PROTEASOME SYSTEM; GENETIC-CHARACTERIZATION; IMMUNOLOGICAL RESPONSE; PROTEIN-DEGRADATION; SINIPERCA-CHUATSI; IMMUNE-SYSTEM; MANDARIN FISH; TEMPERATURE; PATHOGEN; CULTURE</t>
  </si>
  <si>
    <t>Fluctuations in ambient temperature along with the presence of pathogenic microorganisms can induce important cellular changes that alter the homeostasis of ectothermic fish. The aim of this study was to evaluate how sudden or gradual changes in environmental temperature together with the administration of Piscirickettsia salmonis modulate the transcription of genes involved in cellular stress response in the liver of Eleginops maclovinus. Fish were subjected to the following experimental conditions in duplicate: C- 12 degrees C: Injection only with culture medium, C+ 12 degrees C: Injection with P. salmonis, AM 18 degrees C: Injection only with culture medium under acclimation at 18 degrees C, AB 18 degrees C: Injection with P. salmonis under acclimation at 18 degrees C, SM 18 degrees C: Injection only with culture medium and thermal shock at 18 degrees C and SB 18 degrees C: Injection with P. salmonis and thermal shock at 18 degrees C and sampling at 4-, 8-, 12-, 16- and 20-day post injection (dpi). The genes implied in the heat shock response (HSP70, HSC70, HSP90, and GRP78), apoptosis pathway (BAX and SMAC/Diablo), ubiquitination (E2, E3, ubiquitin, and CHIP), and 26 proteasome complex (PSMB7, PSMC1, and PSMA2) showed expression profiles dependent on time and type of injection applied. All the genes greatly increased their expression levels at day 16 and showed moderate increases at day 20, except for PSMA2 which showed a higher increase between 4- and 12-day post challenges. Our results suggest that the changes observed at the final days of the experiment are due to temperature more than P. salmonis.</t>
  </si>
  <si>
    <t>[Martinez, D.; Vargas-Lagos, C.; Saravia, J.; Oyarzun, R.; Loncoman, C.; Pontigo, J. P.; Vargas-Chacoff, L.] Univ Austral Chile, Inst Ciencias Marinas &amp; Limnol, Lab Fisiol Peces, Valdivia, Chile; [Martinez, D.; Saravia, J.; Oyarzun, R.] Univ Austral Chile, Escuela Grad, Programa Doctorado Ciencias Acuicultura, Ave Los Pinos S-N, Balneario Pelluco, Puerto Montt, Chile; [Martinez, D.; Vargas-Lagos, C.; Saravia, J.; Oyarzun, R.; Vargas-Chacoff, L.] Univ Austral Chile, Ctr Fondap Invest Altas Latitudes IDEAL, Casilla 567, Valdivia, Chile; [Vargas-Lagos, C.] Univ Austral Chile, Escuela Grad, Programa Magister Microbiol, Valdivia, Chile; [Vargas-Lagos, C.] Interdisciplinary Ctr Aquaculture Res INCAR, Concepcion, Chile</t>
  </si>
  <si>
    <t>Universidad Austral de Chile; Universidad Austral de Chile; Universidad Austral de Chile; Universidad Austral de Chile</t>
  </si>
  <si>
    <t>Martinez, D; Vargas-Chacoff, L (corresponding author), Univ Austral Chile, Inst Ciencias Marinas &amp; Limnol, Lab Fisiol Peces, Valdivia, Chile.;Martinez, D (corresponding author), Univ Austral Chile, Escuela Grad, Programa Doctorado Ciencias Acuicultura, Ave Los Pinos S-N, Balneario Pelluco, Puerto Montt, Chile.;Martinez, D; Vargas-Chacoff, L (corresponding author), Univ Austral Chile, Ctr Fondap Invest Altas Latitudes IDEAL, Casilla 567, Valdivia, Chile.</t>
  </si>
  <si>
    <t>danixapamela@gmail.com; luis.vargas@uach.cl</t>
  </si>
  <si>
    <t>Pontigo, Juan Pablo/AAS-2367-2021; Vargas-Chacoff, Luis LVCh/A-5855-2012; Saravia, Julia/AAM-7420-2020; Saravia, Julia/JKI-0931-2023; Loncoman, Carlos/GZA-4459-2022; Oyarzún-Salazar, Ricardo/HGU-6035-2022</t>
  </si>
  <si>
    <t>Pontigo, Juan Pablo/0000-0003-0084-0862; Saravia, Julia/0000-0002-8411-6718; MARTINEZ GONZALEZ, DANIXA PAMELA/0000-0002-7363-419X; Loncoman, Carlos/0000-0002-4321-8873; Oyarzun-Salazar, Ricardo/0000-0003-3177-399X</t>
  </si>
  <si>
    <t>10.1007/s12192-019-01051-6</t>
  </si>
  <si>
    <t>KJ5GY</t>
  </si>
  <si>
    <t>WOS:000512089400009</t>
  </si>
  <si>
    <t>Atalah, J; Blamey, L; Munoz-Ibacache, S; Gutierrez, F; Urzua, M; Encinas, MV; Paez, M; Sun, JS; Blamey, JM</t>
  </si>
  <si>
    <t>Atalah, Joaquin; Blamey, Lotse; Munoz-Ibacache, Sebastian; Gutierrez, Felipe; Urzua, Marcela; Encinas, Maria Victoria; Paez, Maritza; Sun, Junsong; Blamey, Jenny M.</t>
  </si>
  <si>
    <t>Isolation and characterization of violacein from an Antarctic Iodobacter: a non-pathogenic psychrotolerant microorganism</t>
  </si>
  <si>
    <t>12th International Congress of Extremophiles (Extremophiles)</t>
  </si>
  <si>
    <t>SEP 16-20, 2018</t>
  </si>
  <si>
    <t>Naples, ITALY</t>
  </si>
  <si>
    <t>Violacein; Iodobacter; Antarctic microbiology; Pigment; Natural compounds</t>
  </si>
  <si>
    <t>VIOLET PIGMENT; CHROMOBACTERIUM-VIOLACEUM; PSYCHROTROPHIC BACTERIUM; STRAIN</t>
  </si>
  <si>
    <t>Violacein is an intensely purple pigment synthesized by various genera of bacteria that has been discovered to have a wide range of interesting biological activities which range from anticarcinogenic to antibacterial. One of the hindrances for its real-life application is that the first microorganisms found to produce the compound may act as opportunistic pathogens. Here, we report the isolation and characterization of violacein from a non-pathogenic Antarctic Iodobacter strain. Its anti-microbial properties were also tested. The method proposed here for the purification of violacein shows high yields, indicating that this Antarctic microorganism could be a valuable source for this important pigment. This is the first characterization of violacein from an Antarctic Iodobacter strain and here we also present a viable method to obtain this pigment for potential biotechnological applications.</t>
  </si>
  <si>
    <t>[Atalah, Joaquin; Blamey, Lotse; Munoz-Ibacache, Sebastian; Blamey, Jenny M.] Fdn Biociencia, Jose Domingo Canas 2280, Santiago, Chile; [Gutierrez, Felipe] Univ Santiago Chile, Dept Ingn Quim, Alameda 3363,Estn Cent, Santiago, Chile; [Urzua, Marcela] Univ Chile, Fac Ciencias, Dept Quim, Las Palmeras 3425, Nunoa, Chile; [Encinas, Maria Victoria; Blamey, Jenny M.] Univ Santiago Chile, Fac Quim &amp; Biol, Alameda 3363,Estn Cent, Santiago, Chile; [Paez, Maritza] Univ Santiago Chile, Dept Quim Mat, Alameda 3363,Estn Cent, Santiago, Chile; [Sun, Junsong] Shanghai Adv Res Inst, Lab Biorefinery, Haike Rd 99, Shanghai 201210, Peoples R China</t>
  </si>
  <si>
    <t>Universidad de Santiago de Chile; Universidad de Chile; Universidad de Santiago de Chile; Universidad de Santiago de Chile; Chinese Academy of Sciences; Shanghai Advanced Research Institute, CAS</t>
  </si>
  <si>
    <t>Blamey, JM (corresponding author), Fdn Biociencia, Jose Domingo Canas 2280, Santiago, Chile.;Blamey, JM (corresponding author), Univ Santiago Chile, Fac Quim &amp; Biol, Alameda 3363,Estn Cent, Santiago, Chile.</t>
  </si>
  <si>
    <t>jblamey@bioscience.cl</t>
  </si>
  <si>
    <t>Blamey, Jenny M/M-2637-2014; Encinas, Maria M .V./L-9686-2014; Paez, Maritza/M-2010-2014</t>
  </si>
  <si>
    <t>Blamey, Jenny M/0000-0002-7640-316X; Urzua Acevedo, Marcela Del Pilar/0000-0002-2371-620X; paez, maritza/0000-0001-5881-884X</t>
  </si>
  <si>
    <t>Sino-Chile International Scientific Cooperation Project [Scientific Cooperation Project 2019] Funding Source: Medline; Comisión Nacional de Investigación Científica y Tecnológica [PIA ACT1412] Funding Source: Medline</t>
  </si>
  <si>
    <t>Sino-Chile International Scientific Cooperation Project; Comisión Nacional de Investigación Científica y Tecnológica</t>
  </si>
  <si>
    <t>10.1007/s00792-019-01111-w</t>
  </si>
  <si>
    <t>KJ1YS</t>
  </si>
  <si>
    <t>WOS:000511855700004</t>
  </si>
  <si>
    <t>Martins, SS; Gomes, ENS; Travassos, JM; Mansur, WJ</t>
  </si>
  <si>
    <t>Martins, Saulo S.; Gomes, Ellen N. S.; Travassos, Jandyr M.; Mansur, Webe J.</t>
  </si>
  <si>
    <t>High quality pre-stack migrated radar images of several fixed-offset passes along a shore-normal profile on Marambaia Barrier Island</t>
  </si>
  <si>
    <t>JOURNAL OF APPLIED GEOPHYSICS</t>
  </si>
  <si>
    <t>GPR; Data interpolation; Processing and imaging of radar data; Pre-stack time and depth migration; Radar stratigraphy; Base level changes</t>
  </si>
  <si>
    <t>SEISMIC TRACE INTERPOLATION; WATER-CONTENT; ACQUISITION; PREDICTION; EXAMPLE</t>
  </si>
  <si>
    <t>We show high quality images of constructed multi-offset radar data along a shore-normal profile on Marambaia Barrier Island. The multi-offset data is constructed assembling traces from seven collinear fixed-offset passes with a 100MHz bistatic equipment. The traces are binned and stacked as sparse 7-trace common-source gathers along the profile. We deal with the severe alias on each gather through trace interpolation, yielding adequately sampled, unaliased, dense common-source gathers. With the interpolated gathers we have produced a stack section and estimated a 2-D velocity model spanning over the whole profile. All images obtained through from the common-source gathers have a degree of quality far beyond what would be possible to obtain with a usual fixed-offset survey, eventually complemented with a limited number of multi-offset gathers, aiming at estimation of 1-D velocity models. Moreover we show here that a CMP gather is unable to accurately estimate a 1-D velocity distribution at its central point. The multi-offset data yielded not only a 2-D velocity model but also pre-stack time and depth migrated images of the subsurface, products which are well beyond the reach of the usual GPR data acquisition. The pre-stack migrated images provide a clear glimpse on the stratigraphic framework, a result from the interplay of base-level changes and sedimentation at the shoreline of Marambaia Barrier Island. Two unconformities probably correlated to the last process of marine regression, provide chronological markers allowing a qualitative correlation with a sea level variation curve for the last 12,000calyBP on the coast of the State of Rio de Janeiro. (C) 2019 Elsevier B.V. All rights reserved.</t>
  </si>
  <si>
    <t>[Martins, Saulo S.] Univ Fed Rural Rio de Janeiro UFRRJ, Dept Petrol &amp; Geotecton, BR 465 Km 7, BR-23890000 Seropedica, RJ, Brazil; [Gomes, Ellen N. S.; Travassos, Jandyr M.] Univ Fed Para UFPA, Grad Program Geophys, Rua Augusto Correa 01, Belem, Para, Brazil; [Mansur, Webe J.] Univ Fed Rio de Janeiro UFRJ, Civil Engn Dept, COPPE, Ctr Tecnol, Bloco B,Ilha Fundao CXP 68506, BR-21941972 Rio De Janeiro, RJ, Brazil; [Martins, Saulo S.; Gomes, Ellen N. S.; Travassos, Jandyr M.] CNPq, INCT Criosfera, Brasilia, DF, Brazil</t>
  </si>
  <si>
    <t>Universidade Federal Rural do Rio de Janeiro (UFRRJ); Universidade Federal do Para; Universidade Federal do Rio de Janeiro</t>
  </si>
  <si>
    <t>Gomes, ENS (corresponding author), Univ Fed Para UFPA, Grad Program Geophys, Rua Augusto Correa 01, Belem, Para, Brazil.</t>
  </si>
  <si>
    <t>ssmsaulo@gmail.com; ellensg@ufpa.br</t>
  </si>
  <si>
    <t>Mansur, Webe João/AAF-8210-2019</t>
  </si>
  <si>
    <t>Brazilian Antarctic Program (PROANTAR) via the INCT da Criosfera; FAPERJ; CNPq; State of Rio de Janeiro Research Funding Agency</t>
  </si>
  <si>
    <t>Brazilian Antarctic Program (PROANTAR) via the INCT da Criosfera; FAPERJ(Fundacao Carlos Chagas Filho de Amparo a Pesquisa do Estado do Rio De Janeiro (FAPERJ)); CNPq(Conselho Nacional de Desenvolvimento Cientifico e Tecnologico (CNPQ)); State of Rio de Janeiro Research Funding Agency</t>
  </si>
  <si>
    <t>This work was done as a test of the methodology to be used in a fieldwork in Antarctica, as such it was possible through funding from the Brazilian Antarctic Program (PROANTAR) via the INCT da Criosfera. S.S. Martins was a recipient of a FAPERJ scholarship. J.M. Travassos had grants from the CNPq and FAPERJ, the State of Rio de Janeiro Research Funding Agency.</t>
  </si>
  <si>
    <t>0926-9851</t>
  </si>
  <si>
    <t>1879-1859</t>
  </si>
  <si>
    <t>J APPL GEOPHYS</t>
  </si>
  <si>
    <t>J. Appl. Geophys.</t>
  </si>
  <si>
    <t>10.1016/j.jappgeo.2019.103901</t>
  </si>
  <si>
    <t>Geosciences, Multidisciplinary; Mining &amp; Mineral Processing</t>
  </si>
  <si>
    <t>Geology; Mining &amp; Mineral Processing</t>
  </si>
  <si>
    <t>KK1AE</t>
  </si>
  <si>
    <t>WOS:000512481700018</t>
  </si>
  <si>
    <t>Bronselaer, B; Russell, JL; Winton, M; Williams, NL; Key, RM; Dunne, JP; Feely, RA; Johnson, KS; Sarmiento, JL</t>
  </si>
  <si>
    <t>Bronselaer, Ben; Russell, Joellen L.; Winton, Michael; Williams, Nancy L.; Key, Robert M.; Dunne, John P.; Feely, Richard A.; Johnson, Kenneth S.; Sarmiento, Jorge L.</t>
  </si>
  <si>
    <t>Importance of wind and meltwater for observed chemical and physical changes in the Southern Ocean</t>
  </si>
  <si>
    <t>MODELS HISTORICAL BIAS; ANTARCTIC SEA-ICE; FRESH-WATER; NORTH-ATLANTIC; CARBON; PH; VARIABILITY; FORMULATION; CONVECTION; DRIVERS</t>
  </si>
  <si>
    <t>The Southern Ocean south of 30 degrees S represents only one-third of the total ocean area, yet absorbs half of the total ocean anthropogenic carbon and over two-thirds of ocean anthropogenic heat. In the past, the Southern Ocean has also been one of the most sparsely measured regions of the global ocean. Here we use pre-2005 ocean shipboard measurements alongside novel observations from autonomous floats with biogeochemical sensors to calculate changes in Southern Ocean temperature, salinity, pH and concentrations of nitrate, dissolved inorganic carbon and oxygen over two decades. We find local warming of over 3 degrees C, salinification of over 0.2 psu near the Antarctic coast, and isopycnals are found to deepen between 65 degrees and 40 degrees S. We find deoxygenation along the Antarctic coast, but reduced deoxygenation and nitrate concentrations where isopycnals deepen farther north. The forced response of the Earth system model ESM2M does not reproduce the observed patterns. Accounting for meltwater and poleward-intensifying winds in ESM2M improves reproduction of the observed large-scale changes, demonstrating the importance of recent changes in wind and meltwater. Future Southern Ocean biogeochemical changes are likely to be influenced by the relative strength of meltwater input and poleward-intensifying winds. The combined effect could lead to increased Southern Ocean deoxygenation and nutrient accumulation, starving the global ocean of nutrients sooner than otherwise expected.</t>
  </si>
  <si>
    <t>[Bronselaer, Ben; Russell, Joellen L.] Univ Arizona, Dept Geosci, Tucson, AZ 85721 USA; [Bronselaer, Ben; Winton, Michael; Dunne, John P.] Princeton Univ, NOAA, Geophys Fluid Dynam Lab, Forrestal Campus, Princeton, NJ 08544 USA; [Bronselaer, Ben; Key, Robert M.; Sarmiento, Jorge L.] Princeton Univ, Program Atmospher &amp; Ocean Sci, Princeton, NJ 08544 USA; [Williams, Nancy L.] Univ S Florida, Coll Marine Sci, St Petersburg, FL USA; [Feely, Richard A.] NOAA, Pacific Marine Environm Lab, 7600 Sand Point Way Ne, Seattle, WA 98115 USA; [Johnson, Kenneth S.] Monterey Bay Aquarium Res Inst, Moss Landing, CA USA</t>
  </si>
  <si>
    <t>University of Arizona; National Oceanic Atmospheric Admin (NOAA) - USA; Princeton University; National Oceanic Atmospheric Admin (NOAA) - USA; Princeton University; State University System of Florida; University of South Florida; National Oceanic Atmospheric Admin (NOAA) - USA; Monterey Bay Aquarium Research Institute</t>
  </si>
  <si>
    <t>Bronselaer, B (corresponding author), Univ Arizona, Dept Geosci, Tucson, AZ 85721 USA.;Bronselaer, B (corresponding author), Princeton Univ, NOAA, Geophys Fluid Dynam Lab, Forrestal Campus, Princeton, NJ 08544 USA.;Bronselaer, B (corresponding author), Princeton Univ, Program Atmospher &amp; Ocean Sci, Princeton, NJ 08544 USA.</t>
  </si>
  <si>
    <t>bbronselaer@email.arizona.edu</t>
  </si>
  <si>
    <t>Dunne, John/F-8086-2012; Feely, Richard A./ABI-5740-2020; Williams, Nancy L./ABH-4755-2020; Johnson, Kenneth/F-9742-2011</t>
  </si>
  <si>
    <t>Williams, Nancy L./0000-0002-6541-9385; Russell, Joellen/0000-0001-9937-6056; Johnson, Kenneth/0000-0001-5513-5584</t>
  </si>
  <si>
    <t>NSF's SOCCOM Project under NSF [PLR1425989]; NOAA; NASA; NOAA PMEL through the NRC post-doctoral programme; National Science Foundation, Division of Polar Programs (NSF) [PLR -1425989]; International Argo Program; NOAA programmes</t>
  </si>
  <si>
    <t>NSF's SOCCOM Project under NSF; NOAA(National Oceanic Atmospheric Admin (NOAA) - USA); NASA(National Aeronautics &amp; Space Administration (NASA)); NOAA PMEL through the NRC post-doctoral programme; National Science Foundation, Division of Polar Programs (NSF)(National Science Foundation (NSF)); International Argo Program; NOAA programmes</t>
  </si>
  <si>
    <t>This work was sponsored by the NSF's SOCCOM Project under NSF Award No. PLR1425989, with additional support from the NOAA and NASA. N.L.W. was supported by NOAA PMEL through the NRC post-doctoral programme and this is PMEL contribution no. 4834. Data were collected and made freely available by the SOCCOM Project funded by the National Science Foundation, Division of Polar Programs (NSF Award No. PLR -1425989), supplemented by NASA, and by the International Argo Program and the NOAA programmes that contribute to it (http://www.Argo.ucsd.edu, http://Argo.jcommops.org).The Argo Program is part of the Global Ocean Observing System. We thank the SOCCOM, Argo and GLODAP teams for making the data available online.</t>
  </si>
  <si>
    <t>10.1038/s41561-019-0502-8</t>
  </si>
  <si>
    <t>WOS:000511618700011</t>
  </si>
  <si>
    <t>Escobar-Flores, PC; O'Driscoll, RL; Montgomery, JC; Ladroit, Y; Jendersie, S</t>
  </si>
  <si>
    <t>Escobar-Flores, Pablo C.; O'Driscoll, Richard L.; Montgomery, John C.; Ladroit, Yoann; Jendersie, Stefan</t>
  </si>
  <si>
    <t>Estimates of density of mesopelagic fish in the Southern Ocean derived from bulk acoustic data collected by ships of opportunity</t>
  </si>
  <si>
    <t>Mesopelagic fish; Backscatter; Southern ocean; Target strength; Ships of opportunity; Bootstrapping</t>
  </si>
  <si>
    <t>TARGET-STRENGTH MODEL; FAMILY MYCTOPHIDAE; SCATTERING; SWIMBLADDER; LANTERNFISH; PATTERNS; BIOMASS; MICRONEKTON; ORGANISMS; ABUNDANCE</t>
  </si>
  <si>
    <t>The demand for information on mid-trophic level (MTL) organisms in open-ocean marine ecosystems has led to initiatives to collect acoustic data opportunistically in different regions around the world. Although, bulk acoustic data can provide information on the distribution patterns and dynamics of MTL organisms, it is necessary to convert acoustic-derived indices into biologically relevant quantities for parameterising and validating ecosystem and trophic models. A 7-year time series of acoustic data collected by ships of opportunity (SOOP) in the New Zealand sector of the Southern Ocean, information on species' distribution derived from trawl samples collected in research voyages, and target strength (TS) estimates obtained using a resonance-scattering model and literature TS-length relationships, were used to obtain the first estimates of density of mesopelagic fish in this region. Estimates of mesopelagic fish density decreased from north to south reflecting changes in species composition and scattering properties across three latitudinal regions (Northern, Central and Southern). Density estimates ranged from 16.4-40.1 in the north to 4.4-13.4 g m(-2) in the south. Catches revealed that the Northern region was dominated by Lampanyctodes hectoris and Protomyctophum sp. (Myctophidae) and Maurolicus australis (Sternoptychidae); the Central and Southern regions were dominated by the myctophids Electrona antarctica and Protomyctophum sp. and the Antarctic krill, Euphausia superba. Information on species composition was the main source of uncertainty in the density estimates, highlighting the need for more biological sampling. This study demonstrates that it is possible to integrate acoustic data collected opportunistically with auxiliary information from research voyages and literature to provide estimates of mesopelagic fish biomass in remote areas.</t>
  </si>
  <si>
    <t>[Escobar-Flores, Pablo C.; Montgomery, John C.] Univ Auckland, Sch Biological Sciences, Thomas Bldg, Bldg 110, 3a Symonds St, Auckland 1010, New Zealand; [Escobar-Flores, Pablo C.; O'Driscoll, Richard L.; Ladroit, Yoann] Natl Inst Water, Atmospher Res, 301 Evans Bay Parade, Hataitai, Wellington 6021, New Zealand; [Jendersie, Stefan] Victoria Univ Wellington, Antarct Res Centre, Level 5, Cotton Bldg, Gate 7, Kelburn Parade, Wellington 6012, New Zealand</t>
  </si>
  <si>
    <t>University of Auckland; National Institute of Water &amp; Atmospheric Research (NIWA) - New Zealand</t>
  </si>
  <si>
    <t>Escobar-Flores, PC (corresponding author), Univ Auckland, Sch Biological Sciences, Thomas Bldg, Bldg 110, 3a Symonds St, Auckland 1010, New Zealand.;Escobar-Flores, PC (corresponding author), Natl Inst Water, Atmospher Res, 301 Evans Bay Parade, Hataitai, Wellington 6021, New Zealand.</t>
  </si>
  <si>
    <t>pablo.escobar@niwa.co.nz</t>
  </si>
  <si>
    <t>Montgomery, John C/D-4310-2009; Jendersie, Stefan/HKW-3913-2023</t>
  </si>
  <si>
    <t>Jendersie, Stefan/0000-0002-8658-3184; ladroit, Yoann/0000-0002-5723-9501</t>
  </si>
  <si>
    <t>10.1007/s00300-019-02611-3</t>
  </si>
  <si>
    <t>KJ0HL</t>
  </si>
  <si>
    <t>WOS:000511739000004</t>
  </si>
  <si>
    <t>Raksha, N; Halenova, T; Kravchenko, O; Vovk, T; Savchuk, O; Ostapchenko, L</t>
  </si>
  <si>
    <t>Raksha, Nataliia; Halenova, Tetiana; Kravchenko, Olga; Vovk, Tetiana; Savchuk, Olexiy; Ostapchenko, Lydmila</t>
  </si>
  <si>
    <t>Purification and biochemical characterization of Trypsin-like enzyme from Antarctic Hydrobiont Adamussium Colbecki</t>
  </si>
  <si>
    <t>RESEARCH JOURNAL OF BIOTECHNOLOGY</t>
  </si>
  <si>
    <t>Hydrobiont; trypsin-like enzyme; isolation; biochemical properties</t>
  </si>
  <si>
    <t>MOLECULAR-BASIS; PYLORIC CECA; LEPIDOPTERA; PROTEASES; PROTEINS; SMITH</t>
  </si>
  <si>
    <t>A two-step high-yielding procedure was described for the purification of a trypsin-like enzyme from hydrobiont Adamussium colbecki, consisting of affinity chromatography on SBTI-sepharose 4B followed by size exclusion chromatography on Superdex 75 PG column. After the final purification step, trypsin-like enzyme was purified 7.52-fold with 50.3 % yield. The purified enzyme (24 kDa) was homogeneous as confirmed by SDS-PAGE. The pH and temperature optimum were estimated to be 9.0 and 24 degrees C. Trypsin-like enzyme was unstable above pH 12.0 and below pH 5.0. The enzyme was partially inhibited by PMSF, fully inhibited by SBTI and was not inhibited by EDTA, characterizing it as serine protease. The trypsin-like enzyme kinetic constant Km was lower at 8 degrees C compared to result at 24 degrees C while the catalytic efficiency kcat/Km was the same at both temperatures.</t>
  </si>
  <si>
    <t>[Raksha, Nataliia; Halenova, Tetiana; Kravchenko, Olga; Vovk, Tetiana; Savchuk, Olexiy; Ostapchenko, Lydmila] Taras Shevchenko Natl Univ, Inst Biol &amp; Med, Educ &amp; Sci Ctr, 64-13 Volodymyrska Str, UA-01601 Kiev, Ukraine</t>
  </si>
  <si>
    <t>Ministry of Education &amp; Science of Ukraine; Taras Shevchenko National University of Kyiv</t>
  </si>
  <si>
    <t>Raksha, N (corresponding author), Taras Shevchenko Natl Univ, Inst Biol &amp; Med, Educ &amp; Sci Ctr, 64-13 Volodymyrska Str, UA-01601 Kiev, Ukraine.</t>
  </si>
  <si>
    <t>nkudina@ukr.net</t>
  </si>
  <si>
    <t>Savchuk, Olexiy/M-5589-2019; Savchuk, Olexiy/GQH-1456-2022; Ostapchenko, Liudmyla/ISV-1878-2023; Halenova, Tetiana/H-9709-2018; Vovk, Tetiana/AAF-4643-2020; Savchuk, Olexiy/K-2863-2014; Vovk, Tetiana/IST-7771-2023; Raksha, Nataliia/H-9806-2018; Kravchenko, Olha/H-9907-2018</t>
  </si>
  <si>
    <t>Savchuk, Olexiy/0000-0003-3621-6981; Savchuk, Olexiy/0000-0003-3621-6981; Ostapchenko, Liudmyla/0000-0001-7181-6048; Halenova, Tetiana/0000-0003-2973-2646; Vovk, Tetiana/0000-0001-6551-4211; Savchuk, Olexiy/0000-0003-3621-6981; Vovk, Tetiana/0000-0002-0440-8922; Raksha, Nataliia/0000-0001-6654-771X; Kravchenko, Olha/0000-0003-3817-6485</t>
  </si>
  <si>
    <t>National Antarctic Scientific Center of Ukraine Ministry of Education and Science of Ukraine</t>
  </si>
  <si>
    <t>This work was supported by the National Antarctic Scientific Center of Ukraine Ministry of Education and Science of Ukraine.</t>
  </si>
  <si>
    <t>RESEARCH JOURNAL BIOTECHNOLOGY</t>
  </si>
  <si>
    <t>INDORE</t>
  </si>
  <si>
    <t>SECTOR A-80, SCHEME NO 54, VIJAY NAGAR, A B ROAD, INDORE, 452 010 MP, INDIA</t>
  </si>
  <si>
    <t>2278-4535</t>
  </si>
  <si>
    <t>RES J BIOTECHNOL</t>
  </si>
  <si>
    <t>Res. J. Biotechnol.</t>
  </si>
  <si>
    <t>JY5TV</t>
  </si>
  <si>
    <t>WOS:000504478100007</t>
  </si>
  <si>
    <t>Shackleton, S; Baggenstos, D; Menking, JA; Dyonisius, MN; Bereiter, B; Bauska, TK; Rhodes, RH; Brook, EJ; Petrenko, VV; McConnell, JR; Kellerhals, T; Häberli, M; Schmitt, J; Fischer, H; Severinghaus, JP</t>
  </si>
  <si>
    <t>Shackleton, S.; Baggenstos, D.; Menking, J. A.; Dyonisius, M. N.; Bereiter, B.; Bauska, T. K.; Rhodes, R. H.; Brook, E. J.; Petrenko, V. V.; McConnell, J. R.; Kellerhals, T.; Haberli, M.; Schmitt, J.; Fischer, H.; Severinghaus, J. P.</t>
  </si>
  <si>
    <t>Global ocean heat content in the Last Interglacial</t>
  </si>
  <si>
    <t>ABRUPT CLIMATE-CHANGE; ATMOSPHERIC CARBON-DIOXIDE; TAYLOR GLACIER; ANTARCTIC ICE; SEA-LEVEL; CHRONOLOGY AICC2012; MILLENNIAL-SCALE; HIGH-RESOLUTION; BIPOLAR SEESAW; MONSOON RECORD</t>
  </si>
  <si>
    <t>The Last Interglacial (129-116 thousand years ago (ka)) represents one of the warmest climate intervals of the past 800,000 years and the most recent time when sea level was metres higher than today. However, the timing and magnitude of the peak warmth varies between reconstructions, and the relative importance of individual sources that contribute to the elevated sea level (mass gain versus seawater expansion) during the Last Interglacial remains uncertain. Here we present the first mean ocean temperature record for this interval from noble gas measurements in ice cores and constrain the thermal expansion contribution to sea level. Mean ocean temperature reached its maximum value of 1.1 +/- 0.3 degrees C warmer-than-modern values at the end of the penultimate deglaciation at 129 ka, which resulted in 0.7 +/- 0.3 m of thermosteric sea-level rise relative to present level. However, this maximum in ocean heat content was a transient feature; mean ocean temperature decreased in the first several thousand years of the interglacial and achieved a stable, comparable-to-modern value by similar to 127 ka. The synchroneity of the peak in mean ocean temperature with proxy records of abrupt transitions in the oceanic and atmospheric circulation suggests that the mean ocean temperature maximum is related to the accumulation of heat in the ocean interior during the preceding period of reduced overturning circulation.</t>
  </si>
  <si>
    <t>[Shackleton, S.; Severinghaus, J. P.] Univ Calif San Diego, Scripps Inst Oceanog, La Jolla, CA 92093 USA; [Baggenstos, D.; Bereiter, B.; Kellerhals, T.; Haberli, M.; Schmitt, J.; Fischer, H.] Univ Bern, Climate &amp; Environm Phys Phys Inst, Bern, Switzerland; [Baggenstos, D.; Bereiter, B.; Kellerhals, T.; Haberli, M.; Schmitt, J.; Fischer, H.] Univ Bern, Oeschger Ctr Climate Change Res, Bern, Switzerland; [Menking, J. A.; Brook, E. J.] Oregon State Univ, Coll Earth Ocean &amp; Atmospher Sci, Corvallis, OR 97331 USA; [Dyonisius, M. N.; Petrenko, V. V.] Univ Rochester, Earth &amp; Environm Sci, Rochester, NY USA; [Bereiter, B.] Empa, Lab Air Pollut Environm Technol, Dubendorf, Switzerland; [Bauska, T. K.] British Antarctic Survey, Cambridge, England; [Rhodes, R. H.] Univ Cambridge, Dept Earth Sci, Cambridge, England; [McConnell, J. R.] Desert Res Inst, Div Hydrol Sci, Reno, NV USA</t>
  </si>
  <si>
    <t>University of California System; University of California San Diego; Scripps Institution of Oceanography; University of Bern; University of Bern; Oregon State University; University of Rochester; Swiss Federal Institutes of Technology Domain; Swiss Federal Laboratories for Materials Science &amp; Technology (EMPA); UK Research &amp; Innovation (UKRI); Natural Environment Research Council (NERC); NERC British Antarctic Survey; University of Cambridge; Nevada System of Higher Education (NSHE); Desert Research Institute NSHE</t>
  </si>
  <si>
    <t>Shackleton, S (corresponding author), Univ Calif San Diego, Scripps Inst Oceanog, La Jolla, CA 92093 USA.</t>
  </si>
  <si>
    <t>sshackle@ucsd.edu</t>
  </si>
  <si>
    <t>Menking, James Andrew/GPX-8702-2022; Baggenstos, Daniel/AAK-5751-2021; Brook, Edward/AAB-7807-2021; Menking, James/AAY-2808-2020; Schmitt, Jochen/B-7893-2009</t>
  </si>
  <si>
    <t>Menking, James Andrew/0000-0002-5891-6711; Baggenstos, Daniel/0000-0001-9756-6884; Schmitt, Jochen/0000-0003-4695-3029; Rhodes, Rachael/0000-0001-7511-1969; Shackleton, Sarah/0000-0001-5927-1954</t>
  </si>
  <si>
    <t>NSF [1246148, 1245821, 1245659]; European Research Council (ERC) under the European Union's Seventh Framework Programme FP7/2007-2013 ERC [226172]; Swiss National Science Foundation [200020_172506, 200021_155906]; European Union; European Research Council (ERC) [226172] Funding Source: European Research Council (ERC); Directorate For Geosciences; Office of Polar Programs (OPP) [1246148, 1245821] Funding Source: National Science Foundation; Directorate For Geosciences; Office of Polar Programs (OPP) [1245659] Funding Source: National Science Foundation; Swiss National Science Foundation (SNF) [200020_172506, 200021_155906] Funding Source: Swiss National Science Foundation (SNF); NERC [bas0100036, bas0100034] Funding Source: UKRI</t>
  </si>
  <si>
    <t>NSF(National Science Foundation (NSF)); European Research Council (ERC) under the European Union's Seventh Framework Programme FP7/2007-2013 ERC(European Research Council (ERC)); Swiss National Science Foundation(Swiss National Science Foundation (SNSF)); European Union(European Union (EU)); European Research Council (ERC)(European Research Council (ERC)Spanish Government); Directorate For Geosciences; Office of Polar Programs (OPP)(National Science Foundation (NSF)NSF - Directorate for Geosciences (GEO)); Directorate For Geosciences; Office of Polar Programs (OPP)(National Science Foundation (NSF)NSF - Directorate for Geosciences (GEO)); Swiss National Science Foundation (SNF)(Swiss National Science Foundation (SNSF)); NERC(UK Research &amp; Innovation (UKRI)Natural Environment Research Council (NERC))</t>
  </si>
  <si>
    <t>This research was supported by NSF grants 1246148 (SIO), 1245821 (OSU) and 1245659 (UR). We thank K. Schroeder, M. Jayred, P. Sperlich, I. Vimont, J. Ward, H. Roop, P. Neff and A. Smith for their invaluable field support for this project. Ice Drilling Design and Operations (IDDO) provided drilling support, and the US Antarctic Program provided logistical support for this project. Thanks to R. Beaudette for lab support at SIO, to M. Kalk for CO2 measurements at OSU and to M. Arienzo and N. Chellman for their heroic operation of the continuous melting system at DRI. The research at the University of Bern that led to these results received funding from the European Research Council (ERC) under the European Union's Seventh Framework Programme FP7/2007-2013 ERC Grant 226172 (ERC Advanced Grant Modern Approaches to Temperature Reconstructions in polar Ice Cores (MATRICs)) and the Swiss National Science Foundation (200020_172506 (iCEP), 200021_155906 (NOTICE)). The EDC samples were obtained under the framework of EPICA, a joint European Science Foundation/European Commission scientific program funded by the European Union and national contributions from Belgium, Denmark, France, Germany, Italy, the Netherlands, Norway, Sweden, Switzerland and the United Kingdom. The main logistic support was provided by IPEV and PNRA at Dome C.</t>
  </si>
  <si>
    <t>10.1038/s41561-019-0498-0</t>
  </si>
  <si>
    <t>KI8LU</t>
  </si>
  <si>
    <t>WOS:000511610200001</t>
  </si>
  <si>
    <t>Hill, GJ</t>
  </si>
  <si>
    <t>Hill, Graham J.</t>
  </si>
  <si>
    <t>On the Use of Electromagnetics for Earth Imaging of the Polar Regions</t>
  </si>
  <si>
    <t>SURVEYS IN GEOPHYSICS</t>
  </si>
  <si>
    <t>24th Electromagnetic Induction Workshop (EMIW)</t>
  </si>
  <si>
    <t>AUG, 2018</t>
  </si>
  <si>
    <t>Helsingor, DENMARK</t>
  </si>
  <si>
    <t>Electromagnetic methods; Magnetotellurics; Polar regions; Antarctica; Arctic; Source field; Instrumentation; Tectonics; Magmatism; Glaciology</t>
  </si>
  <si>
    <t>ANTARCTIC ICE-SHEET; SAN-ANDREAS FAULT; TRANSANTARCTIC MOUNTAINS; ELECTRICAL-RESISTIVITY; SEA-LEVEL; MAGNETOTELLURIC DATA; WEST ANTARCTICA; DECEPTION ISLAND; CURRENT SYSTEMS; BALTIC SHIELD</t>
  </si>
  <si>
    <t>The polar regions are host to fundamental unresolved challenges in Earth studies. The nature of these regions necessitates the use of geophysics to address these issues, with electromagnetic and, in particular, magnetotelluric studies finding favour and being applied over a number of different scales. The unique geography and climatic conditions of the polar regions means collecting magnetotelluric data at high latitudes, which presents challenges not typically encountered and may result in significant measurement errors. (1) The very high contact resistance between electrodes and the surficial snow and ice cover (commonly M ohm) can interfere with the electric field measurement. This is overcome by using custom-designed amplifiers placed at the active electrodes to buffer their high impedance contacts. (2) The proximity to the geomagnetic poles requires verification of the fundamental assumption in magnetotellurics that the magnetic source field is a vertically propagating, horizontally polarised plane wave. Behaviour of the polar electro-jet must be assessed to identify increased activity (high energy periods) that create strong current systems and may generate non-planar contributions. (3) The generation of 'blizstatic', localised random electric fields caused by the spin drift of moving charged snow and ice particles that produce significant noise in the electric fields during periods of strong winds. At wind speeds above ~ 10 m s(-1), the effect of the distortion created by the moving snow is broad-band. Station occupation times need to be of sufficient length to ensure data are collected when wind speed is low. (4) Working on glaciated terrain introduces additional safety challenges, e.g., weather, crevasse hazards, etc. Inclusion of a mountaineer in the team, both during the site location planning and onsite operations, allows these hazards to be properly managed. Examples spanning studies covering development and application of novel electromagnetic approaches for the polar regions as well as results from studies addressing a variety of differing geologic questions are presented. Electromagnetic studies focusing on near-surface hydrologic systems, glacial and ice sheet dynamics, as well as large-scale volcanic and tectonic problems are discussed providing an overview of the use of electromagnetic methods to investigate fundamental questions in solid earth studies that have both been completed and are currently ongoing in polar regions.</t>
  </si>
  <si>
    <t>[Hill, Graham J.] Czech Acad Sci, Inst Geophys, 1401 Bocni 2, Prague 141004 4, Czech Republic; [Hill, Graham J.] Univ Canterbury, Gateway Antarctica, Private Bag 4800, Christchurch 8140, New Zealand</t>
  </si>
  <si>
    <t>Czech Academy of Sciences; Institute of Geophysics of the Czech Academy of Sciences; University of Canterbury</t>
  </si>
  <si>
    <t>Hill, GJ (corresponding author), Czech Acad Sci, Inst Geophys, 1401 Bocni 2, Prague 141004 4, Czech Republic.;Hill, GJ (corresponding author), Univ Canterbury, Gateway Antarctica, Private Bag 4800, Christchurch 8140, New Zealand.</t>
  </si>
  <si>
    <t>gjhill@ig.cas.cz</t>
  </si>
  <si>
    <t>Hill, Graham/0000-0003-0058-3173</t>
  </si>
  <si>
    <t>0169-3298</t>
  </si>
  <si>
    <t>1573-0956</t>
  </si>
  <si>
    <t>SURV GEOPHYS</t>
  </si>
  <si>
    <t>Surv. Geophys.</t>
  </si>
  <si>
    <t>10.1007/s10712-019-09570-8</t>
  </si>
  <si>
    <t>KI9RX</t>
  </si>
  <si>
    <t>WOS:000511696300002</t>
  </si>
  <si>
    <t>Chen, J; Guo, J; Zhao, M; Zhang, R; Guan, FC</t>
  </si>
  <si>
    <t>Chen, Jie; Guo, Jing; Zhao, Miao; Zhang, Rui; Guan, Fucheng</t>
  </si>
  <si>
    <t>Hydrogen bonding in chitosan/Antarctic krill protein composite system: Study on construction and enhancement mechanism</t>
  </si>
  <si>
    <t>Chitosan; Antarctic krill protein; Hydrogen bond; FTIR curve fitting</t>
  </si>
  <si>
    <t>ANTARCTIC KRILL; CHITOSAN; ANTIBACTERIAL; CELLULOSE; PROPERTY; NETWORK; CHITIN</t>
  </si>
  <si>
    <t>The main of the work concerns the reason for the interpretation of the tensile strength of chitosan (CS) enhanced by Antarctic krill protein (AKP). We found a new mixed solvent, 2 wt% glacial acetic acid, and 2 wt% ethylene glycol aqueous solution, to prepare a stable CS/AKP composite solution. Then we obtained CS/AKP fiber by wet-spinning on a lab-scale wet-spinning machine. The tensile strength of blended fibers is 2.53 cN/dtex in the dry state, which is improved by 11.9% compared with the CS fibers. We found that the increased tensile strength of the blended fibers is relative to the hydrogen bond formed between CS and AKP. Specifically, illustrate the restructured hydrogen bonds in CS/AKP system in Fourier transform infrared curve fitting. The hydrogen bond probably benefits on crystalline growth of CS along the fiber axis and is the main drivable factor in removing the water molecules in blended fibers. (C) 2019 Elsevier B.V. All rights reserved.</t>
  </si>
  <si>
    <t>[Chen, Jie; Guo, Jing; Zhao, Miao; Zhang, Rui; Guan, Fucheng] Dalian Polytech Univ, Sch Text &amp; Mat Engn, Dalian 116034, Peoples R China; [Guo, Jing; Zhao, Miao; Guan, Fucheng] Liaoning Engn Technol Res Ctr Funct Fiber &amp; Compo, Dalian 116034, Peoples R China</t>
  </si>
  <si>
    <t>Dalian Polytechnic University</t>
  </si>
  <si>
    <t>Guo, J; Zhao, M (corresponding author), Dalian Polytech Univ, Sch Text &amp; Mat Engn, Dalian 116034, Peoples R China.</t>
  </si>
  <si>
    <t>guojing8161@163.com; dlpuzhaomiao@163.com</t>
  </si>
  <si>
    <t>guan, fucheng/IXN-7582-2023</t>
  </si>
  <si>
    <t>guan, fucheng/0009-0003-0528-6829; Chen, Jie/0000-0002-5356-0453</t>
  </si>
  <si>
    <t>National Natural Science Foundation of China [51773024, 51373027]; National Science Foundation of Liaoning [LT2017017]</t>
  </si>
  <si>
    <t>National Natural Science Foundation of China(National Natural Science Foundation of China (NSFC)); National Science Foundation of Liaoning</t>
  </si>
  <si>
    <t>This article was funded by the National Natural Science Foundation of China (grant numbers: 51773024 &amp; 51373027), and the National Science Foundation of Liaoning (grant number: LT2017017).</t>
  </si>
  <si>
    <t>10.1016/j.ijbiomac.2019.09.123</t>
  </si>
  <si>
    <t>KH9FW</t>
  </si>
  <si>
    <t>WOS:000510955500049</t>
  </si>
  <si>
    <t>Park, J; Kim, JY; Lee, K; Kim, MS; Kim, MJ; Choi, JW</t>
  </si>
  <si>
    <t>Park, Jaeseon; Kim, Jee-Young; Lee, Khanghyun; Kim, Min-Seob; Kim, Myoung-Jin; Choi, Jong-Woo</t>
  </si>
  <si>
    <t>Comparison of acid extraction and total digestion methods for measuring Cd isotope ratios of environmental samples</t>
  </si>
  <si>
    <t>Cd isotope ratio; Multicollector-ICPMS; Cd recovery; Acid extraction; Total digestion</t>
  </si>
  <si>
    <t>CADMIUM; FRACTIONATION; LEAD; ELEMENTS; SOILS; ZINC; PB</t>
  </si>
  <si>
    <t>To evaluate the pretreatment processing for Cd isotope analysis of environmental samples, acid extractions and total digestions were examined with various environmental certified reference materials. Four certified reference material samples, including fly ash, polluted soil, domestic sludge, and industrial sludge, were digested by six different acid extraction and total digestion methods, and then Cd was separated to remove other matrix by anion-exchange column. The Cd recovery rates of the acid extraction methods were 2.6-89.1%, while those of the total digestion methods were 21.6-88.7%. In these results, the Cd recovery rates were dependent on the sample type. More than 80% of the Cd in the polluted soil and domestic sludge samples could be recovered regardless of the decomposition method, except one method. On the other hand, the Cd recovery rate from fly ash was low when total digestion was performed using a HF mixture, and the recovery rate by total digestion methods for industrial sludge was higher than that by acid extraction. In our results, Cd isotope ratios tended to be more positive by increasing the Cd recovery rates, suggesting that the light isotope of Cd was decomposed preferentially during the decomposition procedures. However, when more than 80% of the Cd in the samples was recovered, the Cd isotope ratios were determined to be similar. This indicated that at least 80% of the Cd should be recovered from environmental samples to accurately measure the Cd isotopic ratio of environmental samples.</t>
  </si>
  <si>
    <t>[Park, Jaeseon; Kim, Jee-Young; Kim, Min-Seob; Kim, Myoung-Jin; Choi, Jong-Woo] Natl Inst Environm Res, Environm Infrastruct Res Dept, Environm Measurement &amp; Anal Ctr, Hwangyoun Ro 42, Incheon 22689, South Korea; [Park, Jaeseon; Kim, Jee-Young] Yonsei Univ, Dept Earth Syst Sci, 50 Yonsei Ro, Seoul 03722, South Korea; [Lee, Khanghyun] Korea Polar Res Inst, Unit Antarctic Route Expedit K, 26 Songdomirae Ro, Incheon 21990, South Korea</t>
  </si>
  <si>
    <t>National Institute of Environmental Research (NIER), Republic of Korea; Yonsei University; Korea Polar Research Institute (KOPRI)</t>
  </si>
  <si>
    <t>Choi, JW (corresponding author), Natl Inst Environm Res, Environm Infrastruct Res Dept, Environm Measurement &amp; Anal Ctr, Hwangyoun Ro 42, Incheon 22689, South Korea.</t>
  </si>
  <si>
    <t>cjw111@korea.kr</t>
  </si>
  <si>
    <t>Choi, Jong-Woo/AAL-8045-2021; Choi, Jong-Woo/AAI-3011-2020</t>
  </si>
  <si>
    <t>Kim, Min Seob/0000-0002-0365-7468</t>
  </si>
  <si>
    <t>National Institute of Environmental Research R&amp;D of Korea government [NIER-2019-01-01-057]</t>
  </si>
  <si>
    <t>National Institute of Environmental Research R&amp;D of Korea government</t>
  </si>
  <si>
    <t>This work was supported by the National Institute of Environmental Research R&amp;D of Korea government (NIER-2019-01-01-057).</t>
  </si>
  <si>
    <t>10.1007/s10661-019-8017-8</t>
  </si>
  <si>
    <t>KI4IR</t>
  </si>
  <si>
    <t>WOS:000511314200002</t>
  </si>
  <si>
    <t>Wang, SM; Xu, TH; Nie, WF; Wang, J; Xu, GC</t>
  </si>
  <si>
    <t>Wang, Shuaimin; Xu, Tianhe; Nie, Wenfeng; Wang, Jian; Xu, Guochang</t>
  </si>
  <si>
    <t>Establishment of atmospheric weighted mean temperature model in the polar regions</t>
  </si>
  <si>
    <t>ADVANCES IN SPACE RESEARCH</t>
  </si>
  <si>
    <t>The polar regions; Weighted mean temperature (Tm); Precipitable water vapor (PWV); Zenith wet delay (ZWD); Global Navigation Satellite System (GNSS)</t>
  </si>
  <si>
    <t>PRECIPITABLE WATER-VAPOR; GLOBAL EMPIRICAL-MODEL; ZENITH WET DELAYS; GROUND-BASED GPS; METEOROLOGY; VALIDATION; RADIOSONDE; ACCURACY; NETWORK; PWV</t>
  </si>
  <si>
    <t>Due to the special geographical location and extreme climate environment, the polar regions (Antarctic and Arctic) have an important impact on global climate change. Atmospheric weighted mean temperature (Tm) is a crucial parameter in the retrieval of precipitable water vapor (PWV) from the zenith wet delay (ZWD) of ground-based Global Navigation Satellite System (GNSS) signal propagation. In this paper, the correlation between weighted mean temperature and surface temperature (Ts) is studied firstly. It is shown that the correlation coefficients between Tm and Ts are 0.93 in the Antarctic and 0.94 in the Arctic. The linear regression Tm model and quadratic function Tm model of the Antarctic and the Arctic are established respectively using the radiosonde profiles of 12 stations in the Antarctic and 58 stations in the Arctic from 2008 to 2015. The accuracies of the linear regression Tm model, the quadratic function Tm model and GPT2w Tm model which is a state-of-the-art global Tm model are verified using the radiosonde profiles from 2016 to 2018 in the Antarctic and Arctic. Root Mean Square (RMS) errors of the linear regression Tm model, the quadratic function Tm model and GPT2w Tm model in the Antarctic are 3.07 K, 2.87 K and 4.32 K respectively, and those in the Arctic are 3.53 K, 3.38 K and 4.82 K, which indicates that the quadratic function Tm model has a higher accuracy compared to linear regression Tm model, and the accuracies of the two regional Tm models are better than that of GPT2w Tm model in the polar regions. In order to better evaluate the accuracy of Tm in the PWV retrieval, the PWV values of radiosondes are used for comparisons as the reference value. The RMS errors of PWV derived from the two Tm models are similar for 1.28 mm in the Antarctic and 1 mm in the Arctic respectively. In addition, the spatial and temporal variation characteristics of Tm are analyzed in the polar regions by spectral analysis of Tm data using fast Fourier transform. The results show that the Tm has obvious seasonality and annual periodicity in the polar regions, and the maximum difference between warm season and cold season is about 63 K. After comparing and analyzing the influences of latitude, longitude and elevation on the Tm in the polar regions, it is found that latitude and elevation have a greater influence on the Tm than the longitude. As the latitude and elevation increase, the Tm decreases, and vice versa in the polar regions. (C) 2019 COSPAR. Published by Elsevier Ltd. All rights reserved.</t>
  </si>
  <si>
    <t>[Wang, Shuaimin; Xu, Tianhe; Nie, Wenfeng; Wang, Jian; Xu, Guochang] Shandong Univ, Inst Space Sci, Weihai 264209, Peoples R China</t>
  </si>
  <si>
    <t>Xu, TH (corresponding author), Shandong Univ, Inst Space Sci, Weihai 264209, Peoples R China.</t>
  </si>
  <si>
    <t>thxugfz@163.com</t>
  </si>
  <si>
    <t>National Key Research &amp; Development Program of China [2016YFB0501701]; National Natural Science Foundation of China [41874032, 41731069, 41574013]</t>
  </si>
  <si>
    <t>National Key Research &amp; Development Program of China; National Natural Science Foundation of China(National Natural Science Foundation of China (NSFC))</t>
  </si>
  <si>
    <t>This research is financially supported by the National Key Research &amp; Development Program of China (2016YFB0501701) and the National Natural Science Foundation of China (Grant No. 41874032, 41731069 and 41574013). The authors would like to thank the University of Wyoming for providing radiosonde profiles and the Astronomical Institute of the University of Bern (AIUB) for providing data of zenith tropospheric delay.</t>
  </si>
  <si>
    <t>0273-1177</t>
  </si>
  <si>
    <t>1879-1948</t>
  </si>
  <si>
    <t>ADV SPACE RES</t>
  </si>
  <si>
    <t>Adv. Space Res.</t>
  </si>
  <si>
    <t>10.1016/j.asr.2019.10.001</t>
  </si>
  <si>
    <t>Engineering, Aerospace; Astronomy &amp; Astrophysics; Geosciences, Multidisciplinary; Meteorology &amp; Atmospheric Sciences</t>
  </si>
  <si>
    <t>Engineering; Astronomy &amp; Astrophysics; Geology; Meteorology &amp; Atmospheric Sciences</t>
  </si>
  <si>
    <t>KG2PK</t>
  </si>
  <si>
    <t>WOS:000509784600042</t>
  </si>
  <si>
    <t>Leane, Elizabeth; McGee, Jeffrey</t>
  </si>
  <si>
    <t>Anthropocene Antarctica Approaches, issues and debates</t>
  </si>
  <si>
    <t>[Leane, Elizabeth] Univ Tasmania, Inst Marine &amp; Antarctic Studies, Sch Humanities, English, Hobart, Tas, Australia; [McGee, Jeffrey] Univ Tasmania, Inst Marine &amp; Antarctic Studies, Fac Law, Climate Change Marine &amp; Antarctic Law, Hobart, Tas, Australia</t>
  </si>
  <si>
    <t>Leane, E (corresponding author), Univ Tasmania, Inst Marine &amp; Antarctic Studies, Sch Humanities, English, Hobart, Tas, Australia.</t>
  </si>
  <si>
    <t>WOS:000508916300002</t>
  </si>
  <si>
    <t>Hemmings, AD</t>
  </si>
  <si>
    <t>Hemmings, Alan D.</t>
  </si>
  <si>
    <t>Subglacial nationalisms</t>
  </si>
  <si>
    <t>ANTARCTICA; SCIENCE</t>
  </si>
  <si>
    <t>[Hemmings, Alan D.] Univ Canterbury, Gateway Antarctica Ctr Antarctic Studies, Christchurch, New Zealand; [Hemmings, Alan D.] Univ Canterbury, Res, Christchurch, New Zealand</t>
  </si>
  <si>
    <t>University of Canterbury; University of Canterbury</t>
  </si>
  <si>
    <t>Hemmings, AD (corresponding author), Univ Canterbury, Gateway Antarctica Ctr Antarctic Studies, Christchurch, New Zealand.;Hemmings, AD (corresponding author), Univ Canterbury, Res, Christchurch, New Zealand.</t>
  </si>
  <si>
    <t>WOS:000508916300004</t>
  </si>
  <si>
    <t>McGee, J</t>
  </si>
  <si>
    <t>McGee, Jeffrey</t>
  </si>
  <si>
    <t>Frozen Eden lost? Exploring discourses of geoengineering Antarctica</t>
  </si>
  <si>
    <t>INJECTIONS</t>
  </si>
  <si>
    <t>[McGee, Jeffrey] Univ Tasmania, Fac Law, Climate Change Marine &amp; Antarctic Law, Hobart, Tas, Australia; [McGee, Jeffrey] Univ Tasmania, Inst Marine &amp; Antarctic Studies, Hobart, Tas, Australia; [McGee, Jeffrey] Univ Tasmania, Australian Forum Climate Intervent Governance, Hobart, Tas, Australia; [McGee, Jeffrey] Univ Tasmania, Ctr Marine Socioecol, Hobart, Tas, Australia; [McGee, Jeffrey] Amer Univ, Forum Climate Engn Assessment, Washington, DC 20016 USA</t>
  </si>
  <si>
    <t>University of Tasmania; University of Tasmania; University of Tasmania; University of Tasmania; American University</t>
  </si>
  <si>
    <t>McGee, Jeffrey/K-7322-2015</t>
  </si>
  <si>
    <t>McGee, Jeffrey/0000-0002-2093-5896</t>
  </si>
  <si>
    <t>WOS:000508916300005</t>
  </si>
  <si>
    <t>Nielsen, H</t>
  </si>
  <si>
    <t>Nielsen, Hanne</t>
  </si>
  <si>
    <t>Save the penguins Antarctic advertising and the PR of protection</t>
  </si>
  <si>
    <t>[Nielsen, Hanne] Univ Tasmania, English, Hobart, Tas, Australia</t>
  </si>
  <si>
    <t>Nielsen, H (corresponding author), Univ Tasmania, English, Hobart, Tas, Australia.</t>
  </si>
  <si>
    <t>Nielsen, Hanne E F/I-4472-2014</t>
  </si>
  <si>
    <t>WOS:000508916300009</t>
  </si>
  <si>
    <t>Maddison, B</t>
  </si>
  <si>
    <t>Maddison, Ben</t>
  </si>
  <si>
    <t>Indigenising the heroic era of Antarctic exploration</t>
  </si>
  <si>
    <t>[Maddison, Ben] Univ Tasmania, Inst Marine &amp; Antarctic Studies, Hobart, Tas, Australia; [Maddison, Ben] Univ Wollongong, Wollongong, NSW, Australia</t>
  </si>
  <si>
    <t>University of Tasmania; University of Wollongong</t>
  </si>
  <si>
    <t>Maddison, B (corresponding author), Univ Tasmania, Inst Marine &amp; Antarctic Studies, Hobart, Tas, Australia.;Maddison, B (corresponding author), Univ Wollongong, Wollongong, NSW, Australia.</t>
  </si>
  <si>
    <t>WOS:000508916300010</t>
  </si>
  <si>
    <t>Llanos, N</t>
  </si>
  <si>
    <t>Llanos, Nelson</t>
  </si>
  <si>
    <t>Populating Antarctica Chilean families in the frozen continent</t>
  </si>
  <si>
    <t>[Llanos, Nelson] Playa Ancha Univ, Contemporary Hist, Valparaiso, Chile; [Llanos, Nelson] Latin Amer Antarctic Hist Assoc, Vina Del Mar, Chile; [Llanos, Nelson] Hemispher &amp; Polar Studies Ctr, Vina Del Mar, Chile</t>
  </si>
  <si>
    <t>Llanos, N (corresponding author), Playa Ancha Univ, Contemporary Hist, Valparaiso, Chile.;Llanos, N (corresponding author), Latin Amer Antarctic Hist Assoc, Vina Del Mar, Chile.;Llanos, N (corresponding author), Hemispher &amp; Polar Studies Ctr, Vina Del Mar, Chile.</t>
  </si>
  <si>
    <t>WOS:000508916300011</t>
  </si>
  <si>
    <t>Placing the past The McMurdo Dry Valleys and the problem of geographical specificity in Antarctic history</t>
  </si>
  <si>
    <t>[Howkins, Adrian] Univ Bristol, Environm Hist, Bristol, Avon, England</t>
  </si>
  <si>
    <t>Howkins, A (corresponding author), Univ Bristol, Environm Hist, Bristol, Avon, England.</t>
  </si>
  <si>
    <t>WOS:000508916300012</t>
  </si>
  <si>
    <t>Folguera, A; Paz, LF; Iannelli, S; Navarrete, C; Echaurren, A; Gianni, G; Butler, KL; Horton, BK; Litvak, V; Encinas, A; Orts, D</t>
  </si>
  <si>
    <t>Folguera, A.; Fernandez Paz, L.; Iannelli, S.; Navarrete, C.; Echaurren, A.; Gianni, G.; Butler, K. L.; Horton, B. K.; Litvak, V.; Encinas, A.; Orts, D.</t>
  </si>
  <si>
    <t>The origin of the San Jorge Gulf Basin in the context of the Mesozoic Cenozoic evolution of Patagonia</t>
  </si>
  <si>
    <t>San Jorge Gulf Basin; Patagonia; Rollback; Flat subduction zone; Magmatic shifting; Flare-ups; Synorogenic rifting</t>
  </si>
  <si>
    <t>SOUTHERN CENTRAL ANDES; LARGE IGNEOUS PROVINCE; CHON AIKE PROVINCE; GONDWANA BREAK-UP; ARGENTINA IMPLICATIONS; ANTARCTIC PENINSULA; MAGMATIC EVOLUTION; VOLCANIC PROVINCE; EXTENSIONAL BASIN; FAULT KINEMATICS</t>
  </si>
  <si>
    <t>The retroarc region of central Patagonia recorded three contractional stages (Late Triassic, Late Cretaceous, and Miocene) coincident with eastward broadening of arc magmatism. Inboard arc migration may be linked to shallowing of the subducted slab, subduction erosion of forearc regions, or a combination of both. Contractional episodes were followed by slab rollback, producing a series of extensional depocenters and magmatic belts across Patagonia at similar to 170-130 Ma, similar to 55-22 Ma and similar to 5 Ma. These rollback events weakened Patagonian crust through fracturing, mantle upwelling, and magmatic injection, favoring inception and propagation of subsequent contractional episodes. Phases of slab rollback and retroarc extension are reflected in epsilon Hf and epsilon Nd isotopic trends, with more juvenile trajectories corresponding to mantle upwelling into a broad asthenospheric wedge during slab retreat. Periods of crustal shortening are recorded by evolved epsilon Hf and epsilon Nd isotopic trajectories, demonstrating modified mantle sources. Mesozoic-Cenozoic extensional basins of Patagonia, such as the Chubut Basin, Cafiadon Asfalto Basin, Rio Mayo-Aysen Basin, Pilcaniyeu and Auca Pan-El Malt&amp; magmatic belts/volcanogenic basins, and the Traiguen Basin were generated during episodes of slab rollback. In contrast, the extension-related San Jorge Gulf Basin constitutes an east-west-trending anomaly developed in an interval of the Cretaceous when the rest of western Patagonia experienced shortening. During this time, crustal evolution trends shifted from juvenile to more evolved and the arc expanded toward the continental interior most likely under a flat-slab regime. The San Jorge Gulf Basin is linked to Neocomian extensional structures in an intracratonic basin later influenced by compressional stresses linked to subduction zone in the west and incipient opening of the south Atlantic to east.</t>
  </si>
  <si>
    <t>[Folguera, A.; Fernandez Paz, L.; Iannelli, S.; Echaurren, A.; Gianni, G.; Litvak, V.] Univ Buenos Aires, CONICET, Fac Ciencias Exactas &amp; Nat, Inst Estudios Andinos, Buenos Aires, DF, Argentina; [Navarrete, C.] Univ Nacl Patagonia San Juan Bosco, Dept Geol, Comodoro Rivadavia, Argentina; [Butler, K. L.; Horton, B. K.] Univ Texas Austin, Jackson Sch Geosci, Dept Geol Sci, Austin, TX 78712 USA; [Butler, K. L.; Horton, B. K.] Univ Texas Austin, Jackson Sch Geosci, Inst Geophys, Austin, TX 78712 USA; [Encinas, A.] Univ Concepcion, Fac Ciencias Quim, Dept Ciencias Tierra, Concepcion 4030000, Chile; [Orts, D.] Univ Rio Negro, Viedma, Argentina</t>
  </si>
  <si>
    <t>Consejo Nacional de Investigaciones Cientificas y Tecnicas (CONICET); University of Buenos Aires; Universidad Nacional de la Patagonia San Juan Bosco; University of Texas System; University of Texas Austin; University of Texas System; University of Texas Austin; Universidad de Concepcion</t>
  </si>
  <si>
    <t>Folguera, A (corresponding author), Univ Buenos Aires, CONICET, Fac Ciencias Exactas &amp; Nat, Inst Estudios Andinos, Buenos Aires, DF, Argentina.</t>
  </si>
  <si>
    <t>andresfolguera2@yahoo.com.ar</t>
  </si>
  <si>
    <t>Fernández Paz, Lucía/ISB-2258-2023; Horton, Brian K/A-1804-2009</t>
  </si>
  <si>
    <t>Fernández Paz, Lucía/0000-0001-5202-6809; Horton, Brian K/0000-0002-1402-3524; Orts, Dario Leandro/0000-0002-9789-0606; Navarrete, Cesar/0000-0001-7106-3672; Gianni, Guido Martin/0000-0001-9036-0621; folguera, andres/0000-0001-8965-8543</t>
  </si>
  <si>
    <t>PIP 2015-2017 [11220150100426, 20020150100166BA]; ubacyt 2015-2017 [PICT-2016-2252]</t>
  </si>
  <si>
    <t>PIP 2015-2017; ubacyt 2015-2017</t>
  </si>
  <si>
    <t>We acknowledge Jose Paredes, Nicolas Foix and Jose Allard as Guest Editors of the special volume dedicated to the Evolution of the San Jorge Gulf Basin for inviting this review paper. We also acknowledge Claudia Zaffarana and Raul Giacosa for constructive review. This work has been financed by PIP 2015-2017. nro 11220150100426, 20020150100166BA. ubacyt 2015-2017, PICT-2016-2252.</t>
  </si>
  <si>
    <t>10.1016/j.jsames.2019.102422</t>
  </si>
  <si>
    <t>KG0FR</t>
  </si>
  <si>
    <t>WOS:000509617600030</t>
  </si>
  <si>
    <t>Torre, G; Gaiero, DM; Cosentino, NJ; Coppo, R</t>
  </si>
  <si>
    <t>Torre, Gabriela; Gaiero, Diego M.; Cosentino, Nicolas J.; Coppo, Renata</t>
  </si>
  <si>
    <t>The paleoclimatic message from the polymodal grain-size distribution of late Pleistocene-early Holocene Pampean loess (Argentina)</t>
  </si>
  <si>
    <t>AEOLIAN RESEARCH</t>
  </si>
  <si>
    <t>CHINESE LOESS; DUST DEPOSITION; EOLIAN DUST; ATMOSPHERIC CIRCULATION; TROPOSPHERIC CHEMISTRY; PALEOSOL SEQUENCE; NORTH CHINA; EAST-ASIA; GEOCHEMISTRY; PROVENANCE</t>
  </si>
  <si>
    <t>Wind-blown dust deposits are considered one of the most important terrestrial archives for past climate change studies. In the Southern Hemisphere, the Pampean loess is the most extensive paleo-dust record, whose origin is still a matter of debate. In this paper, grain-size was carried out at three high-resolution loess profiles deposited during the late Pleistocene-early Holocene and for present-day dust collected on the Pampean plain. Based on comparing loess records with in situ present-day dust, this work aims to provide constraints on the climatic conditions that allowed deposition of the Argentinean loess mantle. Unmixing methods allow differentiating three grain-size subpopulations/end members in the Pampean loess which are comparable to end members found in present-day dust. The provenance and transport conditions observed for present-day dust were used to infer that the fine silt components of Pampean loess were transported by high-level air stream associated with the deflation of the Puna-Altiplano Plateau. On the other side, the coarse-silt sediments were carried by dust storms associated with high transport energy events taking place in proximal dust sources. In the central Pampas, the increased abundance of coarse-silt sediments during the Antarctic Cold Reversal (ACR) may indicate the existence of an increased frequency of dust storm episodes. During the beginning of the Holocene, the rise in fine-silt loess could be linked to the activation of distant sources associated with lake desiccation in the Puna-Altiplano Plateau.</t>
  </si>
  <si>
    <t>[Torre, Gabriela; Gaiero, Diego M.; Cosentino, Nicolas J.; Coppo, Renata] Univ Nacl Cordoba, Fac Ciencias Exactas Fis &amp; Nat, Av Velez Sarsfield 299,X5000JJC, Cordoba, Argentina; [Torre, Gabriela; Gaiero, Diego M.; Cosentino, Nicolas J.; Coppo, Renata] Consejo Nacl Invest Cient &amp; Tecn, Ctr Invest Ciencias Tierra CICTERRA, Av Velez Sarsfield 1611,Edificio CICTERRA, Cordoba, Argentina</t>
  </si>
  <si>
    <t>National University of Cordoba; Consejo Nacional de Investigaciones Cientificas y Tecnicas (CONICET); National University of Cordoba</t>
  </si>
  <si>
    <t>Torre, G; Gaiero, DM (corresponding author), Univ Nacl Cordoba, Fac Ciencias Exactas Fis &amp; Nat, Av Velez Sarsfield 299,X5000JJC, Cordoba, Argentina.</t>
  </si>
  <si>
    <t>gabrielatorre@unc.edu.ar; diego.gaiero@unc.edu.ar</t>
  </si>
  <si>
    <t>Gaiero, Diego Marcelo/0000-0003-1029-2265; Torre, Gabriela/0000-0002-1985-1775; Cosentino, Nicolas Juan/0000-0001-9023-2726</t>
  </si>
  <si>
    <t>Instituto Nacional de Tecnologia Agropecuaria (INTA); Agencia Nacional de Promocion Cientifica y Tecnologica [PICT-2012-0525, PICT-2017-2705]; SECyT-Universidad Nacional de Cordoba; ECOS-MINCyT project; CONICET-CNRS project</t>
  </si>
  <si>
    <t>Instituto Nacional de Tecnologia Agropecuaria (INTA); Agencia Nacional de Promocion Cientifica y Tecnologica(ANPCyTSpanish Government); SECyT-Universidad Nacional de Cordoba(Secretaria de Ciencia y Tecnologia (SECYT)); ECOS-MINCyT project; CONICET-CNRS project</t>
  </si>
  <si>
    <t>We thank the Instituto Nacional de Tecnologia Agropecuaria (INTA) for continuous support with the Marcos Juarez dust monitoring program. Financial support was provided by awards from Agencia Nacional de Promocion Cientifica y Tecnologica (PICT-2012-0525 and PICT-2017-2705) and from SECyT-Universidad Nacional de Cordoba, to DMG. It was also partly supported by the ECOS-MINCyT and CONICETCNRS projects. We thank Prof. J. Vandenberghe and two anonymous reviewers for their insightful comments, from which our manuscript has greatly benefited. We acknowledge S. Goldstein, Y. Kiro and L. Bolge for their contribution to the chemical analyses.</t>
  </si>
  <si>
    <t>1875-9637</t>
  </si>
  <si>
    <t>2212-1684</t>
  </si>
  <si>
    <t>AEOLIAN RES</t>
  </si>
  <si>
    <t>Aeolian Res.</t>
  </si>
  <si>
    <t>10.1016/j.aeolia.2019.100563</t>
  </si>
  <si>
    <t>KG2QY</t>
  </si>
  <si>
    <t>WOS:000509789100007</t>
  </si>
  <si>
    <t>Gao, RJ; Chen, L; Zhang, W; Zhang, S; Rao, J; Hu, J</t>
  </si>
  <si>
    <t>Gao, Renjiao; Chen, Li; Zhang, Wei; Zhang, Shuo; Rao, Jie; Hu, Jun</t>
  </si>
  <si>
    <t>Effect of dietary Antarctic krill Euphausia superba on the growth performance and nonspecific immunity of red swamp crayfish Procambarus clarkia</t>
  </si>
  <si>
    <t>FISH &amp; SHELLFISH IMMUNOLOGY</t>
  </si>
  <si>
    <t>Antarctic krill; Crayfish; Growth; Immunity</t>
  </si>
  <si>
    <t>NARROW CLAWED CRAYFISH; LEPTODACTYLUS-LEPTODACTYLUS ESCHSCHOLTZ; STRESS RESISTANCE; RESPONSES; SHRIMP; SINGLE</t>
  </si>
  <si>
    <t>This study aims to investigate the effects of replacing different proportions of fishmeal with Antarctic krill (AK) on the growth performance, body composition and nonspecific immunity index of red swamp crayfish Procambarus clarkia. AK was used to replace 0 (control), 25%, 50% and 100% of the fishmeal in the basic diet of crayfish to formulate four test feeds with basically equivalent nitrogen and lipid contents; these feeds were denoted AKO, AK25, AK50 and AK100, respectively. Compared with the control group, crayfish fed diets with AK replacement showed increased body weight gain; feed efficiency; survival rate; body protein content; phenoloxidase, superoxide dismutase and glutathione peroxidase activities; total haemocyte counts; number of hyaline, semigranular and granular cells; and disease resistance against Aeromonas hydrophila. Conversely, the body lipid level of these crayfish decreased relative to that of the control. However, a high AK level (AK100) does not show improvements in efficiency compared with a moderate AK level (AK50). Based on the efficiency of AK in enhancing the growth performance and nonspecific immunity of crayfish, the optimum replacement proportion of fishmeal with AK was 50%. These results confirm that AK can promote the growth of crayfish and improve their disease resistance.</t>
  </si>
  <si>
    <t>[Gao, Renjiao; Chen, Li; Zhang, Wei; Zhang, Shuo; Rao, Jie] Jiangsu Ocean Univ, Jiangsu Key Lab Marine Bioresources &amp; Environm, 59 Cangwu Rd, Haizhou 222005, Lianyungang, Peoples R China; [Gao, Renjiao; Chen, Li; Zhang, Wei; Zhang, Shuo; Rao, Jie] Coinnovat Ctr Jiangsu Marine Bioind Technol, 59 Cangwu Rd, Haizhou 222005, Lianyungang, Peoples R China; [Gao, Renjiao; Chen, Li; Zhang, Wei; Zhang, Shuo; Rao, Jie] Jiangsu Ocean Univ, Coll Marine Life &amp; Fisheries, 59 Cangwu Rd, Haizhou 222005, Lianyungang, Peoples R China; [Hu, Jun] Jiangsu Haierzi Biol Technol Co Ltd, 9 Bofu Rd, Liuhe 215000, Nanjin, Peoples R China</t>
  </si>
  <si>
    <t>Jiangsu Ocean University; Jiangsu Ocean University</t>
  </si>
  <si>
    <t>Chen, L (corresponding author), Jiangsu Ocean Univ, Jiangsu Key Lab Marine Bioresources &amp; Environm, 59 Cangwu Rd, Haizhou 222005, Lianyungang, Peoples R China.</t>
  </si>
  <si>
    <t>chenli@jou.edu.cn</t>
  </si>
  <si>
    <t>Priority Academic Program Development of Jiangsu Higher Education Institutions (PAPD)</t>
  </si>
  <si>
    <t>This research was supported by A Project Funded by the Priority Academic Program Development of Jiangsu Higher Education Institutions (PAPD).</t>
  </si>
  <si>
    <t>1050-4648</t>
  </si>
  <si>
    <t>1095-9947</t>
  </si>
  <si>
    <t>FISH SHELLFISH IMMUN</t>
  </si>
  <si>
    <t>Fish Shellfish Immunol.</t>
  </si>
  <si>
    <t>10.1016/j.fsi.2019.12.004</t>
  </si>
  <si>
    <t>Fisheries; Immunology; Marine &amp; Freshwater Biology; Veterinary Sciences</t>
  </si>
  <si>
    <t>KG0FP</t>
  </si>
  <si>
    <t>WOS:000509617400014</t>
  </si>
  <si>
    <t>Meneghello, G; Doddridge, E; Marshall, J; Scott, J; Campin, JM</t>
  </si>
  <si>
    <t>Meneghello, Gianluca; Doddridge, Edward; Marshall, John; Scott, Jeffery; Campin, Jean-Michel</t>
  </si>
  <si>
    <t>Exploring the Role of the Ice-Ocean Governor and Mesoscale Eddies in the Equilibration of the Beaufort Gyre: Lessons from Observations</t>
  </si>
  <si>
    <t>Ocean; Arctic; Eddies; Ekman pumping; transport; Atmosphere-ocean interaction</t>
  </si>
  <si>
    <t>WESTERN ARCTIC-OCEAN; VARIABILITY; CIRCULATION; TRANSPORT</t>
  </si>
  <si>
    <t>Observations of Ekman pumping, sea surface height anomaly, and isohaline depth anomaly over the Beaufort Gyre are used to explore the relative importance and role of (i) feedbacks between ice and ocean currents, dubbed the ice-ocean governor, and (ii) mesoscale eddy processes in the equilibration of the Beaufort Gyre. A two-layer model of the gyre is fit to observations and used to explore the mechanisms governing the gyre evolution from the monthly to the decennial time scale. The ice-ocean governor dominates the response on interannual time scales, with eddy processes becoming evident only on the longest, decadal time scales.</t>
  </si>
  <si>
    <t>[Meneghello, Gianluca; Doddridge, Edward; Marshall, John; Scott, Jeffery; Campin, Jean-Michel] MIT, Dept Earth Atmospher &amp; Planetary Sci, Cambridge, MA 02139 USA</t>
  </si>
  <si>
    <t>Meneghello, G (corresponding author), MIT, Dept Earth Atmospher &amp; Planetary Sci, Cambridge, MA 02139 USA.</t>
  </si>
  <si>
    <t>gianluca.meneghello@gmail.com</t>
  </si>
  <si>
    <t>Doddridge, Edward/GRJ-6149-2022; Meneghello, Gianluca/AAA-8494-2019</t>
  </si>
  <si>
    <t>Meneghello, Gianluca/0000-0002-0767-2497; Doddridge, Edward/0000-0002-6097-5729</t>
  </si>
  <si>
    <t>NSF Polar Programs, Arctic; NSF Polar Programs, Antarctic; MIT-GISS collaborative agreement</t>
  </si>
  <si>
    <t>The authors thankfully acknowledge support from NSF Polar Programs, both Arctic and Antarctic, and the MIT-GISS collaborative agreement.</t>
  </si>
  <si>
    <t>10.1175/JPO-D-18-0223.1</t>
  </si>
  <si>
    <t>KG4VM</t>
  </si>
  <si>
    <t>WOS:000509945500001</t>
  </si>
  <si>
    <t>Hewitt, IJ</t>
  </si>
  <si>
    <t>Davis, SH; Moin, P</t>
  </si>
  <si>
    <t>Hewitt, Ian J.</t>
  </si>
  <si>
    <t>Subglacial Plumes</t>
  </si>
  <si>
    <t>ANNUAL REVIEW OF FLUID MECHANICS, VOL 52</t>
  </si>
  <si>
    <t>Annual Review of Fluid Mechanics</t>
  </si>
  <si>
    <t>plumes; ice; ocean; melting; cryosphere; climate</t>
  </si>
  <si>
    <t>PINE ISLAND GLACIER; VERTICALLY DISTRIBUTED SOURCE; SHELF BASAL CHANNELS; ANTARCTIC ICE SHELF; TIDEWATER GLACIERS; SUBMARINE MELT; TURBULENT ENTRAINMENT; WEST ANTARCTICA; SHEET RESPONSE; WATER-FLOW</t>
  </si>
  <si>
    <t>Buoyant plumes form when glacial ice melts directly into the ocean or when subglacial meltwater is discharged to the ocean at depth. They play a key role in regulating heat transport from the ocean to the ice front, and in exporting glacial meltwater to the open ocean. This review summarizes current understanding of the dynamics of these plumes, focusing on theoretical developments and their predictions for submarine melt rates. These predictions are sensitive to ocean temperature, the magnitude and spatial distribution of subglacial discharge, the ambient stratification, and, in the case of sub ice shelf plumes, the geometry of the ice shelf. However, current understanding relies heavily on parameterizations of melting and entrainment, for which there is little in the way of validation. New observational and experimental constraints are needed to elucidate the structure of the plumes and lend greater confidence to the models.</t>
  </si>
  <si>
    <t>[Hewitt, Ian J.] Univ Oxford, Math Inst, Oxford OX2 6GG, England</t>
  </si>
  <si>
    <t>Hewitt, IJ (corresponding author), Univ Oxford, Math Inst, Oxford OX2 6GG, England.</t>
  </si>
  <si>
    <t>hewitt@maths.ox.ac.uk</t>
  </si>
  <si>
    <t>0066-4189</t>
  </si>
  <si>
    <t>1545-4479</t>
  </si>
  <si>
    <t>978-0-8243-0752-3</t>
  </si>
  <si>
    <t>ANNU REV FLUID MECH</t>
  </si>
  <si>
    <t>Annu. Rev. Fluid Mech.</t>
  </si>
  <si>
    <t>10.1146/annurev-fluid-010719-060252</t>
  </si>
  <si>
    <t>Mechanics; Physics, Fluids &amp; Plasmas</t>
  </si>
  <si>
    <t>Mechanics; Physics</t>
  </si>
  <si>
    <t>BO2PT</t>
  </si>
  <si>
    <t>WOS:000507468800007</t>
  </si>
  <si>
    <t>Cejka, T; Nyvlt, D; Kopalová, K; Bulínová, M; Kavan, J; Lirio, JM; Coria, SH; van de Vijver, B</t>
  </si>
  <si>
    <t>Cejka, Tomas; Nyvlt, Daniel; Kopalova, Katerina; Bulinova, Marie; Kavan, Jan; Lirio, Juan M.; Coria, Silvia H.; van de Vijver, Bart</t>
  </si>
  <si>
    <t>Timing of the neoglacial onset on the North-Eastern Antarctic Peninsula based on lacustrine archive from Lake Anonima, Vega Island</t>
  </si>
  <si>
    <t>GLOBAL AND PLANETARY CHANGE</t>
  </si>
  <si>
    <t>Antarctic Peninsula; James Ross Archipelago; Multi-proxy; Lake record; Mid-late Holocene hypsithermal; Neoglacial</t>
  </si>
  <si>
    <t>JAMES-ROSS-ISLAND; SOUTH-SHETLAND-ISLANDS; KING-GEORGE-ISLAND; HOLOCENE GLACIAL HISTORY; ICE-SHELF; PALMER DEEP; ENVIRONMENTAL-CHANGES; LIVINGSTON-ISLAND; CONTINENTAL-SHELF; BRANSFIELD BASIN</t>
  </si>
  <si>
    <t>To understand the complexity of the climate patterns in the Holocene, it is necessary to build detailed chronologies that provide a holistic picture of the individual climate periods occurring in the polar regions. In this regard, here we present a completely new, C-14-dated and synchronised multi-proxy chronology from the Lake Ananima (Vega Island, north-eastern Antarctic Peninsula) that provides a unique insight into the Late Holocene environment. In particular, we aim to interpret the substantial environmental and climatic change between the mid-late Holocene Hypsithermal and Neoglacial periods using various geochemical (total organic carbon, X-ray fluorescence spectroscopy), petrophysical (magnetic susceptibility, laser granulometry) and biological (diatom biostratigraphy) proxies. The termination of the mid-late Holocene Hypsithermal, characterised by overall warmer climate with favourable conditions for biogenic productivity, is followed by the regional-scale Neoglacial period, distinctive by the onset of climate deterioration, decreased siliciclastic input, suppressed biogenic (diatom) productivity and low organic content. Based on a principal component analysis, a multi-proxy record provides the precise timing of the Neoglacial onset in the Lake Anonima record at 2050 (2 sigma: 1990-2130) cal. yrs BP. Applying an adjacent and correlative ice-core (James Ross Island ice cap, r = 0.42), as well as a composite lake sediment (Beak Island, r = 0.49) chronologies, our research provides a refined timing of the Neoglacial onset for the north-eastern Antarctic Peninsula, which is determined to be 2070 +/- 50 yrs. BP. Moreover, the Neoglacial onset was compared with other studies from respective parts of the Antarctic Peninsula.</t>
  </si>
  <si>
    <t>[Cejka, Tomas; Nyvlt, Daniel; Kavan, Jan] Masaryk Univ, Fac Sci, Dept Geog, Kotlarska 2, Brno 60200, Czech Republic; [Cejka, Tomas] Czech Acad Sci, Global Change Res Inst, Belidla 4a, Brno 60300, Czech Republic; [Kopalova, Katerina; Bulinova, Marie] Charles Univ Prague, Fac Sci, Dept Ecol, Vinicna 7, Prague 12844, Czech Republic; [Kopalova, Katerina] Acad Sci Czech Republ, Inst Bot, Sect Plant Ecol, Dukelska 135, CZ-37982 Trebon, Czech Republic; [Lirio, Juan M.; Coria, Silvia H.] Inst Antartico Argentino, Av 25 Mayo 1143,B1650HMK, Buenos Aires, DF, Argentina; [van de Vijver, Bart] Univ Antwerp, Dept Biol, ECOBE, Univ Pl 1, B-2610 Antwerp, Belgium; [van de Vijver, Bart] Bot Garden Meise, Res Dept, Nieuwelaan 38, B-1860 Nieuwelaan, Belgium</t>
  </si>
  <si>
    <t>Masaryk University Brno; Czech Academy of Sciences; Global Change Research Centre of the Czech Academy of Sciences; Charles University Prague; Czech Academy of Sciences; Institute of Botany of the Czech Academy of Sciences; Instituto Antartico Argentino; University of Antwerp</t>
  </si>
  <si>
    <t>Cejka, T (corresponding author), Masaryk Univ, Fac Sci, Dept Geog, Kotlarska 2, Brno 60200, Czech Republic.</t>
  </si>
  <si>
    <t>tomas.cejka.94@gmail.com</t>
  </si>
  <si>
    <t>Kopalová, Kateřina/M-6207-2017; Kavan, Jan/ACU-4986-2022; Nyvlt, Daniel/J-6504-2019; Cejka, Tomas/ABF-6787-2021</t>
  </si>
  <si>
    <t>Nyvlt, Daniel/0000-0002-6876-490X; Kavan, Jan/0000-0003-4524-3009; Cejka, Tomas/0000-0002-9254-8000</t>
  </si>
  <si>
    <t>Agencia Nacional de Promocion Cientifica y Tecnologica, Argentina [PICTO-2010-0096]; Charles University Research Centre, Czech Republic [204069]; Czech Science Foundation, Czech Republic [16-17346Y]; Instituto Antartico Argentino, Argentina; Ministry of Education, Youth and Sports of the Czech Republic, Czech Republic [LM2015078, CZ.02.1.01/0.0/0.0/16_013/0001708]; Masaryk University, Czech Republic [MUNI/A/1576/2018]</t>
  </si>
  <si>
    <t>Agencia Nacional de Promocion Cientifica y Tecnologica, Argentina(ANPCyT); Charles University Research Centre, Czech Republic; Czech Science Foundation, Czech Republic(Grant Agency of the Czech RepublicCzech Republic Government); Instituto Antartico Argentino, Argentina; Ministry of Education, Youth and Sports of the Czech Republic, Czech Republic; Masaryk University, Czech Republic(Czech Republic Government)</t>
  </si>
  <si>
    <t>This work has been supported by (1) Instituto Antartico Argentino, Argentina (logistic and financial support for the field campaign), (2) Agencia Nacional de Promocion Cientifica y Tecnologica, Argentina (PICTO-2010-0096, Estudios paleomagneticos y de magnetismo ambiental en el Holoceno, registrados en suelos y sedimentos lacustres del NE de la peninsula Antartica), (3) Charles University Research Centre, Czech Republic (No. 204069,), (4) The Czech Science Foundation, Czech Republic (No. 16-17346Y, The past is the key to the future: Ecology and Holocene evolution of freshwater diatom communities in the northern Antarctic Peninsula region), (5) Ministry of Education, Youth and Sports of the Czech Republic, Czech Republic (No. LM2015078, Czech Polar Research Infrastructure), (6) Ministry of Education, Youth and Sports of the Czech Republic, Czech Republic (No. CZ.02.1.01/0.0/0.0/16_013/0001708, Ecopolaris), (7) Masaryk University, Czech Republic (MUNI/A/1576/2018, Integrated research of environmental changes in the landscape sphere III). Special gratitude goes to Dr. Mieke Sterken and Dr. Steve Roberts for providing the data, and two journal reviewers for valuable comments, which significantly improved this paper.</t>
  </si>
  <si>
    <t>0921-8181</t>
  </si>
  <si>
    <t>1872-6364</t>
  </si>
  <si>
    <t>GLOBAL PLANET CHANGE</t>
  </si>
  <si>
    <t>Glob. Planet. Change</t>
  </si>
  <si>
    <t>10.1016/j.gloplacha.2019.103050</t>
  </si>
  <si>
    <t>KE3XD</t>
  </si>
  <si>
    <t>WOS:000508491500004</t>
  </si>
  <si>
    <t>De Deckker, P</t>
  </si>
  <si>
    <t>De Deckker, Patrick</t>
  </si>
  <si>
    <t>Airborne dust traffic from Australia in modern and Late Quaternary times</t>
  </si>
  <si>
    <t>Potential source area; Sr isotopes; Nd isotopes; Pb isotopes; Westerlies; LGM; Antarctic ice cores; Geochemical fingerprinting</t>
  </si>
  <si>
    <t>MURRAY-DARLING BASIN; LAST GLACIAL MAXIMUM; DOME ICE CORE; EASTERN AUSTRALIA; CLIMATE-CHANGE; AEOLIAN DUST; TRANSPORT PATHWAYS; NEW-ZEALAND; GLACIAL/INTERGLACIAL CHANGES; LATE PLEISTOCENE</t>
  </si>
  <si>
    <t>A review is provided of first-documented occurrences of dust transport within Australia for the last century, but which later on were considerably improved as a result of access to satellite observations and extensive ground observations. This was followed by the use of the HYSPLIT tracking models that enabled people to determine the major sources of dust in Australia. As a result of several important studies, the Lake Eyre Basin in central Australia is now considered to be the main source of dust entrainment, although other regions do contribute to dust production. This is followed by examination of the occurrence over the last few decades of dust transport and deposition within Australia and across the Tasman Sea, with dust being deposited even as far as New Zealand. After that, consideration is given to the deposition of dust not only at sea around Australia but also in New Zealand during the Holocene and Late Quaternary. As a consequence of these observations, a shift in the direction of dust plumes exiting Australia is noted. For example, during the Last Glacial Maximum (LGM), a substantial northerly shift of the Trans-Tasman dust plume is recorded and this coincides with stronger westerlies and an equatorward shift of oceanic fronts such as the Intertropical Convergence and Subpolar and Antarctic Fronts that were located closer to Australia compared to today. Strengthening of the winds during the LGM may have prevented dust plumes from travelling over the southern part of the Tasman Sea, even perhaps reaching Antarctica. Examination of the dust components in cores in the western Pacific Ocean would address this question. The second part of the paper examines the geochemical fingerprints of dusts from Australia, South America and those recovered from Antarctic ice cores. Examination of atmospheric conditions that prevailed in the Southern Ocean around Antarctica during a major dust storm event that occurred in Australia in October 2002 helps identify how dust can be entrained around cold fronts and eventually reach the Antarctic mainland. Once again, it appears that Australian dust did travel as far as Antarctica more frequently during the Holocene, than prior to that time. New Zealand as a dust source to some Antarctic sites is also discussed. Examination of the isotopic fingerprints in Antarctic ice cores point to South America being the main source of dust during the Last Glacial Maximum and previous glacial periods, with intermittent occurrences likely to have come from Australia and New Zealand as well. It is postulated that Australian dust plumes did travel mostly over the Tasman Sea, and eventually over the western Pacific Ocean during the LGM, and frequently less so towards Tasmania and the Southern Ocean as a result of the strengthening of the westerlies and their northward shift. It transpires that the dust flux from Australia was much higher during the glacial periods. It appears also that the dust plumes that traverse the eastern Indian Ocean remained unchanged during the LGM. Finally, this paper concludes by identifying that there is a need to either obtain larger dust samples from ice cores, or use more elaborate analytical techniques to combine more than two isotopes to fingerprint the origin of dusts recovered in ice cores. Perhaps a combination of not only isotopes, but also rare earth elements and major elements would eventually provide a better definition of atmospheric circulation in the Southern Hemisphere for comparison between glacial and interglacial periods.</t>
  </si>
  <si>
    <t>[De Deckker, Patrick] Australian Natl Univ, Res Sch Earth Sci, Canberra, ACT 2601, Australia</t>
  </si>
  <si>
    <t>Australian National University</t>
  </si>
  <si>
    <t>De Deckker, P (corresponding author), Australian Natl Univ, Res Sch Earth Sci, Canberra, ACT 2601, Australia.</t>
  </si>
  <si>
    <t>patrick.dedeckker@anu.edu.au</t>
  </si>
  <si>
    <t>Australian Research Council [DP DP0772180]</t>
  </si>
  <si>
    <t>Australian Research Council(Australian Research Council)</t>
  </si>
  <si>
    <t>Many of the chemical analyses of the Australian dust samples were performed during the tenure of an Australian Research Council Discovery grant DP DP0772180. Dr. Marc Norman performed many of those analyses. Mrs. Judith Shelley is thanked for her critical reading of a final version of the manuscript. The paper also benefited much from the pertinent criticisms made by two anonymous reviewers of a previous manuscript dealing with the geochemical interpretation of Australian PSAs and their link with dust recovered in Antarctic cores. I am also grateful to Professor Nigel Tapper for discussions on atmospheric circulation in the Australian region and its Antarctic sector, but the interpretation and discussion presented here are entirely my responsibility. Many of the chemical analyses of the Australian dust samples were performed during the tenure of an Australian Research Council</t>
  </si>
  <si>
    <t>10.1016/j.gloplacha.2019.103056</t>
  </si>
  <si>
    <t>WOS:000508491500023</t>
  </si>
  <si>
    <t>Jimenez-Espejo, FJ; Presti, M; Kuhn, G; Mckay, R; Crosta, X; Escutia, C; Lucchi, RG; Tolotti, R; Yoshimura, T; Huertas, MO; Macrí, P; Caburlotto, A; De Santis, L</t>
  </si>
  <si>
    <t>Jimenez-Espejo, Francisco J.; Presti, Massimo; Kuhn, Gerhard; Mckay, Robert; Crosta, Xavier; Escutia, Carlota; Lucchi, Renata G.; Tolotti, Raffaella; Yoshimura, Toshihiro; Ortega Huertas, Miguel; Macri, Patrizia; Caburlotto, Andrea; De Santis, Laura</t>
  </si>
  <si>
    <t>Late Pleistocene oceanographic and depositional variations along the Wilkes Land margin (East Antarctica) reconstructed with geochemical proxies in deep-sea sediments</t>
  </si>
  <si>
    <t>Wilkes Land; Glaciation; Antarctic Bottom Water; Redox; Manganese</t>
  </si>
  <si>
    <t>BOTTOM-WATER FORMATION; RELATIVE GEOMAGNETIC PALEOINTENSITY; SOUTHERN-OCEAN SEDIMENTS; MAJOR DIATOM TAXA; ICE-SHEET; CONTINENTAL-MARGIN; ADELIE LAND; MARINE-SEDIMENTS; NORTH-ATLANTIC; DOWNSLOPE FLOWS</t>
  </si>
  <si>
    <t>Water masses and depositional environments over the last 500 ka were reconstructed using absolute and relative abundances of lithogenous, biogenous and redox-sensitive elements in four sediment cores from two channel-levee systems of the Wilkes Land continental slope (East Antarctica). Sediments older than the Mid-Bruhnes event (MBE, 430 ka BP) show reduced glacial/interglacial variability in the abundance of elements associated to the terrigenous mineral phases (Le. Al, Ti, Fe and partly Si). This suggests minor ice-sheet size changes occurred in the Antarctic margin during the pre-MBE lukewarm interval. Post-MBE sediments record instead a high variability between glacial and interglacial periods in the concentration of terrigenous and biogenous (i.e. Ca, Ba) elements suggesting larger amplitude changes in both ice-sheet size and ocean conditions toward the gradual establishment of last glacial cycle conditions. Moreover, a marked increase of Mn during the glacial to interglacial transitions, indicates a post-depositional migration of the redox front and re-oxidation of the surface sediment layers linked to major changes in bottom water oxygen conditions associated to Antarctic Bottom Water formation along the margin at the onset of deglaciations.</t>
  </si>
  <si>
    <t>[Jimenez-Espejo, Francisco J.; Escutia, Carlota] UGR, CSIC, Inst Andaluz Ciencias Tierra, Armilla, Spain; [Jimenez-Espejo, Francisco J.; Yoshimura, Toshihiro] Japan Agcy Marine Earth Sci &amp; Technol JAMSTEC, Dept Biogeochem, Yokosuka, Kanagawa, Japan; [Presti, Massimo; Lucchi, Renata G.; Caburlotto, Andrea; De Santis, Laura] Ist Nazl Oceanog &amp; Geofis Sperimentale OGS, Trieste, Italy; [Kuhn, Gerhard] Alfred Wegener Inst Helmholtz Zentrum Polar &amp; Mee, Bremerhaven, Germany; [Mckay, Robert] Victoria Univ Wellington, Antarctic Res Ctr, Wellington, New Zealand; [Crosta, Xavier] Univ Bordeaux, UMR CNRS EPOC 5805, Bordeaux, France; [Tolotti, Raffaella] Univ Genoa, DISTAV, Genoa, Italy; [Ortega Huertas, Miguel] Univ Granada, Dept Mineral &amp; Petrol, Granada, Spain; [Macri, Patrizia] INGV, Rome, Italy</t>
  </si>
  <si>
    <t>University of Granada; Consejo Superior de Investigaciones Cientificas (CSIC); CSIC - Instituto Andaluz de Ciencias de la Tierra (IACT); Japan Agency for Marine-Earth Science &amp; Technology (JAMSTEC); Istituto Nazionale di Oceanografia e di Geofisica Sperimentale; Helmholtz Association; Alfred Wegener Institute, Helmholtz Centre for Polar &amp; Marine Research; Victoria University Wellington; Universite de Bordeaux; University of Genoa; University of Granada; Istituto Nazionale Geofisica e Vulcanologia (INGV)</t>
  </si>
  <si>
    <t>Jimenez-Espejo, FJ (corresponding author), UGR, CSIC, Inst Andaluz Ciencias Tierra, Armilla, Spain.</t>
  </si>
  <si>
    <t>fjjspejo@ugr.es</t>
  </si>
  <si>
    <t>Jimenez-Espejo, Francisco J./AAR-2318-2020; Macrì, Patrizia/ABD-2144-2021; Jimenez-Espejo, Francisco J/F-4486-2016; Escutia, Carlota/B-8614-2015; Ortega Huertas, Miguel/M-2188-2014</t>
  </si>
  <si>
    <t>Macrì, Patrizia/0000-0003-2287-4019; Jimenez-Espejo, Francisco J/0000-0002-0335-8580; Escutia, Carlota/0000-0002-4932-8619; caburlotto, andrea/0000-0001-7259-6884; Lucchi, Renata Giulia/0000-0001-5111-6968; McKay, Robert/0000-0002-5602-6985; De Santis, Laura/0000-0002-7752-7754; Ortega Huertas, Miguel/0000-0002-8958-1061</t>
  </si>
  <si>
    <t>EC Human Resources and Mobility Activity - Marie Curie European Re-Integration Grant (ERG) HoloSed [039566]; Ministry of Science and Innovation - European Regional Development Fund (FEDER) [CTM2017-89711-C2-1-P]; JAMSTEC-MEXT; Royal Society Te Aparangi (NZ) Marsden Fund [18-VUW-089]</t>
  </si>
  <si>
    <t>EC Human Resources and Mobility Activity - Marie Curie European Re-Integration Grant (ERG) HoloSed; Ministry of Science and Innovation - European Regional Development Fund (FEDER); JAMSTEC-MEXT; Royal Society Te Aparangi (NZ) Marsden Fund</t>
  </si>
  <si>
    <t>All scientific participants are thanked for shipboard collaboration in the data collection and post-cruise discussions and sample management. U1361 samples were provided by the Integrated Ocean Drilling Programme, Expedition 318. WEGA and MOGAM core samples were provided by the Italian Programma Nazionale di Ricerche in Antartide, Antarctic Expeditions 2000 and 2006. MD03-2603 core samples were provided by the Images X-CADO programme. MP acknowledges the EC Human Resources and Mobility Activity - Marie Curie European Re-Integration Grant (ERG) HoloSed, Contract 039566. CE and FJJE acknowledge funding from the Ministry of Science and Innovation Grants CTM2017-89711-C2-1-P co-financed by the European Regional Development Fund (FEDER). FJJE acknowledges JAMSTEC-MEXT support. RM was funded by the Royal Society Te Aparangi (NZ) Marsden Fund (18-VUW-089). CT-Scanning was carried out at the Division of Petrophysics of ENI, San Donato Milanese. This paper is a contribution to the SCAR PAIS Programme.</t>
  </si>
  <si>
    <t>10.1016/j.gloplacha.2019.103045</t>
  </si>
  <si>
    <t>WOS:000508491500010</t>
  </si>
  <si>
    <t>Détrée, C; Ortiz, A; Navarro, JM</t>
  </si>
  <si>
    <t>Detree, Camille; Ortiz, Alejandro; Navarro, Jorge M.</t>
  </si>
  <si>
    <t>Combined effects of warming and freshening on the physiological energetics of the edible whelk Trophon geversianus</t>
  </si>
  <si>
    <t>OCEAN ACIDIFICATION; CLIMATE-CHANGE; TEMPERATURE; SALINITY; GASTROPOD; GROWTH; MOLLUSCA; BIVALVIA; OXYGEN; STRESS</t>
  </si>
  <si>
    <t>The interacting effects of climate change pressures and human use of natural resources are increasingly affecting marine biodiversity. Variations in key abiotic factors such as temperature and salinity may therefore negatively influence marine organisms that are already threatened by intensive fisheries. Herein, we tested the hypothesis that future ocean warming and freshening will affect the fitness and survival of the overexploited snail Trophon geversianus in Southern Patagonia. To test this hypothesis, we investigated the effect of a 50 day incubation period of five temperatures (1, 5, 9, 12 and 15 degrees C) and two salinities (25 and 30 psu), (which correspond to current and projected conditions for Antarctic and Sub-Antarctic regions), on the physiological energetics (ingestion rate, absorption efficiency, oxygen uptake and scope for growth (SFG)) of the edible whelk T. geversianus. Our results showed no significant effects for salinity or the combination of temperature and salinity on T. geversianus bioenergetics. On the contrary, incubation at low temperatures (1 and 5 degrees C) was shown to affect the ingestion rate, absorption efficiency, oxygen uptake and SFG for T. geversianus, whereas for specimens incubated at 12 and 15 degrees C, physiological rates remained similar to control. Our data suggests that T. geversianus might be robust to warming and future variations of salinity, but longer term experiments are needed to ensure that no reduction of performance will occur after an extended incubation time from an increase in temperature.</t>
  </si>
  <si>
    <t>[Detree, Camille; Ortiz, Alejandro; Navarro, Jorge M.] Univ Austral Chile, Fac Ciencias, Inst Ciencias Marinas &amp; Limnol, Valdivia, Chile; [Detree, Camille; Ortiz, Alejandro; Navarro, Jorge M.] Univ Austral Chile, Ctr FONDAP Invest Ecosistemas Marinos Altas Latit, Valdivia, Chile</t>
  </si>
  <si>
    <t>Navarro, JM (corresponding author), Univ Austral Chile, Fac Ciencias, Inst Ciencias Marinas &amp; Limnol, Valdivia, Chile.</t>
  </si>
  <si>
    <t>jnavarro@uach.cl</t>
  </si>
  <si>
    <t>Detree, Camille/P-7073-2019</t>
  </si>
  <si>
    <t>Detree, Camille/0000-0001-5518-2380; ORTIZ, ALEJANDRO/0000-0001-5413-0503</t>
  </si>
  <si>
    <t>Center FONDAP-IDEAL - CONICYT-Chile [15150003]; FONDECYT [1161420]</t>
  </si>
  <si>
    <t>Center FONDAP-IDEAL - CONICYT-Chile; FONDECYT(Comision Nacional de Investigacion Cientifica y Tecnologica (CONICYT)CONICYT FONDECYT)</t>
  </si>
  <si>
    <t>Funding was provided by Center FONDAP-IDEAL #15150003 awarded by CONICYT-Chile. Additional support came from FONDECYT Grant 1161420 to JMN. We want to thank Jean-Charles Leclerc for lending his computer with access to the PRIMER software.</t>
  </si>
  <si>
    <t>10.1016/j.marenvres.2019.104840</t>
  </si>
  <si>
    <t>KE7ZN</t>
  </si>
  <si>
    <t>WOS:000508769700017</t>
  </si>
  <si>
    <t>Zwerschke, N; Eagling, L; Roberts, D; O'Connor, N</t>
  </si>
  <si>
    <t>Zwerschke, Nadescha; Eagling, Lawrence; Roberts, Dai; O'Connor, Nessa</t>
  </si>
  <si>
    <t>Can an invasive species compensate for the loss of a declining native species? Functional similarity of native and introduced oysters</t>
  </si>
  <si>
    <t>Functional traits; Nutrient cycling; Invasive species; Biodiversity; Bioengineers; Temperate estuary; Intertidal; Benthic-pelagic coupling; Oysters</t>
  </si>
  <si>
    <t>MYTILUS-EDULIS L.; CRASSOSTREA-GIGAS; FRESH-WATER; ECOSYSTEM; IMPACTS; TEMPERATURE; EUTROPHICATION; GAMETOGENESIS; CONSERVATION; BIODIVERSITY</t>
  </si>
  <si>
    <t>The widespread introduction of the Pacific oyster, Magallana gigas, has raised concerns regarding its potential impact on the functioning of invaded ecosystems. Concurrently, populations of the European oyster, Ostrea edulis, are in decline. We quantified the functional role of the native oyster, O. edulis, in terms of nutrient cycling and associated infaunal biodiversity and compared it directly to that of the invading oyster, M. gigas. The presence and density of both species were manipulated in the field and we tested for differences in concentration of ammonium, phosphate, total oxidised nitrogen and silicate in pore-water; total organic nitrogen and carbon in sediment; microbial activity; chlorophyll concentration; and the assemblage structure and richness of associated benthic taxa. No differences in nutrient cycling rates or associated benthic assemblages were identified between both oyster species. Nutrient concentrations were mostly affected by differences in oyster density and their significance varied among sampling events. Our findings suggest that M. gigas could compensate for the loss of ecosystem functions performed by O. edulis in areas where native oysters have been extirpated.</t>
  </si>
  <si>
    <t>[Zwerschke, Nadescha; Eagling, Lawrence; Roberts, Dai] Queens Univ, Marine Lab, 12-13 Strand, Portaferry BT22 1PF, England; [Roberts, Dai; O'Connor, Nessa] Queens Univ Belfast, Sch Biol Sci, Belfast BT9 7BL, Antrim, North Ireland; [Zwerschke, Nadescha] British Antarctic Survey, Madingley Rd, Cambridge CB3 0ET, England; [O'Connor, Nessa] Trinity Coll Dublin, Sch Nat Sci, Zool Bldg, Dublin, Ireland</t>
  </si>
  <si>
    <t>Queens University Belfast; Queens University Belfast; UK Research &amp; Innovation (UKRI); Natural Environment Research Council (NERC); NERC British Antarctic Survey; Trinity College Dublin</t>
  </si>
  <si>
    <t>Zwerschke, N (corresponding author), Queens Univ, Marine Lab, 12-13 Strand, Portaferry BT22 1PF, England.;Zwerschke, N (corresponding author), British Antarctic Survey, Madingley Rd, Cambridge CB3 0ET, England.</t>
  </si>
  <si>
    <t>nzwerschke01@qub.ac.uk</t>
  </si>
  <si>
    <t>Zwerschke, Nadescha/AAK-8685-2021</t>
  </si>
  <si>
    <t>Zwerschke, Nadescha/0000-0003-4099-8269; O'Connor, Nessa/0000-0002-3133-0913</t>
  </si>
  <si>
    <t>European Union [2859]; Royal Society [RG 120432]; NERC [dml011000] Funding Source: UKRI</t>
  </si>
  <si>
    <t>European Union(European Union (EU)); Royal Society(Royal Society); NERC(UK Research &amp; Innovation (UKRI)Natural Environment Research Council (NERC))</t>
  </si>
  <si>
    <t>We would like to thank Danni Green for showing us the ropes on nutrient cycling and Ciaran McGonigle, Aaron Buick, Rico Santiago and Jennifer Dodd from the Loughs Agency and Siobhan Vye, Julia Calderwood, Liz Ashton, Natasha Phillips, Aoife Leonnard, Rachel Green, Fergal Glynn and Brendan McNamara from Queen's University Belfast for their tremendous help during the implementation and monitoring of the experiment. We would also like to thank one anonymous reviewer whose comments improved this manuscript. This project 2859 supported by the European Union's INTERREG IV Programme managed by the Special EU Programmes Body (www.seupb.eu).NEO was also funded by a Royal Society Research Grant (RG 120432).</t>
  </si>
  <si>
    <t>10.1016/j.marenvres.2019.104793</t>
  </si>
  <si>
    <t>WOS:000508769700002</t>
  </si>
  <si>
    <t>Sharples, C; Walford, H; Watson, C; Ellison, JC; Hua, Q; Bowden, N; Bowman, D</t>
  </si>
  <si>
    <t>Sharples, Chris; Walford, Hannah; Watson, Christopher; Ellison, Joanna C.; Hua, Quan; Bowden, Nick; Bowman, David</t>
  </si>
  <si>
    <t>Ocean Beach, Tasmania: A swell-dominated shoreline reaches climate-induced recessional tipping point?</t>
  </si>
  <si>
    <t>MARINE GEOLOGY</t>
  </si>
  <si>
    <t>Beach processes; Sea level change; Australia and New Zealand; Spatial analysis; Erosion; Recession</t>
  </si>
  <si>
    <t>SEA-LEVEL RISE; WAVE CLIMATE; TRENDS; VARIABILITY; RADIOCARBON; EROSION; CYCLE</t>
  </si>
  <si>
    <t>Global sea-level rise since the Nineteenth Century is expected to eventually cause recession of many shores, however most swell-exposed sandy beaches have not yet shown such response. This study analysed a 70-year air photo and beach profile record for swell-dominated Ocean Beach (western Tasmania) to show an abrupt change of long-term shoreline position variability circa 1980, from episodic erosion and accretion since at least 1947 to persistent recession with no recovery up to the present. Dating of back-dune peats exposed in the dune scarp showed that recent shoreline recession exceeds any in the last 1800 years. Investigation of potential causes identified recent-onset sea-level rise (SLR) on a tectonically-stable coast and increasing winds driving increased wave-setup as drivers with sufficient explanatory power to account for the observed changes, although data limitations and residual uncertainties mean additional contributing factors such as interdecadal wave direction changes cannot be ruled out. We hypothesise that Ocean Beach has experienced earlier recession in response to SLR and other climate change effects than many other beaches owing to exposure to a very high-energy storm-dominated wave climate, littoral drift efficiently delivering eroded sand to a large-capacity active sand sink, and low variability in swell-wave directions and inter-annual sea-levels. We hypothesise that sea-level rise with higher onshore wind speeds generating increased wave setup at Ocean Beach since before the 1980s has increased upper beach erosion event frequency until the formerly stable or gaining sand budget reversed to deficit. A major storm or storm cluster abruptly tipped the beach into its current recessional mode when its sand budget was close to deficit. Factors causing an early shoreline response to sea-level rise at this site are applicable more widely as potential indicators of beaches likely to respond earlier than others to climate-induced changes including not only SLR but also wind climate changes.</t>
  </si>
  <si>
    <t>[Sharples, Chris; Walford, Hannah; Watson, Christopher] Univ Tasmania, Sch Technol Environm &amp; Design, Private Bag 78, Hobart, Tas 7001, Australia; [Ellison, Joanna C.] Univ Tasmania, Sch Technol Environm &amp; Design, Locked Bag 1370, Launceston, Tas 7250, Australia; [Hua, Quan] Australian Nucl Sci &amp; Technol Org, Locked Bag 2001, Kirrawee Dc, NSW 2232, Australia; [Bowden, Nick] Antarctic Climate &amp; Ecosyst Cooperat Res Ctr, Private Bag 80, Hobart, Tas 7001, Australia; [Bowman, David] Univ Tasmania, Sch Nat Sci, Private Bag 55, Hobart, Tas 7001, Australia</t>
  </si>
  <si>
    <t>University of Tasmania; University of Tasmania; Australian Nuclear Science &amp; Technology Organisation; Antarctic Climate &amp; Ecosystems Cooperative Research Centre (ACE CRC); University of Tasmania</t>
  </si>
  <si>
    <t>Sharples, C (corresponding author), Univ Tasmania, Sch Technol Environm &amp; Design, Private Bag 78, Hobart, Tas 7001, Australia.</t>
  </si>
  <si>
    <t>Chris.Sharples@utas.edu.au</t>
  </si>
  <si>
    <t>Bowman, David M.J.S./A-2930-2011; Ellison, Joanna/C-2372-2014</t>
  </si>
  <si>
    <t>Bowman, David M.J.S./0000-0001-8075-124X; Ellison, Joanna/0000-0003-0692-8347</t>
  </si>
  <si>
    <t>University of Tasmania, Australia; Antarctic Climate and Ecosystems Cooperative Research Centre (ACE-CRC) at the University of Tasmania, Australia; ANSTO Research Portal [10649]; Australian Government for the Centre for Accelerator Science at ANSTO (Australia) through the National Collaborative Research Infrastructure Strategy (NCRIS)</t>
  </si>
  <si>
    <t>University of Tasmania, Australia; Antarctic Climate and Ecosystems Cooperative Research Centre (ACE-CRC) at the University of Tasmania, Australia; ANSTO Research Portal; Australian Government for the Centre for Accelerator Science at ANSTO (Australia) through the National Collaborative Research Infrastructure Strategy (NCRIS)</t>
  </si>
  <si>
    <t>Much of the research reported here was undertaken by Chris Sharples with post-graduate research funding provided by the University of Tasmania, Australia. Most of the air photos used were supplied without charge for research purposes by the Tasmanian Department of Primary Industries, Parks, Water &amp; Environment (DPIPWE). We thank Peter Devine and Malcolm Crawford (DPIPWE) for their assistance in accessing historic air photos.; Annual surveys (2011 to 2018) of the three TASMARC beach profile transects were supported by funding provided by the Antarctic Climate and Ecosystems Cooperative Research Centre (ACE-CRC) at the University of Tasmania, Australia.; AMS 14C dating of peat samples was supported by ANSTO Research Portal (grant #10649 to Professor David Bowman). We acknowledge the financial support from the Australian Government for the Centre for Accelerator Science at ANSTO (Australia) through the National Collaborative Research Infrastructure Strategy (NCRIS).</t>
  </si>
  <si>
    <t>0025-3227</t>
  </si>
  <si>
    <t>1872-6151</t>
  </si>
  <si>
    <t>MAR GEOL</t>
  </si>
  <si>
    <t>Mar. Geol.</t>
  </si>
  <si>
    <t>10.1016/j.margeo.2019.106081</t>
  </si>
  <si>
    <t>Geosciences, Multidisciplinary; Oceanography</t>
  </si>
  <si>
    <t>Geology; Oceanography</t>
  </si>
  <si>
    <t>KE3WU</t>
  </si>
  <si>
    <t>WOS:000508490400019</t>
  </si>
  <si>
    <t>Woolley, SNC; Foster, SD; Bax, NJ; Currie, JC; Dunn, DC; Hansen, C; Hill, N; O'Hara, TD; Ovaskainen, O; Sayre, R; Vanhatalo, JP; Dunstan, PK</t>
  </si>
  <si>
    <t>Woolley, Skipton N. C.; Foster, Scott D.; Bax, Nicholas J.; Currie, Jock C.; Dunn, Daniel C.; Hansen, Cecilie; Hill, Nicole; O'Hara, Timothy D.; Ovaskainen, Otso; Sayre, Roger; Vanhatalo, Jarno P.; Dunstan, Piers K.</t>
  </si>
  <si>
    <t>Bioregions in Marine Environments: Combining Biological and Environmental Data for Management and Scientific Understanding</t>
  </si>
  <si>
    <t>BIOSCIENCE</t>
  </si>
  <si>
    <t>biogeography; community ecology; statistics; marine biology</t>
  </si>
  <si>
    <t>GENERALIZED LINEAR-MODELS; POINT PROCESS MODELS; SPECIES DISTRIBUTION; BIAS CORRECTION; BIODIVERSITY; IMPLEMENTATION; PREDICTIONS; ECOREGIONS; FRAMEWORK; REGIONS</t>
  </si>
  <si>
    <t>Bioregions are important tools for understanding and managing natural resources. Bioregions should describe locations of relatively homogenous assemblages of species occur, enabling managers to better regulate activities that might affect these assemblages. Many existing bioregionalization approaches, which rely on expert-derived, Delphic comparisons or environmental surrogates, do not explicitly include observed biological data in such analyses. We highlight that, for bioregionalizations to be useful and reliable for systems scientists and managers, the bioregionalizations need to be based on biological data; to include an easily understood assessment of uncertainty, preferably in a spatial format matching the bioregions; and to be scientifically transparent and reproducible. Statistical models provide a scientifically robust, transparent, and interpretable approach for ensuring that bioregions are formed on the basis of observed biological and physical data. Using statistically derived bioregions provides a repeatable framework for the spatial representation of biodiversity at multiple spatial scales. This results in better-informed management decisions and biodiversity conservation outcomes.</t>
  </si>
  <si>
    <t>[Woolley, Skipton N. C.; Bax, Nicholas J.; Dunstan, Piers K.] CSIRO, Oceans &amp; Atmospheres, Hobart, Tas, Australia; [Foster, Scott D.] CSIRO, Data61, Hobart, Tas, Australia; [Bax, Nicholas J.; Hill, Nicole] Univ Tasmania, Inst Marine &amp; Antarctic Studies, Hobart, Tas, Australia; [Currie, Jock C.] Nelson Mandela Univ, Cape Town, South Africa; [Currie, Jock C.] South African Natl Biodivers Inst, Cape Town, South Africa; [Dunn, Daniel C.] Duke Univ, Marine Geospatial Ecol Lab, Durham, NC USA; [Hansen, Cecilie] Inst Marine Res, Bergen, Norway; [O'Hara, Timothy D.] Museums Victoria, Melbourne, Vic, Australia; [Ovaskainen, Otso; Vanhatalo, Jarno P.] Univ Helsinki, Organismal &amp; Evolutionary Biol Res Progamme, Helsinki, Finland; [Ovaskainen, Otso] Norwegian Univ Sci &amp; Technol, Dept Biol, Ctr Biodivers Dynam, Trondheim, Norway; [Sayre, Roger] US Geol Survey, Land Change Sci Program, 959 Natl Ctr, Reston, VA 22092 USA; [Vanhatalo, Jarno P.] Univ Helsinki, Dept Math &amp; Stat, Helsinki, Finland</t>
  </si>
  <si>
    <t>Commonwealth Scientific &amp; Industrial Research Organisation (CSIRO); Commonwealth Scientific &amp; Industrial Research Organisation (CSIRO); University of Tasmania; Nelson Mandela University; South African National Biodiversity Institute; Duke University; Institute of Marine Research - Norway; Melbourne Genomics Health Alliance; University of Helsinki; Norwegian University of Science &amp; Technology (NTNU); United States Department of the Interior; United States Geological Survey; University of Helsinki</t>
  </si>
  <si>
    <t>Woolley, SNC (corresponding author), CSIRO, Oceans &amp; Atmospheres, Hobart, Tas, Australia.</t>
  </si>
  <si>
    <t>skip.woolley@csiro.au</t>
  </si>
  <si>
    <t>Dunstan, Piers K/B-7309-2016; Ovaskainen, Otso/AGN-4838-2022; Ovaskainen, Otso/D-9119-2012; Bax, Nicholas J/A-2321-2012; Foster, Scott/E-9311-2010</t>
  </si>
  <si>
    <t>Ovaskainen, Otso/0000-0001-9750-4421; Ovaskainen, Otso/0000-0001-9750-4421; O'Hara, Timothy/0000-0003-0885-6578; Foster, Scott/0000-0002-6719-8002; Woolley, Skipton/0000-0001-7022-0509</t>
  </si>
  <si>
    <t>Global Ocean Biodiversity Initiative (GOBI); International Climate Initiative; German Federal Ministry for the Environment, Nature Conservation, and Nuclear Safety; EAF-Nansen scientific program; Marine Biodiversity Hub through Australian Government's National Environmental Science Program; Academy of Finland [273253, 284601, 1304531, 1317255]; Research Council of Norway (SFF-III grant) [223257]; Jane and Aatos Erkko Foundation; GOBI; Academy of Finland (AKA) [273253] Funding Source: Academy of Finland (AKA)</t>
  </si>
  <si>
    <t>Global Ocean Biodiversity Initiative (GOBI); International Climate Initiative; German Federal Ministry for the Environment, Nature Conservation, and Nuclear Safety; EAF-Nansen scientific program; Marine Biodiversity Hub through Australian Government's National Environmental Science Program; Academy of Finland(Research Council of Finland); Research Council of Norway (SFF-III grant)(Research Council of Norway); Jane and Aatos Erkko Foundation; GOBI; Academy of Finland (AKA)</t>
  </si>
  <si>
    <t>The Statistical Bioregional Workshop that facilitated this work was funded by the Global Ocean Biodiversity Initiative (GOBI). GOBI is supported by the International Climate Initiative. The German Federal Ministry for the Environment, Nature Conservation, and Nuclear Safety supports this initiative on the basis of a decision adopted by the German Bundestag. SNCW was supported by GOBI. CH was supported by the EAF-Nansen scientific program. NJB was supported by the Marine Biodiversity Hub through funding from the Australian Government's National Environmental Science Program. JV acknowledges the funding by the Academy of Finland (grant no. 1304531 and no. 1317255). OO acknowledges funding by the Academy of Finland (grants no. 273253 and no. 284601), by the Research Council of Norway (SFF-III grant no. 223257), and by the Jane and Aatos Erkko Foundation (a grant to the Research Centre for Ecological Change).</t>
  </si>
  <si>
    <t>0006-3568</t>
  </si>
  <si>
    <t>1525-3244</t>
  </si>
  <si>
    <t>Bioscience</t>
  </si>
  <si>
    <t>10.1093/biosci/biz133</t>
  </si>
  <si>
    <t>KD8ML</t>
  </si>
  <si>
    <t>WOS:000508115600010</t>
  </si>
  <si>
    <t>Loh, TY; Brito, MP; Bose, N; Xu, JJ; Nikolova, N; Tenekedjiev, K</t>
  </si>
  <si>
    <t>Loh, Tzu Yang; Brito, Mario P.; Bose, Neil; Xu, Jingjing; Nikolova, Natalia; Tenekedjiev, Kiril</t>
  </si>
  <si>
    <t>A Hybrid Fuzzy System Dynamics Approach for Risk Analysis of AUV Operations</t>
  </si>
  <si>
    <t>JOURNAL OF ADVANCED COMPUTATIONAL INTELLIGENCE AND INTELLIGENT INFORMATICS</t>
  </si>
  <si>
    <t>autonomous underwater vehicle; hybrid system dynamics; fuzzy set theory; risk analysis</t>
  </si>
  <si>
    <t>UNDERWATER VEHICLES</t>
  </si>
  <si>
    <t>The maturing of autonomous technology has fostered a rapid expansion in the use of Autonomous Underwater Vehicles (AUVs). To prevent the loss of AUVs during deployments, existing risk analysis approaches tend to focus on technicalities, historical data and experts' opinion for probability quantification. However, data may not always be available and the complex interrelationships between risk factors are often neglected due to uncertainties. To overcome these shortfalls, a hybrid fuzzy system dynamics risk analysis (FuSDRA) is proposed. The approach utilises the strengths while overcoming limitations of both system dynamics and fuzzy set theory. Presented as a three-step iterative framework, the approach was applied on a case study to examine the impact of crew operating experience on the risk of AUV loss. Results showed not only that initial experience of the team affects the risk of loss, but any loss of experience in earlier stages of the AUV program have a lesser impact as compared to later stages. A series of risk control policies were recommended based on the results. The case study demonstrated how the FuSDRA approach can be applied to inform human resource and risk management strategies, or broader application within the AUV domain and other complex technological systems.</t>
  </si>
  <si>
    <t>[Loh, Tzu Yang; Nikolova, Natalia; Tenekedjiev, Kiril] Univ Tasmania, Australian Maritime Coll, 1 Maritime Way, Launceston, Tas 7250, Australia; [Brito, Mario P.] Univ Southampton, Southampton Business Sch, Bldg 2,12 Univ Rd, Southampton SO17 1BJ, Hants, England; [Bose, Neil] Mem Univ Newfoundland, 230 Elizabeth Ave, St John, NF A1C 5S7, Canada; [Xu, Jingjing] Univ Plymouth, Fac Business, Cookworthy Bldg, Plymouth PL4 8AA, Devon, England; [Nikolova, Natalia; Tenekedjiev, Kiril] Nikola Vaptsarov Naval Acad, 73 Vasil Drumev St, Varna 9026, Bulgaria</t>
  </si>
  <si>
    <t>University of Tasmania; Australian Maritime College; University of Southampton; Solent University; Memorial University Newfoundland; University of Plymouth; Nikola Vaptsarov Naval Academy</t>
  </si>
  <si>
    <t>Loh, TY (corresponding author), Univ Tasmania, Australian Maritime Coll, 1 Maritime Way, Launceston, Tas 7250, Australia.</t>
  </si>
  <si>
    <t>Nikolova, Natalia D/E-7000-2012; Bose, Neil/AAG-6329-2019; Tenekedjiev, Kiril/D-8141-2012</t>
  </si>
  <si>
    <t>Nikolova, Natalia D/0000-0001-6160-6282; Bose, Neil/0000-0002-6444-0756; Tenekedjiev, Kiril/0000-0003-3549-0671; Brito, Mario/0000-0002-1779-4535</t>
  </si>
  <si>
    <t>Australian Research Council's Special Research Initiative under the Antarctic Gateway Partnership [SR140300001]; Australian Government Research Training Program Scholarship</t>
  </si>
  <si>
    <t>Australian Research Council's Special Research Initiative under the Antarctic Gateway Partnership(Australian Research Council); Australian Government Research Training Program Scholarship(Australian GovernmentDepartment of Industry, Innovation and Science)</t>
  </si>
  <si>
    <t>This research was supported by the Australian Research Council's Special Research Initiative under the Antarctic Gateway Partnership (Project ID SR140300001). The first author also acknowledges the Australian Government Research Training Program Scholarship in support of this higher degree research.</t>
  </si>
  <si>
    <t>FUJI TECHNOLOGY PRESS LTD</t>
  </si>
  <si>
    <t>1-15-7, UCHIKANDA, CHIYODA-KU, UNIZO UCHIKANDA 1-CHOME BLDG 2F, TOKYO, 101-0047, JAPAN</t>
  </si>
  <si>
    <t>1343-0130</t>
  </si>
  <si>
    <t>1883-8014</t>
  </si>
  <si>
    <t>J ADV COMPUT INTELL</t>
  </si>
  <si>
    <t>J. Adv. Comput. Intell. Inform.</t>
  </si>
  <si>
    <t>KD9UQ</t>
  </si>
  <si>
    <t>WOS:000508207400003</t>
  </si>
  <si>
    <t>Claustre, H; Johnson, KS; Takeshita, Y</t>
  </si>
  <si>
    <t>Carlson, CA; Giovannoni, SJ</t>
  </si>
  <si>
    <t>Claustre, Herve; Johnson, Kenneth S.; Takeshita, Yuichiro</t>
  </si>
  <si>
    <t>Observing the Global Ocean with Biogeochemical-Argo</t>
  </si>
  <si>
    <t>ANNUAL REVIEW OF MARINE SCIENCE, VOL 12</t>
  </si>
  <si>
    <t>Annual Review of Marine Science</t>
  </si>
  <si>
    <t>profiling floats; ocean biogeochemistry; marine ecosystems; global observation; climate change</t>
  </si>
  <si>
    <t>NET COMMUNITY PRODUCTION; HIGH-RESOLUTION OBSERVATIONS; SITU OXYGEN MEASUREMENTS; CLIMATE-CHANGE IMPACTS; IN-SITU; PROFILING FLOATS; SOUTHERN-OCEAN; CARBON EXPORT; ROBOTIC OBSERVATIONS; MEDITERRANEAN SEA</t>
  </si>
  <si>
    <t>Biogeochemical-Argo (BGC-Argo) is a network of profiling floats carrying sensors that enable observation of as many as six essential biogeochemical and bio-optical variables: oxygen, nitrate, pH, chlorophyll a, suspended particles, and downwelling irradiance. This sensor network represents today's most promising strategy for collecting temporally and vertically resolved observations of biogeochemical properties throughout the ocean. All data are freely available within 24 hours of transmission. These data fill large gaps in ocean-observing systems and support three ambitions: gaining a better understanding of biogeochemical processes (e.g., the biological carbon pump and air sea CO2 exchanges) and evaluating ongoing changes resulting from increasing anthropogenic pressure (e.g., acidification and deoxygenation); managing the ocean (e.g., improving the global carbon budget and developing sustainable fisheries); and carrying out exploration for potential discoveries. The BGC-Argo network has already delivered extensive high-quality global data sets that have resulted in unique scientific outcomes from regional to global scales. With the proposed expansion of BGC-Argo in the near future, this network has the potential to become a pivotal observation system that links satellite and ship-based observations in a transformative manner.</t>
  </si>
  <si>
    <t>[Claustre, Herve] Sorbonne Univ, CNRS, Inst Mer Villefranche, Lab Oceanog Villefranche, F-06230 Villefranche Sur Mer, France; [Johnson, Kenneth S.; Takeshita, Yuichiro] Monterey Bay Aquarium Res Inst, Moss Landing, CA 95039 USA</t>
  </si>
  <si>
    <t>Sorbonne Universite; Centre National de la Recherche Scientifique (CNRS); Monterey Bay Aquarium Research Institute</t>
  </si>
  <si>
    <t>Claustre, H (corresponding author), Sorbonne Univ, CNRS, Inst Mer Villefranche, Lab Oceanog Villefranche, F-06230 Villefranche Sur Mer, France.</t>
  </si>
  <si>
    <t>claustre@obs-vlfr.fr; johnson@mbari.org; yui@mbari.org</t>
  </si>
  <si>
    <t>Takeshita, Yuichiro/HNP-5848-2023; CLAUSTRE, Herve/E-6877-2011; Claustre, Herve/JPL-2367-2023; Johnson, Kenneth/F-9742-2011</t>
  </si>
  <si>
    <t>CLAUSTRE, Herve/0000-0001-6243-0258; Johnson, Kenneth/0000-0001-5513-5584; Takeshita, Yuichiro/0000-0003-1824-8517</t>
  </si>
  <si>
    <t>European Research Council [834177]; Horizon 2020 research and innovation program for the AtlantOS project [2014-633211]; BNP Paribas Foundation for the Southern Ocean and Climate (SOCLIM) project; David and Lucile Packard Foundation; US National Science Foundation's Southern Ocean Carbon and Climate Observations and Modeling (SOCCOM) Project under National Science Foundation [PLR-1425989]; NOAA; NASA; European Research Council (ERC) [834177] Funding Source: European Research Council (ERC)</t>
  </si>
  <si>
    <t>European Research Council(European Research Council (ERC)); Horizon 2020 research and innovation program for the AtlantOS project; BNP Paribas Foundation for the Southern Ocean and Climate (SOCLIM) project; David and Lucile Packard Foundation(The David &amp; Lucile Packard Foundation); US National Science Foundation's Southern Ocean Carbon and Climate Observations and Modeling (SOCCOM) Project under National Science Foundation; NOAA(National Oceanic Atmospheric Admin (NOAA) - USA); NASA(National Aeronautics &amp; Space Administration (NASA)); European Research Council (ERC)(European Research Council (ERC)Spanish Government)</t>
  </si>
  <si>
    <t>H.C. acknowledges funding from the European Research Council for the remOcean project (grant agreement 834177), from the Horizon 2020 research and innovation program for the AtlantOS project (grant agreement 2014-633211), and from the BNP Paribas Foundation for the Southern Ocean and Climate (SOCLIM) project. K.S.J. was supported by the David and Lucile Packard Foundation and by the US National Science Foundation's Southern Ocean Carbon and Climate Observations and Modeling (SOCCOM) Project under National Science Foundation award PLR-1425989, with additional support from NOAA and NASA. Logistical support for this project in the Antarctic was provided by the National Science Foundation through the US Antarctic Program. Raphaelle Sauzede and Thomas Jessin are acknowledged for preparing Figures 1, 2, and 5.</t>
  </si>
  <si>
    <t>1941-1405</t>
  </si>
  <si>
    <t>ANNU REV MAR SCI</t>
  </si>
  <si>
    <t>Annu. Rev. Mar. Sci.</t>
  </si>
  <si>
    <t>10.1146/annurev-marine-010419-010956</t>
  </si>
  <si>
    <t>Geochemistry &amp; Geophysics; Marine &amp; Freshwater Biology; Oceanography</t>
  </si>
  <si>
    <t>BO2PY</t>
  </si>
  <si>
    <t>WOS:000507475600002</t>
  </si>
  <si>
    <t>Rogers, AD; Frinault, BAV; Barnes, DKA; Bindoff, NL; Downie, R; Ducklow, HW; Friedlaender, AS; Hart, T; Hill, SL; Hofmann, EE; Linse, K; McMahon, CR; Murphy, EJ; Pakhomov, EA; Reygondeau, G; Staniland, IJ; Wolf-Gladrow, DA; Wright, RM</t>
  </si>
  <si>
    <t>Rogers, A. D.; Frinault, B. A. V.; Barnes, D. K. A.; Bindoff, N. L.; Downie, R.; Ducklow, H. W.; Friedlaender, A. S.; Hart, T.; Hill, S. L.; Hofmann, E. E.; Linse, K.; McMahon, C. R.; Murphy, E. J.; Pakhomov, E. A.; Reygondeau, G.; Staniland, I. J.; Wolf-Gladrow, D. A.; Wright, R. M.</t>
  </si>
  <si>
    <t>Antarctic Futures: An Assessment of Climate-Driven Changes in Ecosystem Structure, Function, and Service Provisioning in the Southern Ocean</t>
  </si>
  <si>
    <t>climate change; Southern Ocean; biodiversity; impacts</t>
  </si>
  <si>
    <t>KRILL EUPHAUSIA-SUPERBA; PENGUIN PYGOSCELIS-PAPUA; WESTERN ROSS SEA; EMPEROR PENGUIN; LONG-TERM; POPULATION-STRUCTURE; CHINSTRAP PENGUINS; SANDWICH ISLANDS; SALPA-THOMPSONI; FECAL PELLETS</t>
  </si>
  <si>
    <t>In this article, we analyze the impacts of climate change on Antarctic marine ecosystems. Observations demonstrate large-scale changes in the physical variables and circulation of the Southern Ocean driven by warming, stratospheric ozone depletion, and a positive Southern Annular Mode. Alterations in the physical environment are driving change through all levels of Antarctic marine food webs, which differ regionally. The distributions of key species, such as Antarctic krill, are also changing. Differential responses among predators reflect differences in species ecology. The impacts of climate change on Antarctic biodiversity will likely vary for different communities and depend on species range. Coastal communities and those of sub-Antarctic islands, especially range-restricted endemic communities, will likely suffer the greatest negative consequences of climate change. Simultaneously, ecosystem services in the Southern Ocean will likely increase. Such decoupling of ecosystem services and endemic species will require consideration in the management of human activities such as fishing in Antarctic marine ecosystems.</t>
  </si>
  <si>
    <t>[Rogers, A. D.; Hart, T.] Univ Oxford, Dept Zool, Oxford OX1 3PS, England; [Rogers, A. D.] REV Ocean, N-1366 Lysaker, Norway; [Frinault, B. A. V.] Univ Oxford, Sch Geog &amp; Environm, Oxford OX1 3QY, England; [Barnes, D. K. A.; Hill, S. L.; Linse, K.; Murphy, E. J.; Staniland, I. J.] British Antarctic Survey, Nat Environm Res Council, Cambridge CB3 0ET, England; [Bindoff, N. L.] Univ Tasmania, Antarctic Climate &amp; Ecosyst Cooperat Res Ctr, Hobart, Tas 7001, Australia; [Bindoff, N. L.] Univ Tasmania, CSIRO Oceans &amp; Atmospheres, Hobart, Tas 7001, Australia; [Downie, R.] WWF, Living Planet Ctr, Surrey GU21 4LL, England; [Ducklow, H. W.] Columbia Univ, Lamont Doherty Earth Observ, Palisades, NY 10964 USA; [Ducklow, H. W.] Columbia Univ, Dept Earth &amp; Environm Sci, Palisades, NY 10964 USA; [Friedlaender, A. S.] Univ Calif Santa Cruz, Inst Marine Sci, Santa Cruz, CA 95060 USA; [Hofmann, E. E.] Old Dominion Univ, Ctr Coastal Phys Oceanog, Norfolk, VA 23508 USA; [McMahon, C. R.] Sydney Inst Marine Sci, Integrated Marine Observing Syst Anim Tracking Fa, Sydney, NSW 2088, Australia; [Pakhomov, E. A.] Univ British Columbia, Dept Earth Ocean &amp; Atmospher Sci, Vancouver, BC V6T 1Z4, Canada; [Pakhomov, E. A.; Reygondeau, G.] Univ British Columbia, Inst Oceans &amp; Fisheries, Aquat Ecosyst Res Lab, Vancouver, BC V6T 1Z4, Canada; [Wolf-Gladrow, D. A.] Alfred Wegener Inst, Helmholtz Zentrum Polar &amp; Meeresforsch AWI, D-27570 Bremerhaven, Germany; [Staniland, I. J.; Wright, R. M.] Univ East Anglia, Sch Environm Sci, Tyndall Ctr, Norwich NR4 7TJ, Norfolk, England</t>
  </si>
  <si>
    <t>University of Oxford; University of Oxford; UK Research &amp; Innovation (UKRI); Natural Environment Research Council (NERC); NERC British Antarctic Survey; Antarctic Climate &amp; Ecosystems Cooperative Research Centre (ACE CRC); University of Tasmania; Commonwealth Scientific &amp; Industrial Research Organisation (CSIRO); University of Tasmania; World Wildlife Fund; Columbia University; Columbia University; University of California System; University of California Santa Cruz; Old Dominion University; Sydney Institute of Marine Science; University of British Columbia; University of British Columbia; Helmholtz Association; Alfred Wegener Institute, Helmholtz Centre for Polar &amp; Marine Research; University of East Anglia</t>
  </si>
  <si>
    <t>Rogers, AD (corresponding author), Univ Oxford, Dept Zool, Oxford OX1 3PS, England.;Rogers, AD (corresponding author), REV Ocean, N-1366 Lysaker, Norway.</t>
  </si>
  <si>
    <t>alex.rogers@zoo.ox.ac.uk</t>
  </si>
  <si>
    <t>Staniland, Iain/I-4725-2012; Bindoff, Nathaniel Lee/IVV-0333-2023; McMahon, Clive R/D-5713-2013; Simeon, Hill L/B-2307-2008; Bindoff, Nathaniel Lee/C-8050-2011; murphy, eugene/GZL-1620-2022</t>
  </si>
  <si>
    <t>Staniland, Iain/0000-0003-2736-9134; Bindoff, Nathaniel Lee/0000-0001-5662-9519; McMahon, Clive R/0000-0001-5241-8917; Bindoff, Nathaniel Lee/0000-0001-5662-9519; Wright, Rebecca Mary/0000-0003-2333-6247; Rogers, Alex David/0000-0002-4864-2980</t>
  </si>
  <si>
    <t>Pew Charitable Trusts; Department of Zoology, University of Oxford; REV Ocean; National Science Foundation [1643652]; Earth Systems and Climate Change Hub of the Australian government's National Environmental Science Program; NERC [bas0100036, bas0100035] Funding Source: UKRI</t>
  </si>
  <si>
    <t>Pew Charitable Trusts; Department of Zoology, University of Oxford; REV Ocean; National Science Foundation(National Science Foundation (NSF)); Earth Systems and Climate Change Hub of the Australian government's National Environmental Science Program; NERC(UK Research &amp; Innovation (UKRI)Natural Environment Research Council (NERC))</t>
  </si>
  <si>
    <t>The authors acknowledge the funding of the Pew Charitable Trusts for the 2017 workshop at Somerville College, University of Oxford. A.D.R. would like to acknowledge the support of the Department of Zoology, University of Oxford, and REV Ocean during the completion of this article. Support for E.E.H. was provided by National Science Foundation award 1643652. N.L.B. is supported through funding from the Earth Systems and Climate Change Hub of the Australian government's National Environmental Science Program.</t>
  </si>
  <si>
    <t>10.1146/annurev-marine-010419-011028</t>
  </si>
  <si>
    <t>WOS:000507475600004</t>
  </si>
  <si>
    <t>Collins, S; Boyd, PW; Doblin, MA</t>
  </si>
  <si>
    <t>Collins, Sinead; Boyd, Philip W.; Doblin, Martina A.</t>
  </si>
  <si>
    <t>Evolution, Microbes, and Changing Ocean Conditions</t>
  </si>
  <si>
    <t>experimental evolution; marine microbiology; global change; multiple stressors; plasticity; environmental fluctuation; evolutionary rescue; driver emergence; carbon dioxide</t>
  </si>
  <si>
    <t>STANDING GENETIC-VARIATION; PHENOTYPIC PLASTICITY; CLIMATE-CHANGE; ADAPTIVE EVOLUTION; MARINE-PHYTOPLANKTON; EPIGENETIC MUTATIONS; ENVIRONMENTAL-CHANGE; GENOME EVOLUTION; SOUTHERN-OCEAN; ELEVATED CO2</t>
  </si>
  <si>
    <t>Experimental evolution and the associated theory are underutilized in marine microbial studies; the two fields have developed largely in isolation. Here, we review evolutionary tools for addressing four key areas of ocean global change biology: linking plastic and evolutionary trait changes, the contribution of environmental variability to determining trait values, the role of multiple environmental drivers in trait change, and the fate of populations near their tolerance limits. Wherever possible, we highlight which data from marine studies could use evolutionary approaches and where marine model systems can advance our understanding of evolution. Finally, we discuss the emerging field of marine microbial experimental evolution. We propose a framework linking changes in environmental quality (defined as the cumulative effect on population growth rate) with population traits affecting evolutionary potential, in order to understand which evolutionary processes are likely to be most important across a range of locations for different types of marine microbes.</t>
  </si>
  <si>
    <t>[Collins, Sinead] Univ Edinburgh, Inst Evolutionary Biol, Edinburgh EH9 3FL, Midlothian, Scotland; [Boyd, Philip W.] Univ Tasmania, Inst Marine &amp; Antarctic Studies, Battery Point, Tas 7004, Australia; [Doblin, Martina A.] Univ Technol Sydney, Climate Change Cluster, Sydney, NSW 2007, Australia</t>
  </si>
  <si>
    <t>University of Edinburgh; University of Tasmania; University of Technology Sydney</t>
  </si>
  <si>
    <t>Collins, S (corresponding author), Univ Edinburgh, Inst Evolutionary Biol, Edinburgh EH9 3FL, Midlothian, Scotland.</t>
  </si>
  <si>
    <t>s.collins@ed.ac.uk; philip.boyd@utas.edu.au; martina.doblin@uts.edu.au</t>
  </si>
  <si>
    <t>Boyd, Philip W/J-7624-2014; Doblin, Martina/E-8719-2013</t>
  </si>
  <si>
    <t>Doblin, Martina/0000-0001-8750-3433</t>
  </si>
  <si>
    <t>Royal Society (UK) University Research Fellowship; Australian Research Council (ARC) Discovery Project Scheme grant [DP180100054]; ARC [FL160100131]; NERC [NE/P006981/1] Funding Source: UKRI</t>
  </si>
  <si>
    <t>Royal Society (UK) University Research Fellowship(Royal Society); Australian Research Council (ARC) Discovery Project Scheme grant(Australian Research Council); ARC(Australian Research Council); NERC(UK Research &amp; Innovation (UKRI)Natural Environment Research Council (NERC))</t>
  </si>
  <si>
    <t>The authors thank Scientific Committee on Oceanic Research (SCOR) working group 149, J.J. Morris, and C.E. Schaum for discussion and comments. This work was supported by a Royal Society (UK) University Research Fellowship to S.C., Australian Research Council (ARC) Discovery Project Scheme grant DP180100054 to M.A.D. and S.C., and ARC grant FL160100131 to P.W.B.</t>
  </si>
  <si>
    <t>10.1146/annurev-marine-010318-095311</t>
  </si>
  <si>
    <t>WOS:000507475600007</t>
  </si>
  <si>
    <t>Galbraith, ED; Skinner, LC</t>
  </si>
  <si>
    <t>Galbraith, Eric D.; Skinner, Luke C.</t>
  </si>
  <si>
    <t>The Biological Pump During the Last Glacial Maximum</t>
  </si>
  <si>
    <t>carbon dioxide; marine ecosystem; biogeochemistry; ocean circulation; ice ages</t>
  </si>
  <si>
    <t>ANTARCTIC SEA-ICE; ATMOSPHERIC CO2 CONCENTRATIONS; GLOBAL CARBON-CYCLE; SOFT-TISSUE PUMP; SOUTHERN-OCEAN; PACIFIC-OCEAN; OXYGEN DEPLETION; NORTH PACIFIC; OVERTURNING CIRCULATION; REMINERALIZATION DEPTH</t>
  </si>
  <si>
    <t>Much of the global cooling during ice ages arose from changes in ocean carbon storage that lowered atmospheric CO2. A slew of mechanisms, both physical and biological, have been proposed as key drivers of these changes. Here we discuss the current understanding of these mechanisms with a focus on how they altered the theoretically defined soft-tissue and biological disequilibrium carbon storage at the peak of the last ice age. Observations and models indicate a role for Antarctic sea ice through its influence on ocean circulation patterns, but other mechanisms, including changes in biological processes, must have been important as well, and may have been coordinated through links with global air temperature. Further research is required to better quantify the contributions of the various mechanisms, and there remains great potential to use the Last Glacial Maximum and the ensuing global warming as natural experiments from which to learn about climate driven changes in the marine ecosystem.</t>
  </si>
  <si>
    <t>[Galbraith, Eric D.] McGill Univ, Dept Earth &amp; Planetary Sci, Montreal, PQ H3A 0E8, Canada; [Galbraith, Eric D.] Univ Autonoma Barcelona, Inst Ciencia &amp; Tecnol Ambientals, E-08193 Barcelona, Spain; [Galbraith, Eric D.] Inst Catalana Recerca &amp; Estudis Avancats ICREA, Barcelona 08010, Spain; [Skinner, Luke C.] Univ Cambridge, Dept Earth Sci, Godwin Lab Palaeoclimate Res, Cambridge CB2 3EQ, England</t>
  </si>
  <si>
    <t>McGill University; Autonomous University of Barcelona; ICREA; University of Cambridge</t>
  </si>
  <si>
    <t>Galbraith, ED (corresponding author), McGill Univ, Dept Earth &amp; Planetary Sci, Montreal, PQ H3A 0E8, Canada.;Galbraith, ED (corresponding author), Univ Autonoma Barcelona, Inst Ciencia &amp; Tecnol Ambientals, E-08193 Barcelona, Spain.;Galbraith, ED (corresponding author), Inst Catalana Recerca &amp; Estudis Avancats ICREA, Barcelona 08010, Spain.</t>
  </si>
  <si>
    <t>eric.galbraith@mcgill.ca; lcs32@cam.ac.uk</t>
  </si>
  <si>
    <t>10.1146/annurev-marine-010419-010906</t>
  </si>
  <si>
    <t>WOS:000507475600021</t>
  </si>
  <si>
    <t>Pastene, LA; Acevedo, J; Branch, TA</t>
  </si>
  <si>
    <t>Pastene, Luis A.; Acevedo, Jorge; Branch, Trevor A.</t>
  </si>
  <si>
    <t>Morphometric analysis of Chilean blue whales and implications for their taxonomy</t>
  </si>
  <si>
    <t>blue whale; morphometrics; Southern Hemisphere; taxonomy</t>
  </si>
  <si>
    <t>BALAENOPTERA-MUSCULUS; SOUTHERN-HEMISPHERE; ACOUSTIC PRESENCE; PACIFIC; CALLS; MOVEMENTS; LENGTH; GULF; SONG</t>
  </si>
  <si>
    <t>In the Southern Hemisphere, blue whales are currently divided into two subspecies, Antarctic blue whales (Balaenoptera musculus intermedia) and pygmy blue whales (B. m. brevicauda), but there is some debate about whether Chilean blue whales should also be considered as a separate subspecies. Here, we provide novel morphometric data to directly address this taxonomic question from a biological survey of 60 blue whales taken during the 1965/1966 Chilean whaling season. The data show that maximum body length and mean body length of both sexually mature females and males for Chilean blue whales are intermediate between pygmy and Antarctic blue whales; and that fluke-anus lengths of Chilean blue whales are significantly different from pygmy blue whales, but not necessarily from Antarctic blue whales. There is also some support from the data that snout-eye measurements are different among all three groups. These data provide further confirmation that Chilean blue whales are a distinct population requiring separate management from other blue whale populations, and are also consistent with suggestions that Chilean blue whales are not the same subspecies as pygmy blue whales.</t>
  </si>
  <si>
    <t>[Pastene, Luis A.] Inst Cetacean Res, Tokyo, Japan; [Acevedo, Jorge] Fdn CEQUA, Ctr Estudios Cuaternario Fuego Patagonia &amp; Antart, Punta Arenas, Chile; [Acevedo, Jorge] Univ Autonoma Baja California Sur, Programa Posgrad Ciencias Marinas &amp; Costeras, La Paz, Mexico; [Branch, Trevor A.] Univ Washington, Sch Aquat &amp; Fishery Sci, Seattle, WA 98195 USA</t>
  </si>
  <si>
    <t>Universidad Autonoma de Baja California; University of Washington; University of Washington Seattle</t>
  </si>
  <si>
    <t>Pastene, LA (corresponding author), Inst Cetacean Res, Chuo Ku, 4-5 Toy Cho, Tokyo 1040055, Japan.</t>
  </si>
  <si>
    <t>pastene@cetacean.jp</t>
  </si>
  <si>
    <t>Acevedo, Jorge/AAV-3574-2020</t>
  </si>
  <si>
    <t>Branch, Trevor/0000-0003-4308-8930; Acevedo, Jorge/0000-0002-6106-0838</t>
  </si>
  <si>
    <t>10.1111/mms.12625</t>
  </si>
  <si>
    <t>KA1RX</t>
  </si>
  <si>
    <t>WOS:000505577400007</t>
  </si>
  <si>
    <t>Valente, S; Skarin, A; Ciucci, P; Uboni, A</t>
  </si>
  <si>
    <t>Valente, Salvatore; Skarin, Anna; Ciucci, Paolo; Uboni, Alessia</t>
  </si>
  <si>
    <t>Attacked from two fronts: Interactive effects of anthropogenic and biotic disturbances generate complex movement patterns</t>
  </si>
  <si>
    <t>Antipredator response; caribou; GPS telemetry; human impact; step length</t>
  </si>
  <si>
    <t>REINDEER RANGIFER-TARANDUS; SEMI-DOMESTICATED REINDEER; BAY OIL-FIELD; EAGLE AQUILA-CHRYSAETOS; LYNX LYNX-LYNX; CLIMATE-CHANGE; GOLDEN EAGLE; HYPODERMA-TARANDI; WILD REINDEER; BEHAVIORAL-RESPONSES</t>
  </si>
  <si>
    <t>Anthropogenic and biotic disturbances have the potential to interact, generating cumulative impacts on animal movement or, alternatively, counterbalancing or masking each other. Despite their importance, those interactions have not been investigated thoroughly. Our study aimed to fill this knowledge gap by assessing the combined effects of a human activity-that is, military exercises-and a biotic disturbance-that is, insect harassment-on movement rates of free-ranging semidomesticated reindeer (Rangifer tarandus tarandus). From 2010 to 2012, we analyzed location data from fifty-one Global Positioning System (GPS)-collared female reindeer in the largest European military test range, situated in northern Sweden. In the presence of both military exercises and mosquito harassment, reindeer reacted by increasing their movement rates but not as much as when mosquito harassment occurred alone. Conversely, reindeer reduced their movement rates during military exercises performed with aircraft. Moreover, the effect of military exercises performed with vehicles was evident only when combined with mosquito harassment. These results stress the value of evaluating the effects of the interaction between biotic disturbances and human activities, especially in northern ecosystems, because of the predicted climate warming and the growing interest toward natural resource extraction and other forms of land use.</t>
  </si>
  <si>
    <t>[Valente, Salvatore; Ciucci, Paolo] Sapienza Univ Rome, Dept Biol &amp; Biotechnol Charles Darwin, Rome, Italy; [Skarin, Anna; Uboni, Alessia] Swedish Univ Agr Sci, Dept Anim Nutr &amp; Management, Box 7024, S-75007 Uppsala, Sweden</t>
  </si>
  <si>
    <t>Sapienza University Rome; Swedish University of Agricultural Sciences</t>
  </si>
  <si>
    <t>Uboni, A (corresponding author), Swedish Univ Agr Sci, Dept Anim Nutr &amp; Management, Box 7024, S-75007 Uppsala, Sweden.</t>
  </si>
  <si>
    <t>auboni@mtu.edu</t>
  </si>
  <si>
    <t>Ciucci, Paolo/C-7677-2009; Valente, Salvatore/IUP-6984-2023</t>
  </si>
  <si>
    <t>Ciucci, Paolo/0000-0002-0994-3422; Valente, Salvatore/0009-0003-0181-2801; Skarin, Anna/0000-0003-3221-1024</t>
  </si>
  <si>
    <t>Swedish Research Council Formas [2015-978]; Sapienza University of Rome; Swedish Sami Parliament (Sametinget, through the Bygdemedel funding program); Swedish University of Agricultural Sciences; Swedish Defense Materiel Administration; Stiftelsen Gunnar och Birgitta Nordins fond [GFS2019-0061]</t>
  </si>
  <si>
    <t>Swedish Research Council Formas(Swedish Research Council Formas); Sapienza University of Rome; Swedish Sami Parliament (Sametinget, through the Bygdemedel funding program); Swedish University of Agricultural Sciences; Swedish Defense Materiel Administration; Stiftelsen Gunnar och Birgitta Nordins fond</t>
  </si>
  <si>
    <t>This work was supported by the Swedish Research Council Formas under grant number 2015-978 (awarded to AU); by Sapienza University of Rome through a scholarship awarded to SV; by the Swedish Sami Parliament (Sametinget, through the Bygdemedel funding program), the Swedish University of Agricultural Sciences, and the Swedish Defense Materiel Administration through funds granted to AS; and the Stiftelsen Gunnar och Birgitta Nordins fond (grant number: GFS2019-0061).</t>
  </si>
  <si>
    <t>10.1080/15230430.2019.1698251</t>
  </si>
  <si>
    <t>KD0ZL</t>
  </si>
  <si>
    <t>WOS:000507601100001</t>
  </si>
  <si>
    <t>Vo, QV; Tam, NM; Bay, MV; Mechler, A</t>
  </si>
  <si>
    <t>Quan V Vo; Nguyen Minh Tam; Mai Van Bay; Mechler, Adam</t>
  </si>
  <si>
    <t>The radical scavenging activity of natural ramalin: A mechanistic and kinetic study</t>
  </si>
  <si>
    <t>CHEMICAL PHYSICS LETTERS</t>
  </si>
  <si>
    <t>Antioxidants; Ramalina; Lichen; Mechanism; Kinetics</t>
  </si>
  <si>
    <t>DENSITY FUNCTIONALS; SYMMETRY NUMBERS; CHEMISTRY; PHENOLS; COMPLEX; BARRIER; DAMAGE</t>
  </si>
  <si>
    <t>Ramalin, which is isolated from the Antarctic lichen (Ramalina terebrata), has potential anti-inflammatory, anticancer and antioxidant activities. In this study, the HO center dot and HOO center dot radical scavenging of ramalin was evaluated in water and pentyl ethanoate (lipid mimetic) environments in silico by using kinetic calculations. It was found that the radicals scavenging in aqueous solution is faster than that in apolar media. The formal hydrogen transfer mechanism was favored for the radical scavenging in lipid media. Compared with Trolox, ramalin has higher hydroperoxyl radical scavenging in the studied environments. Thus ramalin was shown to be a promising natural antioxidant.</t>
  </si>
  <si>
    <t>[Quan V Vo] Duy Tan Univ, Inst Res &amp; Dev, Danang 550000, Vietnam; [Nguyen Minh Tam] Ton Duc Thang Univ, Computat Chem Res Grp, Ho Chi Minh City, Vietnam; [Nguyen Minh Tam] Ton Duc Thang Univ, Fac Appl Sci, Ho Chi Minh City, Vietnam; [Mai Van Bay] Univ Nang Univ Sci &amp; Educ, Dept Chem, Da Nang 550000, Vietnam; [Mechler, Adam] La Trobe Univ, Dept Chem &amp; Phys, Bundoora, Vic 3086, Australia</t>
  </si>
  <si>
    <t>Duy Tan University; Ton Duc Thang University; Ton Duc Thang University; La Trobe University</t>
  </si>
  <si>
    <t>Vo, QV (corresponding author), Duy Tan Univ, Inst Res &amp; Dev, Danang 550000, Vietnam.;Tam, NM (corresponding author), Ton Duc Thang Univ, Computat Chem Res Grp, Ho Chi Minh City, Vietnam.;Tam, NM (corresponding author), Ton Duc Thang Univ, Fac Appl Sci, Ho Chi Minh City, Vietnam.</t>
  </si>
  <si>
    <t>vovanquan2@duytan.edu.vn; nguyenminhtam@tdtu.edu.vn</t>
  </si>
  <si>
    <t>VO, Quan V./W-7179-2018; Tam, Nguyen Minh/M-6191-2014; Mechler, Adam/C-5777-2009</t>
  </si>
  <si>
    <t>Tam, Nguyen Minh/0000-0003-3153-4606; Mechler, Adam/0000-0002-6428-6760; Mai Van, Bay/0000-0003-1201-2538</t>
  </si>
  <si>
    <t>Vietnam National Foundation for Science and Technology Development (NAFOSTED) [104.06-2018.308]</t>
  </si>
  <si>
    <t>Vietnam National Foundation for Science and Technology Development (NAFOSTED)(National Foundation for Science &amp; Technology Development (NAFOSTED))</t>
  </si>
  <si>
    <t>The research is funded by Vietnam National Foundation for Science and Technology Development (NAFOSTED) under grant number 104.06-2018.308.</t>
  </si>
  <si>
    <t>0009-2614</t>
  </si>
  <si>
    <t>1873-4448</t>
  </si>
  <si>
    <t>CHEM PHYS LETT</t>
  </si>
  <si>
    <t>Chem. Phys. Lett.</t>
  </si>
  <si>
    <t>10.1016/j.cplett.2019.137004</t>
  </si>
  <si>
    <t>Chemistry, Physical; Physics, Atomic, Molecular &amp; Chemical</t>
  </si>
  <si>
    <t>Chemistry; Physics</t>
  </si>
  <si>
    <t>KC5QZ</t>
  </si>
  <si>
    <t>WOS:000507233300088</t>
  </si>
  <si>
    <t>Wong, SY; Charlesworth, JC; Benaud, N; Burns, BP; Ferrari, BC</t>
  </si>
  <si>
    <t>Wong, Sin Yin; Charlesworth, James C.; Benaud, Nicole; Burns, Brendan P.; Ferrari, Belinda C.</t>
  </si>
  <si>
    <t>Communication within East Antarctic Soil Bacteria</t>
  </si>
  <si>
    <t>APPLIED AND ENVIRONMENTAL MICROBIOLOGY</t>
  </si>
  <si>
    <t>Antarctica; bacterial communication; quorum sensing; homoserine lactone; biosensor; survival mechanism; soil bacteria</t>
  </si>
  <si>
    <t>HOMOSERINE LACTONE; AGROBACTERIUM-TUMEFACIENS; SIGNAL MOLECULES; VIBRIO-FISCHERI; SP NOV.; PROTEIN; SEQUENCE; TEMPERATURE; OVERPRODUCTION; DIVERSITY</t>
  </si>
  <si>
    <t>Antarctica, being the coldest, driest, and windiest continent on Earth, represents the most extreme environment in which a living organism can survive. Under constant exposure to harsh environmental threats, terrestrial Antarctica remains home to a great diversity of microorganisms, indicating that the soil bacteria must have adapted a range of survival strategies that require cell-to-cell communication. Survival strategies include secondary metabolite production, biofilm formation, bioluminescence, symbiosis, conjugation, sporulation, and motility, all of which are often regulated by quorum sensing (QS), a type of bacterial communication. Until now, such mechanisms have not been explored in terrestrial Antarctica. In this study, LuxI/LuxR-based quorum sensing (QS) activity was delineated in soil bacterial isolates recovered from Adams Flat, in the Vestfold Hills region of East Antarctica. Interestingly, we identified the production of potential homoserine lactones (HSLs) with chain lengths ranging from medium to long in 19 bacterial species using three biosensors, namely, Agrobacterium tumefaciens NTL4, Chromobacterium violaceum CV026, and Escherichia coli MT102, in conjunction with thin-layer chromatography (TLC). The majority of detectable HSLs were from Gram-positive species not previously known to produce HSLs. This discovery further expands our understanding of the microbial community capable of this type of communication, as well as provides insights into physiological adaptations of microorganisms that allow them to survive in the harsh Antarctic environment. IMPORTANCE Quorum sensing, a type of bacterial communication, is widely known to regulate many processes, including those that confer a survival advantage. However, little is known about communication by bacteria residing within Antarctic soils. Employing a combination of bacterial biosensors, analytical techniques, and genome mining, we found a variety of Antarctic soil bacteria speaking a common language, via LuxI/LuxR-based quorum sensing, thus potentially supporting survival in a mixed microbial community. This study reports potential quorum sensing activity in Antarctic soils and has provided a platform for studying physiological adaptations of microorganisms that allow them to survive in the harsh Antarctic environment.</t>
  </si>
  <si>
    <t>[Wong, Sin Yin; Charlesworth, James C.; Benaud, Nicole; Burns, Brendan P.; Ferrari, Belinda C.] Univ New South Wales, Sch Biotechnol &amp; Biomol Sci, Sydney, NSW, Australia; [Charlesworth, James C.; Burns, Brendan P.] Univ New South Wales, Australian Ctr Astrobiol, Sydney, NSW, Australia</t>
  </si>
  <si>
    <t>University of New South Wales Sydney; University of New South Wales Sydney</t>
  </si>
  <si>
    <t>Ferrari, BC (corresponding author), Univ New South Wales, Sch Biotechnol &amp; Biomol Sci, Sydney, NSW, Australia.</t>
  </si>
  <si>
    <t>BURNS, BRENDAN P/B-5093-2009; Ferrari, Belinda/AAI-3022-2020</t>
  </si>
  <si>
    <t>Ferrari, Belinda/0000-0001-5043-3726; Benaud, Nicole/0000-0002-1649-7096; Charlesworth, James/0000-0001-9018-0436</t>
  </si>
  <si>
    <t>University International Postgraduate Award (UIPA); Australian Research Council Future Fellowship [FT170100341]; Australian Research Council [FT170100341] Funding Source: Australian Research Council</t>
  </si>
  <si>
    <t>University International Postgraduate Award (UIPA); Australian Research Council Future Fellowship(Australian Research Council); Australian Research Council(Australian Research Council)</t>
  </si>
  <si>
    <t>This work was supported by the University International Postgraduate Award (UIPA) (awarded to S. Y.W.) and the Australian Research Council Future Fellowship (FT170100341; awarded to B.C.F.).</t>
  </si>
  <si>
    <t>0099-2240</t>
  </si>
  <si>
    <t>1098-5336</t>
  </si>
  <si>
    <t>APPL ENVIRON MICROB</t>
  </si>
  <si>
    <t>Appl. Environ. Microbiol.</t>
  </si>
  <si>
    <t>e01968-19</t>
  </si>
  <si>
    <t>10.1128/AEM.01968-19</t>
  </si>
  <si>
    <t>KC7VY</t>
  </si>
  <si>
    <t>WOS:000507382000008</t>
  </si>
  <si>
    <t>Luo, X; Fan, XM; Ji, X; Li, YG</t>
  </si>
  <si>
    <t>Luo, Xian; Fan, Xuemei; Ji, Xuan; Li, Yungang</t>
  </si>
  <si>
    <t>Hydrological impacts of interannual variations in surface soil freezing processes in the upper Nu-Salween River basin</t>
  </si>
  <si>
    <t>Freezing processes; passive microwave remote sensing; hydrological characteristics; climate change; upper Nu-Salween River basin</t>
  </si>
  <si>
    <t>QINGHAI-TIBET PLATEAU; PERMAFROST; CLIMATE; RUNOFF; CYCLES; WATER; LAYER</t>
  </si>
  <si>
    <t>The upper Nu-Salween River basin in the Tibetan Plateau is mainly covered with seasonal frozen soils. We used daily surface freeze-thaw states, detected from Special Sensor Microwave/Imager (SSM/I) daily brightness temperature data, to analyze the variations in surface freeze-thaw states and the relationship with air temperature. We also examined baseflow to explore the influences of interannual variations in the start time of soil freezing on hydrological processes. The results showed that (1) interannual air temperature fluctuations led to differences in the area and start time of surface freezing. When surface soil froze, flow was mainly dependent on existing groundwater storage. (2) The interannual variation in the surface freezing time directly affected the flow generation processes. When soil water froze and remained in the frozen layer, it was hard to generate surface flow, so flow mainly consisted of baseflow, causing the proportion of the baseflow in the total flow to gradually increase. (3) The surface freeze-thaw states obtained from the passive microwave remote sensing data may be applied to support further research on the hydrological impacts of freeze-thaw cycle variations in plateau mountain basins.</t>
  </si>
  <si>
    <t>[Luo, Xian; Fan, Xuemei; Ji, Xuan; Li, Yungang] Yunnan Univ, Inst Int Rivers &amp; Ecosecur, Kunming, Yunnan, Peoples R China; [Luo, Xian; Ji, Xuan; Li, Yungang] Yunnan Univ, Yunnan Key Lab Int Rivers &amp; Transboundary Ecosecu, Kunming, Yunnan, Peoples R China</t>
  </si>
  <si>
    <t>Yunnan University; Yunnan University</t>
  </si>
  <si>
    <t>Luo, X (corresponding author), Yunnan Univ, Inst Int Rivers &amp; Ecosecur, South Sect, East Outer Ring Rd, Kunming, Yunnan, Peoples R China.</t>
  </si>
  <si>
    <t>luoxian@ynu.edu.cn</t>
  </si>
  <si>
    <t>Ji, Xuan/0000-0002-5186-594X; Li, Yungang/0000-0002-3194-3621</t>
  </si>
  <si>
    <t>National Natural Science Foundation of China [41601026, 41561003]; Science and Technology Planning Project of Yunnan Province, China [2017FB073]</t>
  </si>
  <si>
    <t>National Natural Science Foundation of China(National Natural Science Foundation of China (NSFC)); Science and Technology Planning Project of Yunnan Province, China</t>
  </si>
  <si>
    <t>This work was supported by the National Natural Science Foundation of China under Grants 41601026 and 41561003 and the Science and Technology Planning Project of Yunnan Province, China, under Grant 2017FB073.</t>
  </si>
  <si>
    <t>10.1080/15230430.2019.1698893</t>
  </si>
  <si>
    <t>KD1AN</t>
  </si>
  <si>
    <t>WOS:000507604100001</t>
  </si>
  <si>
    <t>Munkhjargal, M; Yadamsuren, G; Yamkhin, J; Menzel, L</t>
  </si>
  <si>
    <t>Munkhjargal, Munkhdavaa; Yadamsuren, Gansukh; Yamkhin, Jambaljav; Menzel, Lucas</t>
  </si>
  <si>
    <t>Ground surface temperature variability and permafrost distribution over mountainous terrain in northern Mongolia</t>
  </si>
  <si>
    <t>Mountain permafrost; surface cover; solar radiation; temperature variability; northern Mongolia</t>
  </si>
  <si>
    <t>SOLAR-RADIATION; ACTIVE LAYER; AIR-TEMPERATURE; HOVSGOL AREA; MODEL; TOPOGRAPHY; CLIMATE; REGIONS; REGIMES; INDEX</t>
  </si>
  <si>
    <t>Permafrost plays an important role in numerous environmental processes at high latitudes and in high mountain areas. The identification of mountain permafrost, particularly in the discontinuous permafrost regions, is challenging due to limited data availability and the high spatial variability of controlling factors. This study focuses on mountain permafrost in a data-scarce environment of northern Mongolia, at the interface between the boreal forest and the dry steppe mid-latitudes. In this region, the ground temperature has been increasing continuously since 2011 and has a high spatial variability due to the distribution of incoming solar radiation, as well as seasonal snow and vegetation cover. We analyzed the effect of these controlling factors to understand the climate-permafrost relationship based on in situ observations. Furthermore, mean ground surface temperature (MGST) was calculated at 30-m resolution to predict permafrost distribution. The calculated MGST, with a root mean square error of +/- 1.4 degrees C, shows permafrost occurrence on north-facing slopes and at higher elevations and absence on south-facing slopes. Borehole temperature data indicate a serious wildfire-induced permafrost degradation in the region; therefore, special attention should be paid to further investigations on ecosystem resilience and climate change mitigation in this region.</t>
  </si>
  <si>
    <t>[Munkhjargal, Munkhdavaa; Menzel, Lucas] Heidelberg Univ, Inst Geog, Hydrol &amp; Climatol, Neuenheimer Feld 348, D-69120 Heidelberg, Germany; [Yadamsuren, Gansukh; Yamkhin, Jambaljav] Mongolian Acad Sci, Inst Geog &amp; Geoecol, Permafrost Lab, Ulan Bator, Mongolia</t>
  </si>
  <si>
    <t>Ruprecht Karls University Heidelberg; Mongolian Academy of Sciences</t>
  </si>
  <si>
    <t>Munkhjargal, M (corresponding author), Heidelberg Univ, Inst Geog, Hydrol &amp; Climatol, Neuenheimer Feld 348, D-69120 Heidelberg, Germany.</t>
  </si>
  <si>
    <t>munkhjargal@uni-heidelberg.de</t>
  </si>
  <si>
    <t>Yadamsuren, Gansukh/JBS-7292-2023; Menzel, Lucas/A-6881-2018</t>
  </si>
  <si>
    <t>Yadamsuren, Gansukh/0000-0002-7245-5122; Menzel, Lucas/0000-0002-2201-3406</t>
  </si>
  <si>
    <t>Federal Ministry of Education and Research (BMBF) through the German Academic Exchange Service (DAAD) [57156376]; Deutsche Forschungsgemeinschaft; Baden-Wurttemberg Ministry of Science, Research and the Arts; Ruprecht-KarlsUniversitat Heidelberg; Deutscher Akademischer Austauschdienst [57156376]</t>
  </si>
  <si>
    <t>Federal Ministry of Education and Research (BMBF) through the German Academic Exchange Service (DAAD); Deutsche Forschungsgemeinschaft(German Research Foundation (DFG)); Baden-Wurttemberg Ministry of Science, Research and the Arts; Ruprecht-KarlsUniversitat Heidelberg; Deutscher Akademischer Austauschdienst(Deutscher Akademischer Austausch Dienst (DAAD))</t>
  </si>
  <si>
    <t>Munkhdavaa Munkhjargal received funding from the Federal Ministry of Education and Research (BMBF) through the German Academic Exchange Service (DAAD; award number 57156376) during the preparation of this article. We acknowledge financial support by Deutsche Forschungsgemeinschaft within the funding program Open Access Publishing, by the Baden-Wurttemberg Ministry of Science, Research and the Arts and by Ruprecht-KarlsUniversitat Heidelberg. This work was also supported by the Deutscher Akademischer Austauschdienst (57156376).</t>
  </si>
  <si>
    <t>10.1080/15230430.2019.1704347</t>
  </si>
  <si>
    <t>KD1AC</t>
  </si>
  <si>
    <t>WOS:000507602800001</t>
  </si>
  <si>
    <t>Malanson, GP; Nelson, EL; Zimmerman, DL; Fagre, DB</t>
  </si>
  <si>
    <t>Malanson, George P.; Nelson, Emma L.; Zimmerman, Dale L.; Fagre, Daniel B.</t>
  </si>
  <si>
    <t>Alpine plant community diversity in species-area relations at fine scale</t>
  </si>
  <si>
    <t>Alpine; beta diversity; Glacier National Park; spatial scale; species-area</t>
  </si>
  <si>
    <t>ENVIRONMENTAL GRADIENTS; GAMMA DIVERSITY; CLIMATE; VEGETATION; ALPHA; DISTURBANCE; MOUNTAINS; MODELS; TUNDRA; SNOW</t>
  </si>
  <si>
    <t>Observations of diversity in alpine vegetation appear to be scale dependent. The relations of plant species richness with surface processes and geomorphology have been studied, but patterns of beta diversity are less known. In Glacier National Park, Montana, diversity has been examined within 1 m(2) plots and for 16 m(2) plots across two ranges, with within-plot and across-range explanatory factors, respectively. The slopes of species-area equations for nested 4, 8, 12, and 16 m(2) plots were used as an indicator of beta diversity in Glacier National Park, where smaller and larger scales have been examined. The slopes were negatively related to a field assessment of surface stability and positively to the presence of talus-two sides of the same coin. A positive relationship with bedrock outcrops may be due to a misrepresentation of area for plants. The relationship of species-area slopes to plot-level gamma diversity was negative, weak, and marginally significant, and this variable did not enter the general linear model (GLM). Beyond simple differences in diversity with differences in environment, examination of beta diversity at a scale between that of earlier studies revealed surface processes and geomorphology as drivers that were also at a scale between those previously reported.</t>
  </si>
  <si>
    <t>[Malanson, George P.; Nelson, Emma L.; Zimmerman, Dale L.] Univ Iowa, Dept Geog &amp; Sustainabil Sci, Iowa City, IA 52242 USA; [Fagre, Daniel B.] US Geol Survey, Dept Stat &amp; Actuarial Sci, West Glacier, MT USA</t>
  </si>
  <si>
    <t>University of Iowa; United States Department of the Interior; United States Geological Survey</t>
  </si>
  <si>
    <t>Malanson, GP (corresponding author), Univ Iowa, 316 Jessup Hall, Iowa City, IA 52242 USA.</t>
  </si>
  <si>
    <t>george-malanson@uiowa.edu</t>
  </si>
  <si>
    <t>Fagre, Daniel/0000-0001-8552-9461; Zimmerman, Dale/0000-0003-1212-4089</t>
  </si>
  <si>
    <t>U.S. National Science Foundation [1121305]; U.S. Geological Survey Land Resources Land Change Science Program; Division Of Behavioral and Cognitive Sci; Direct For Social, Behav &amp; Economic Scie [1121305] Funding Source: National Science Foundation</t>
  </si>
  <si>
    <t>U.S. National Science Foundation(National Science Foundation (NSF)); U.S. Geological Survey Land Resources Land Change Science Program; Division Of Behavioral and Cognitive Sci; Direct For Social, Behav &amp; Economic Scie(National Science Foundation (NSF)NSF - Directorate for Social, Behavioral &amp; Economic Sciences (SBE))</t>
  </si>
  <si>
    <t>This research was supported by U.S. National Science Foundation award 1121305 and the U.S. Geological Survey Land Resources Land Change Science Program. Any use of trade, firm, or product names is for descriptive purposes only and does not imply endorsement by the U.S. Government.</t>
  </si>
  <si>
    <t>10.1080/15230430.2019.1698894</t>
  </si>
  <si>
    <t>KD1AY</t>
  </si>
  <si>
    <t>WOS:000507605200001</t>
  </si>
  <si>
    <t>Lisovski, S; Bauer, S; Briedis, M; Davidson, SC; Dhanjal-Adams, KL; Hallworth, MT; Karagicheva, J; Meier, CM; Merkel, B; Ouwehand, J; Pedersen, L; Rakhimberdiev, E; Roberto-Charron, A; Seavy, NE; Sumner, MD; Taylor, CM; Wotherspoon, SJ; Bridge, ES</t>
  </si>
  <si>
    <t>Lisovski, Simeon; Bauer, Silke; Briedis, Martins; Davidson, Sarah C.; Dhanjal-Adams, Kiran L.; Hallworth, Michael T.; Karagicheva, Julia; Meier, Christoph M.; Merkel, Benjamin; Ouwehand, Janne; Pedersen, Lykke; Rakhimberdiev, Eldar; Roberto-Charron, Amelie; Seavy, Nathaniel E.; Sumner, Michael D.; Taylor, Caz M.; Wotherspoon, Simon J.; Bridge, Eli S.</t>
  </si>
  <si>
    <t>Light-level geolocator analyses: A user's guide</t>
  </si>
  <si>
    <t>JOURNAL OF ANIMAL ECOLOGY</t>
  </si>
  <si>
    <t>animal tracking; archival tags; FLightR; GeoLight; Movebank; probGLS; SGAT; solar geolocation</t>
  </si>
  <si>
    <t>MIGRATORY CONNECTIVITY; TRACKING; MOVEMENTS; COMMON; MODEL</t>
  </si>
  <si>
    <t>Light-level geolocator tags use ambient light recordings to estimate the whereabouts of an individual over the time it carried the device. Over the past decade, these tags have emerged as an important tool and have been used extensively for tracking animal migrations, most commonly small birds. Analysing geolocator data can be daunting to new and experienced scientists alike. Over the past decades, several methods with fundamental differences in the analytical approach have been developed to cope with the various caveats and the often complicated data. Here, we explain the concepts behind the analyses of geolocator data and provide a practical guide for the common steps encompassing most analyses - annotation of twilights, calibration, estimating and refining locations, and extraction of movement patterns - describing good practices and common pitfalls for each step. We discuss criteria for deciding whether or not geolocators can answer proposed research questions, provide guidance in choosing an appropriate analysis method and introduce key features of the newest open-source analysis tools. We provide advice for how to interpret and report results, highlighting parameters that should be reported in publications and included in data archiving. Finally, we introduce a comprehensive supplementary online manual that applies the concepts to several datasets, demonstrates the use of open-source analysis tools with step-by-step instructions and code and details our recommendations for interpreting, reporting and archiving.</t>
  </si>
  <si>
    <t>[Lisovski, Simeon; Bauer, Silke; Briedis, Martins; Dhanjal-Adams, Kiran L.; Meier, Christoph M.] Swiss Ornithol Inst, Dept Bird Migrat, Sempach, Switzerland; [Davidson, Sarah C.] Max Planck Inst Anim Behav, Dept Migrat, Radolfzell am Bodensee, Germany; [Davidson, Sarah C.] Ohio State Univ, Dept Civil Environm &amp; Geodet Engn, Columbus, OH 43210 USA; [Davidson, Sarah C.] Univ Konstanz, Ctr Adv Study Collect Behav, Constance, Germany; [Davidson, Sarah C.] Univ Konstanz, Dept Biol, Constance, Germany; [Hallworth, Michael T.] Smithsonian Conservat Biol Inst, Migratory Bird Ctr, Washington, DC USA; [Karagicheva, Julia] Univ Utrecht, Royal Netherlands Inst Sea Res, NIOZ, Dept Coastal Syst, Texel, Netherlands; [Merkel, Benjamin] Norwegian Polar Res Inst, Fram Ctr, Tromso, Norway; [Ouwehand, Janne; Rakhimberdiev, Eldar] Arctic Univ Norway, Univ Tromso, Dept Arctic &amp; Marine Biol, Tromso, Norway; [Pedersen, Lykke] Univ Groningen, Groningen Inst Evolutionary Life Sci, Conservat Ecol Grp, Groningen, Netherlands; [Rakhimberdiev, Eldar] Univ Copenhagen, Nat Hist Museum Denmark, Ctr Macroecol Evolut &amp; Climate, Copenhagen, Denmark; [Roberto-Charron, Amelie] Lomonosov Moscow State Univ, Dept Vertebrate Zool, Moscow, Russia; [Seavy, Nathaniel E.] Point Blue Conservat Sci, Petaluma, CA USA; [Sumner, Michael D.] Australian Antarctic Div, Kingston, Tas, Australia; [Taylor, Caz M.] Tulane Univ, Ecol &amp; Evolutionary Biol, New Orleans, LA 70118 USA; [Wotherspoon, Simon J.] Univ Tasmania, Inst Marine &amp; Antarctic Studies, Hobart, Tas, Australia; [Bridge, Eli S.] Univ Oklahoma, Oklahoma Biol Survey, Norman, OK 73019 USA</t>
  </si>
  <si>
    <t>Swiss Ornithological Institute; Max Planck Society; University System of Ohio; Ohio State University; University of Konstanz; University of Konstanz; Smithsonian Institution; Smithsonian National Zoological Park &amp; Conservation Biology Institute; Utrecht University; Royal Netherlands Institute for Sea Research (NIOZ); Norwegian Polar Institute; UiT The Arctic University of Tromso; University of Groningen; University of Copenhagen; Lomonosov Moscow State University; Australian Antarctic Division; Tulane University; University of Tasmania; University of Oklahoma System; University of Oklahoma - Norman</t>
  </si>
  <si>
    <t>Lisovski, S (corresponding author), Swiss Ornithol Inst, Dept Bird Migrat, Sempach, Switzerland.</t>
  </si>
  <si>
    <t>simeon.lisovski@gmail.com</t>
  </si>
  <si>
    <t>Wotherspoon, Simon J/B-2390-2013; Sumner, Michael D/J-3478-2013; Lisovski, Simeon/AAD-4201-2019; Briedis, Martins/H-6172-2019; Bridge, Eli/JBJ-7098-2023; Bridge, Eli/AAN-1928-2020; Rakhimberdiev, Eldar/V-6325-2018; Bauer, Silke/C-3524-2008; Hallworth, Michael/N-4076-2017</t>
  </si>
  <si>
    <t>Wotherspoon, Simon J/0000-0002-6947-4445; Briedis, Martins/0000-0002-9434-9056; Rakhimberdiev, Eldar/0000-0001-6357-6187; Merkel, Benjamin/0000-0002-8637-7655; Sumner, Michael/0000-0002-2471-7511; Bauer, Silke/0000-0002-0844-164X; Karagicheva, Julia/0000-0002-2404-6826; Ouwehand, Janne/0000-0003-2573-6287; Dhanjal-Adams, Kiran/0000-0002-0496-8428; Hallworth, Michael/0000-0002-6385-3815; Meier, Christoph/0000-0001-9584-2339; Lisovski, Simeon/0000-0002-6399-0035</t>
  </si>
  <si>
    <t>0021-8790</t>
  </si>
  <si>
    <t>1365-2656</t>
  </si>
  <si>
    <t>J ANIM ECOL</t>
  </si>
  <si>
    <t>J. Anim. Ecol.</t>
  </si>
  <si>
    <t>10.1111/1365-2656.13036</t>
  </si>
  <si>
    <t>Ecology; Zoology</t>
  </si>
  <si>
    <t>Environmental Sciences &amp; Ecology; Zoology</t>
  </si>
  <si>
    <t>KB7YZ</t>
  </si>
  <si>
    <t>WOS:000506707800019</t>
  </si>
  <si>
    <t>Christ, AJ; Bierman, PR</t>
  </si>
  <si>
    <t>Christ, Andrew J.; Bierman, Paul R.</t>
  </si>
  <si>
    <t>The local Last Glacial Maximum in McMurdo Sound, Antarctica: Implications for ice-sheet behavior in the Ross Sea Embayment</t>
  </si>
  <si>
    <t>PLEISTOCENE-HOLOCENE RETREAT; CLIMATE HISTORY; GARWOOD VALLEY; TAYLOR GLACIER; LATE WISCONSIN; DRY VALLEYS; LEVEL; SHELF; CHRONOLOGY; EVOLUTION</t>
  </si>
  <si>
    <t>During the Last Glacial Maximum (LGM), a grounded ice sheet filled the Ross Sea Embayment in Antarctica and deposited glacial sediments on volcanic islands and peninsulas in McMurdo Sound and coastal regions of the Transantarctic Mountains. The flow geometry and retreat history of this ice are debated, with contrasting views yielding divergent implications for the interaction between and stability of the East and West Antarctic ice sheets during late Quaternary time. Here, we present terrestrial geomorphologic evidence and reconstruct former ice-marginal environments, ice sheet elevations, and ice-flow directions in McMurdo Sound. Fossil algae in ice-marginal sediments provide a coherent radiocarbon chronology of maximum ice extent and deglaciation. We integrate these data with marine records to reconstruct grounded ice dynamics in McMurdo Sound and the western Ross Sea. The combined data set suggests ice flow toward the Transantarctic Mountains in McMurdo Sound during peak glaciation, with thick, grounded ice at or near its maximum position between 19.6 and 12.3 ka. Persistent grounded ice in McMurdo Sound and across the western Ross Sea after Meltwater Pulse 1a (14.0-14.5 ka) suggests that this sector of Antarctica did not significantly contribute to this rapid sea-level rise event. Our data show no significant advance of locally derived ice from the Transantarctic Mountains into McMurdo Sound during the local LGM.</t>
  </si>
  <si>
    <t>[Christ, Andrew J.] Boston Univ, Dept Earth &amp; Environm, Boston, MA 02215 USA; [Christ, Andrew J.; Bierman, Paul R.] Univ Vermont, Dept Geol, Burlington, VT 05405 USA</t>
  </si>
  <si>
    <t>Boston University; University of Vermont</t>
  </si>
  <si>
    <t>Christ, AJ (corresponding author), Boston Univ, Dept Earth &amp; Environm, Boston, MA 02215 USA.;Christ, AJ (corresponding author), Univ Vermont, Dept Geol, Burlington, VT 05405 USA.</t>
  </si>
  <si>
    <t>andrew.christ@uvm.edu</t>
  </si>
  <si>
    <t>Bierman, Paul/AAA-9466-2020; Christ, Andrew J./AAA-7777-2020</t>
  </si>
  <si>
    <t>Bierman, Paul/0000-0001-9627-4601; Christ, Andrew J./0000-0003-0989-6491</t>
  </si>
  <si>
    <t>National Science FoundationOffice of Polar Programs (NSF-OPP) [1246316]; NSF Graduate Research Fellowship; Department of Earth and Environment, BU; NSF-OPP [1043681, 1559691]; Polar Geospatial Center under NSF-OPP [1043681, 1559691, 1543501, 1810976, 1542736, 1541332, 0753663, 1548562, 1238993]; NASA [NNX10AN61G]; Byrd Polar and Climate Research Center under NSF-OPP [1043681, 1559691, 1543501, 1810976, 1542736, 1541332, 0753663, 1548562, 1238993]; NASA [127993, NNX10AN61G] Funding Source: Federal RePORTER; Office of Advanced Cyberinfrastructure (OAC); Direct For Computer &amp; Info Scie &amp; Enginr [1810976] Funding Source: National Science Foundation; Office of Advanced Cyberinfrastructure (OAC); Direct For Computer &amp; Info Scie &amp; Enginr [1541332] Funding Source: National Science Foundation; Office of Polar Programs (OPP); Directorate For Geosciences [1246316] Funding Source: National Science Foundation; Office of Polar Programs (OPP); Directorate For Geosciences [0753663, 1543501] Funding Source: National Science Foundation</t>
  </si>
  <si>
    <t>National Science FoundationOffice of Polar Programs (NSF-OPP)(National Science Foundation (NSF)); NSF Graduate Research Fellowship(National Science Foundation (NSF)); Department of Earth and Environment, BU; NSF-OPP(National Science Foundation (NSF)NSF - Directorate for Geosciences (GEO)); Polar Geospatial Center under NSF-OPP; NASA(National Aeronautics &amp; Space Administration (NASA)); Byrd Polar and Climate Research Center under NSF-OPP; NASA(National Aeronautics &amp; Space Administration (NASA)); Office of Advanced Cyberinfrastructure (OAC); Direct For Computer &amp; Info Scie &amp; Enginr(National Science Foundation (NSF)NSF - Directorate for Computer &amp; Information Science &amp; Engineering (CISE)); Office of Advanced Cyberinfrastructure (OAC); Direct For Computer &amp; Info Scie &amp; Enginr(National Science Foundation (NSF)NSF - Directorate for Computer &amp; Information Science &amp; Engineering (CISE)); Office of Polar Programs (OPP); Directorate For Geosciences(National Science Foundation (NSF)NSF - Directorate for Geosciences (GEO)); Office of Polar Programs (OPP); Directorate For Geosciences(National Science Foundation (NSF)NSF - Directorate for Geosciences (GEO))</t>
  </si>
  <si>
    <t>We thank our excellent field assistants Sean Mackay and Boston University (BU) undergraduates, Emelia Chamberlain, Natalie Robinson, and Daniel Rybarcyzk. We also extend our gratitude to science support staff at McMurdo Station, Antarctica-particularly MacOps, the Berg Field Center, and PHI Helicopters-for facilitating our research needs and guaranteeing our safety during field expeditions. We thank David Marchant for guidance and grant support of this research under National Science FoundationOffice of Polar Programs (NSF-OPP) award 1246316. Additional support for this research was provided by a NSF Graduate Research Fellowship to Andrew Christ and the Department of Earth and Environment, BU. The Polar Geospatial Center provided geospatial support under NSF-OPP awards 1043681 and 1559691. Digital elevations models (DEMs) provided by the Byrd Polar and Climate Research Center and the Polar Geospatial Center under NSF-OPP awards 1543501, 1810976, 1542736, 1559691, 1043681, 1541332, 0753663, 1548562, 1238993 and NASA award NNX10AN61G. Computer time provided through a Blue Waters Innovation Initiative. DEMs produced using data from DigitalGlobe, Inc. Additionally we thank the National Ocean Sciences Accelerator Mass Spectrometer Facility at the Woods Hole Oceanographic Institution and Robert Michener at the BU Stable Isotope Laboratory for sample analysis. We thank Brenda Hall for constructive comments that greatly improved an early version of this manuscript, as well as the useful comments from Claire Todd, an anonymous reviewer, and Associate Editor during the review process.</t>
  </si>
  <si>
    <t>10.1130/B35139.1</t>
  </si>
  <si>
    <t>KA5AX</t>
  </si>
  <si>
    <t>WOS:000505809800003</t>
  </si>
  <si>
    <t>Sahy, D; Hiess, J; Fischer, AU; Condon, DJ; Terry, DO; Abels, HA; Hüsing, SK; Kuiper, KF</t>
  </si>
  <si>
    <t>Sahy, Diana; Hiess, Joe; Fischer, Anne U.; Condon, Daniel J.; Terry, Dennis O., Jr.; Abels, Hemmo A.; Husing, Silja K.; Kuiper, Klaudia F.</t>
  </si>
  <si>
    <t>Accuracy and precision of the late Eocene-early Oligocene geomagnetic polarity time scale</t>
  </si>
  <si>
    <t>WHITE-RIVER GROUP; MIDDLE EOCENE; ASTRONOMICAL CALIBRATION; LITHOSTRATIGRAPHIC REVISION; NORTHWESTERN NEBRASKA; ANTARCTIC GLACIATION; MAGNETOSTRATIGRAPHY; TRANSITION; TIMESCALE; SECTION</t>
  </si>
  <si>
    <t>An accurate and precise geomagnetic polarity time scale is crucial to the development of a chronologic framework in which to test paleoclimatic and paleoenvironmental interpretations of marine and terrestrial records of the Eocene-Oligocene transition (EOT). The magnetic polarity patterns of relatively continuous marine and terrestrial records of the EOT have been dated using both radioisotopic techniques and astronomical tuning, both of which can achieve a precision approaching +/- 30 k.y. for much of the Paleogene. However, the age of magnetic reversals between chrons C12n and C16n.2n has proved difficult to calibrate, with discrepancies of up to 250 k.y. between radio-isotopically dated and astronomically tuned marine successions, rising to 600 k.y. for comparisons with the (PbU)-Pb-206-U-/238-dated terrestrial record of the White River Group in North America. In this study, we reevaluate the magnetic polarity pattern of the Flagstaff Rim and Toadstool Geologic Park records of the White River Group (C12n-C16n.2n). Our interpretation of the Flagstaff Rim polarity record differs significantly from earlier studies, identifying a previously unreported normal polarity zone correlated to C15n, which eliminates discrepancies between the WRG and the Pb-206/U-238-dated marine record of the Rupelian Global Stratotype Section and Point in the Italian Umbria-Marche basin. However, residual discrepancies persist between U-Pb-dated and astronomically tuned records of the EOT even when stratigraphic and systematic uncertainties associated with each locality and dating method are taken into account, which suggests that the uncertainties associated with astronomically tuned records of the EOT may have been underestimated.</t>
  </si>
  <si>
    <t>[Sahy, Diana; Hiess, Joe; Condon, Daniel J.] British Geol Survey, NERC Isotope Geosci Lab, Keyworth NG12 5GG, Notts, England; [Sahy, Diana] Univ Leicester, Dept Geol, Univ Rd, Leicester LE1 7RH, Leics, England; [Fischer, Anne U.; Kuiper, Klaudia F.] Vrije Univ, Fac Earth &amp; Life Sci, 1085 De Boelelaan, NL-1081 HV Amsterdam, Netherlands; [Terry, Dennis O., Jr.] Temple Univ, Dept Earth &amp; Environm Sci, Philadelphia, PA 19122 USA; [Abels, Hemmo A.; Husing, Silja K.; Kuiper, Klaudia F.] Univ Utrecht, Dept Earth Sci, Budapestlaan 17, NL-3584 CD Utrecht, Netherlands</t>
  </si>
  <si>
    <t>UK Research &amp; Innovation (UKRI); Natural Environment Research Council (NERC); NERC British Geological Survey; University of Leicester; Vrije Universiteit Amsterdam; Pennsylvania Commonwealth System of Higher Education (PCSHE); Temple University; Utrecht University</t>
  </si>
  <si>
    <t>Sahy, D (corresponding author), British Geol Survey, NERC Isotope Geosci Lab, Keyworth NG12 5GG, Notts, England.;Sahy, D (corresponding author), Univ Leicester, Dept Geol, Univ Rd, Leicester LE1 7RH, Leics, England.</t>
  </si>
  <si>
    <t>dihy@bgs.ac.uk</t>
  </si>
  <si>
    <t>Condon, Daniel J/A-4249-2008</t>
  </si>
  <si>
    <t>European Community [215458]; NERC [bgs06001] Funding Source: UKRI</t>
  </si>
  <si>
    <t>European Community; NERC(UK Research &amp; Innovation (UKRI)Natural Environment Research Council (NERC))</t>
  </si>
  <si>
    <t>This work was funded through the European Community's Seventh Framework Programme (FP7/2007-2013) under grant agreement no. [215458]. The authors thank Brent Breithaupt (Bureau of Land Management, Cheyenne, Wyoming), Carla Loop, and Barbara Beasley (Nebraska National Forest, U.S. Forest Service) for providing permits to collect samples at Flagstaff Rim and TGP, Bill Lukens for help during field work, and the staff of the Fort Hoofddijk Paleomagnetic Laboratory for access to their facilities and assistance with paleomagnetic measurements. The authors thank Courtney Sprain and an anonymous reviewer for their constructive comments.</t>
  </si>
  <si>
    <t>10.1130/B35184.1</t>
  </si>
  <si>
    <t>WOS:000505809800021</t>
  </si>
  <si>
    <t>Pedersen, HA; Leroy, N; Zigone, D; Vallée, M; Ringler, AT; Wilson, DC</t>
  </si>
  <si>
    <t>Pedersen, Helle A.; Leroy, Nicolas; Zigone, Dimitri; Vallee, Martin; Ringler, Adam T.; Wilson, David C.</t>
  </si>
  <si>
    <t>Using Component Ratios to Detect Metadata and Instrument Problems of Seismic Stations: Examples from 18 Yr of GEOSCOPE Data</t>
  </si>
  <si>
    <t>SEISMOLOGICAL RESEARCH LETTERS</t>
  </si>
  <si>
    <t>TEMPORAL VARIATIONS; QUALITY-CONTROL; CALIBRATION; NETWORK; SEISMOMETER; PROGRAM; GAIN</t>
  </si>
  <si>
    <t>Replacement or deterioration of seismic instruments and the evolution of the installation conditions and sites can alter the seismic signal in very subtle ways; therefore, it is notoriously difficult to monitor the signal quality of permanent seismic stations. We present a simple way to characterize and monitor signal quality, using energy ratios between each pair of the three components, as a complement to existing methods. To calculate stable daily energy ratios over a large frequency range (0.01-5 Hz), we use the daily median energy ratio over all 5 min windows within the day. The method is applied to all GEOSCOPE stations, for continuous BH channel data collected since 2001. We show applications to identify past gain problems (stations ROCAM and CRZF), to provide feedback after field interventions at remote sites (Antarctic station DRV), and to shed light on complex instrument problems (stations ECH and KIP). Our results show that component energy ratios have excellent time resolution and that they are visually simple for identification of problems. They can be used both for ongoing continuous monitoring of the signal quality, or as a tool to identify past problems. The Python code to produce the results in this work and the Python code for daily monitoring used by GEOSCOPE are available (see Data and Resources).</t>
  </si>
  <si>
    <t>[Pedersen, Helle A.] Univ Grenoble Alpes, Univ Savoie Mt Blanc, CNRS, IRD,IFSTTAR,ISTerre, Grenoble, France; [Leroy, Nicolas; Vallee, Martin] Univ Paris, CNRS, Inst Phys Globe Paris, Paris, France; [Zigone, Dimitri] Univ Strasbourg, Inst Phys Globe Strasbourg, EOST, CNRS, Grenoble, France; [Ringler, Adam T.; Wilson, David C.] US Geol Survey, Albuquerque, NM USA</t>
  </si>
  <si>
    <t>Universite Savoie Mont Blanc; Communaute Universite Grenoble Alpes; Universite Grenoble Alpes (UGA); Centre National de la Recherche Scientifique (CNRS); Institut de Recherche pour le Developpement (IRD); Universite Gustave-Eiffel; Universite Paris Cite; Centre National de la Recherche Scientifique (CNRS); Centre National de la Recherche Scientifique (CNRS); Universites de Strasbourg Etablissements Associes; Universite de Strasbourg; United States Department of the Interior; United States Geological Survey</t>
  </si>
  <si>
    <t>Pedersen, HA (corresponding author), Univ Grenoble Alpes, Univ Savoie Mt Blanc, CNRS, IRD,IFSTTAR,ISTerre, Grenoble, France.</t>
  </si>
  <si>
    <t>helle.pedersen@univ-grenoble-alpes.fr</t>
  </si>
  <si>
    <t>Pedersen, Helle/E-4927-2017; Pedersen, Helle/AGR-3227-2022; Zigone, Dimitri/H-8888-2013; Vallee, Martin/K-5192-2012</t>
  </si>
  <si>
    <t>Pedersen, Helle/0000-0003-2936-8047; Zigone, Dimitri/0000-0003-2383-8271; Vallee, Martin/0000-0001-8049-4634</t>
  </si>
  <si>
    <t>Centre National de la Recherche Scientifique (CNRS); Institut de Physique du Globe de Paris (IPGP); Universite de Strasbourg; French Polar Institute (IPEV) [133]; Seismology and Earthquake Engineering Research Infrastructure Alliance for Europe (SERA) project under the European Union's Horizon 2020 research and innovation program [730900]</t>
  </si>
  <si>
    <t>Centre National de la Recherche Scientifique (CNRS)(Centre National de la Recherche Scientifique (CNRS)); Institut de Physique du Globe de Paris (IPGP); Universite de Strasbourg; French Polar Institute (IPEV); Seismology and Earthquake Engineering Research Infrastructure Alliance for Europe (SERA) project under the European Union's Horizon 2020 research and innovation program</t>
  </si>
  <si>
    <t>The authors thank field personnel and data managers who through their dedication make it possible to coherently analyze seismological data spanning several decades. The authors thank Armelle Bernard, Jean-Yves Thore, and Maxime Bes De Berc for helpful discussions regarding CRZF, DRV, and ECH stations. David Wolyniec from the RESIF data center calculated the probability density functions (PDFs) of Figure 5. The GEOSCOPE network is funded by Centre National de la Recherche Scientifique (CNRS), Institut de Physique du Globe de Paris (IPGP), and Universite de Strasbourg. The GEOSCOPE stations in sub-Antarctic and Antarctic regions are managed with support from the French Polar Institute (IPEV) under Program Number 133 Global Seismological Observatory (SISMOLOGIE/OBS). The python code used to produce the figures in this article had support to move it to a publishable state from the ISTerre geodata team. The present work received support from the Seismology and Earthquake Engineering Research Infrastructure Alliance for Europe (SERA) project, funded under the European Union's Horizon 2020 research and innovation program under Grant Agreement Number 730900. The authors thank two anonymous reviewers, Jill McCarthy, Janet Slate, and Weiwei Xu for very helpful reviews.</t>
  </si>
  <si>
    <t>SEISMOLOGICAL SOC AMER</t>
  </si>
  <si>
    <t>ALBANY</t>
  </si>
  <si>
    <t>400 EVELYN AVE, SUITE 201, ALBANY, CA 94706-1375 USA</t>
  </si>
  <si>
    <t>0895-0695</t>
  </si>
  <si>
    <t>1938-2057</t>
  </si>
  <si>
    <t>SEISMOL RES LETT</t>
  </si>
  <si>
    <t>Seismol. Res. Lett.</t>
  </si>
  <si>
    <t>10.1785/0220190180</t>
  </si>
  <si>
    <t>JY9XK</t>
  </si>
  <si>
    <t>WOS:000504758600021</t>
  </si>
  <si>
    <t>Huang, DK; Lin, J; Du, JZ; Yu, T</t>
  </si>
  <si>
    <t>Huang, Dekun; Lin, Jing; Du, Jinzhou; Yu, Tao</t>
  </si>
  <si>
    <t>The detection of Fukushima-derived radiocesium in the Bering Sea and Arctic Ocean six years after the nuclear accident</t>
  </si>
  <si>
    <t>Radiocesium; Seawater; Fukushima accident; Arctic</t>
  </si>
  <si>
    <t>NORTH PACIFIC; CHUKCHI SEA; TRANSPORT; RADIONUCLIDES; CIRCULATION; SURFACE; CS-137; RADIOACTIVITY; DEPOSITION; SEAWATER</t>
  </si>
  <si>
    <t>After the Fukushima Daiichi Nuclear Power Plant (FDNPP) accident, radionuclides released by this event were observed in the Pacific Ocean. Models predicted that these radionuclides would be transported to the Bering Sea; however, limited evidence currently reveals the transportation of these radionuclides to the Arctic Ocean. Here, we provide the first direct observation showing that FDNPP-derived Cs-134 and Cs-137 were present in subarctic regions and the Arctic Ocean (Chukchi Sea) in 2017. Furthermore, we conclude that these radionuclides were transported from the Pacific Ocean into the Bering and Chukchi Seas by ocean currents. Additionally, the Cs-137 activity concentrations in the Bering Sea exceed those in all previous reports. Due to the continuous leaking of radionuclides from the FDNPP, we hypothesize that FDNPP-derived radionuclides will be continuously transported to the Arctic Ocean in the next several years. Our results suggest that though far away from Fukushima, the accident-derived anthropogenic radionuclides also influenced the Arctic Ocean by ocean currents. (C) 2019 Elsevier Ltd. All rights reserved.</t>
  </si>
  <si>
    <t>[Huang, Dekun; Lin, Jing; Yu, Tao] Minist Nat Resource, Inst Oceanog 3, Lab Marine Isotop Technol &amp; Environm Risk Assessm, Xiamen 361005, Fujian, Peoples R China; [Du, Jinzhou] East China Normal Univ, State Key Lab Estuarine &amp; Coastal Res, Shanghai 200062, Peoples R China</t>
  </si>
  <si>
    <t>Third Institute of Oceanography, Ministry of Natural Resources; East China Normal University</t>
  </si>
  <si>
    <t>Yu, T (corresponding author), Minist Nat Resource, Inst Oceanog 3, Lab Marine Isotop Technol &amp; Environm Risk Assessm, Xiamen 361005, Fujian, Peoples R China.</t>
  </si>
  <si>
    <t>yutao@tio.org.cn</t>
  </si>
  <si>
    <t>Huang, Dekun/A-8906-2010</t>
  </si>
  <si>
    <t>Huang, Dekun/0000-0002-3150-8726</t>
  </si>
  <si>
    <t>Scientific Research Foundation of the Third Institute of Oceanography, MNR [2018029]; Public Science and Technology Research Funds Projects of Ocean [201505005-1]; Science Foundation of the Fujian Province [2017J05065]; Natural Science Foundation of China [41306073]; Chinese Arctic and Antarctic Administration</t>
  </si>
  <si>
    <t>Scientific Research Foundation of the Third Institute of Oceanography, MNR; Public Science and Technology Research Funds Projects of Ocean; Science Foundation of the Fujian Province(Natural Science Foundation of Fujian Province); Natural Science Foundation of China(National Natural Science Foundation of China (NSFC)); Chinese Arctic and Antarctic Administration</t>
  </si>
  <si>
    <t>We would like to thank the captain, crews, and science parties on the cruise that collected the samples for this research. We would like to thank Rongyuan Wang for his help with sampling. Thanks to Lina Lin for supplying the temperature and salinity data. This research was supported by the Scientific Research Foundation of the Third Institute of Oceanography, MNR (No. 2018029), the Public Science and Technology Research Funds Projects of Ocean (201505005-1), the Science Foundation of the Fujian Province (2017J05065), the Natural Science Foundation of China (41306073), and the Chinese Arctic and Antarctic Administration. The figures in this manuscriptwere all drawn using the Ocean Data View software (Schlitzer, 2015). All data presented in the manuscript can be found in supplementary Table S1.</t>
  </si>
  <si>
    <t>10.1016/j.envpol.2019.113386</t>
  </si>
  <si>
    <t>JY9WW</t>
  </si>
  <si>
    <t>WOS:000504757200042</t>
  </si>
  <si>
    <t>Stocker, CW; Haddy, J; Lyle, J; Nowak, BF</t>
  </si>
  <si>
    <t>Stocker, Clayton W.; Haddy, James; Lyle, Jeremy; Nowak, Barbara F.</t>
  </si>
  <si>
    <t>Muscle melanisation of southern sand flathead (Platycephalus bassensis) in the Tamar Estuary, Tasmania, Australia</t>
  </si>
  <si>
    <t>Muscle melanisation; Melano-macrophage centres; Melanin; Tamar estuary; Southern sand flathead</t>
  </si>
  <si>
    <t>MELANOMACROPHAGE CENTERS; ATLANTIC SALMON; BLUEFIN TUNA; PIGMENTATION; PHEOMELANIN; EUMELANIN; KIDNEY; MICE; AGE</t>
  </si>
  <si>
    <t>Tasmanian recreational fishers have reported the presence of dark pigmentations in the usually white fillets of southern sand flathead (Platycephalus bassensis), a phenomenon known as muscle melanisation. Based on histology, it is suggested that eumelanin and pheomelanin are involved in the occurrence of the phenomenon. A gross melanisation scoring system was validated through a comparison with an image analysis technique, that quantified the percentage surface area of the fillets affected by muscle melanisation. The occurrence of muscle melanisation was most severe in fish inhabiting Deceitful Cove, Tamar Estuary. This indicated that muscle melanisation in P. bassensis may be caused by yet to be identified site specific factors. No significant relationships were evident between the percentage surface area of melanised muscle with condition index, age, sex, maturation stage, fish weight, fish length and size of melano-macrophage centres in the liver or spleen. Overall, this study has provided critical information that will frame the direction and focus of future P. bassensis muscle melanisation research. (C) 2019 Elsevier Ltd. All rights reserved.</t>
  </si>
  <si>
    <t>[Stocker, Clayton W.; Haddy, James; Nowak, Barbara F.] Univ Tasmania, Inst Marine &amp; Antarctic Studies, Fisheries &amp; Aquaculture Ctr, Locked Bag 1370, Launceston, Tas 7250, Australia; [Lyle, Jeremy] Inst Marine &amp; Antarctic Studies, Fisheries &amp; Aquaculture Ctr, 15-21 Nubeena Crescent, Taroona, Tas 7053, Australia</t>
  </si>
  <si>
    <t>Nowak, BF (corresponding author), Univ Tasmania, Inst Marine &amp; Antarctic Studies, Fisheries &amp; Aquaculture Ctr, Locked Bag 1370, Launceston, Tas 7250, Australia.</t>
  </si>
  <si>
    <t>B.Nowak@utas.edu.au</t>
  </si>
  <si>
    <t>Nowak, Barbara/J-7261-2014</t>
  </si>
  <si>
    <t>Nowak, Barbara/0000-0002-0347-643X; Stocker, Clayton/0000-0002-0640-1484</t>
  </si>
  <si>
    <t>10.1016/j.envpol.2019.113452</t>
  </si>
  <si>
    <t>WOS:000504757200099</t>
  </si>
  <si>
    <t>Kietzmann, DA; Scasso, RA</t>
  </si>
  <si>
    <t>Kietzmann, Diego A.; Scasso, Roberto A.</t>
  </si>
  <si>
    <t>Jurassic to Cretaceous (upper Kimmeridgian-?lower Berriasian) calcispheres from high palaeolatitudes on the Antarctic Peninsula: Local stratigraphic significance and correlations across Southern Gondwana margin and the Tethyan realm</t>
  </si>
  <si>
    <t>Calcareous dinoflagellate cysts; Biostratigraphy; Upper jurassic; Ameghino; Nordenskjold</t>
  </si>
  <si>
    <t>CALCAREOUS DINOFLAGELLATE CYSTS; VACA MUERTA FORMATION; NEUQUEN BASIN; MARINE OSTRACOD; BOUNDARY; CALPIONELLIDS; DEPOSITS; SECTION; MAGNETOSTRATIGRAPHY; RECONSTRUCTION</t>
  </si>
  <si>
    <t>We report Upper Jurassic Lower Cretaceous (Kimmeridgian-Berriasian) calcispheres from the Ameghino (Nordenskjold) Formation at high palaeolatitudes on the northern part of the Antarctic Peninsula. The Ameghino Formation generally contains a relatively poorly preserved association of calcispheres, which are often recrystallized or replaced by silica; however, early-diagenetic calcite concretions are widespread in the mudstone tuff sequences, and calcisphere in these contexts show very good preservation. Among the seventeen species recognized in this study, thirteen are known from the Upper Jurassic Lower Cretaceous pelagic sediments of the Tethyan and Andean regions. The remaining three include Stomiosphaera, and two new species, that probably indicate an austral character for the calcisphere association. The following calcisphere zones previously proposed for the Tethyan realm and the Andes arc confirmed for the Ameghino Formation: Carpistomiosphaera borzai, Carpistomiosphaera tithonica, Parastomiosphaera malmica, Colomisphaera tenuis, Colomisphaera fortis and Stomiosphaerina proximo. Zones indicate a late Kimmeridgian to early Berriasian age, broadly consistent with previous age assignments based on ammonites and radiolarians. However, calcisphere ages allow partial stratigraphic re-arrangement of the succession cropping out in Sobral Peninsula and support the intercalation of sandy-conglomeratic beds, deposited in submarine fan environment, between the slope-basinal facies typical of the Ameghino Formation. Facies changes suggest basin margins across the Antarctic Peninsula in a complex paleogeography with large emergent landmasses to the southwest of the study area. Possible dispersal routes along the Southern Gondwana margin occurred along the so-called Hispanic and Mozambique corridors. Identified species show a global distribution, being represented in the Andean, the Tethyan and Boreal realms. The cosmopolitan character of Mesozoic calcispheres proves their importance for interregional correlations.</t>
  </si>
  <si>
    <t>[Kietzmann, Diego A.; Scasso, Roberto A.] Univ Buenos Aires, Fac Ciencias Exactas &amp; Nat, Dept Ciencias Geol, Ciudad Univ,Pabellon 2,Intendente Guiraldes 2160, Buenos Aires, DF, Argentina; [Kietzmann, Diego A.; Scasso, Roberto A.] Univ Buenos Aires, CONICET, Inst Geociencias Basicas Ambientales &amp; Aplicadas, Buenos Aires, DF, Argentina</t>
  </si>
  <si>
    <t>Kietzmann, DA (corresponding author), Univ Buenos Aires, Fac Ciencias Exactas &amp; Nat, Dept Ciencias Geol, Ciudad Univ,Pabellon 2,Intendente Guiraldes 2160, Buenos Aires, DF, Argentina.</t>
  </si>
  <si>
    <t>diegokietzmann@gl.fcen.uba.ar; rscasso@gl.fcen.uba.ar</t>
  </si>
  <si>
    <t>Kietzmann, Diego Alejandro/0000-0003-1222-7811</t>
  </si>
  <si>
    <t>10.1016/j.palaeo.2019.109419</t>
  </si>
  <si>
    <t>JZ0EW</t>
  </si>
  <si>
    <t>WOS:000504778600016</t>
  </si>
  <si>
    <t>Pollard, D; DeConto, RM</t>
  </si>
  <si>
    <t>Pollard, David; DeConto, Robert M.</t>
  </si>
  <si>
    <t>Continuous simulations over the last 40 million years with a coupled Antarctic ice sheet-sediment model</t>
  </si>
  <si>
    <t>Cenozoic; Bedrock topography; Bedrock erosion; Marine sediments; Antarctic ice sheet evolution</t>
  </si>
  <si>
    <t>AMUNDSEN SEA; LANDSCAPE EVOLUTION; EAST ANTARCTICA; SEISMIC STRATIGRAPHY; SUBGLACIAL EROSION; CONTINENTAL-MARGIN; WEDDELL SEA; CLIMATE; WEST; RECORD</t>
  </si>
  <si>
    <t>Much of the knowledge of Antarctic Ice Sheet variations since its inception similar to 34 Ma derives from marine sediments on the continental shelf, deposited in glacimarine or sub-ice environments by advancing and retreating grounded ice, and observed today by seismic profiling and coring. Here we apply a 3-D coupled ice sheet and sediment model from 40 Ma to the present, with the goal of directly linking ice-sheet variations with the sediment record. The ice-sheet model uses vertically averaged ice dynamics and parameterized grounding-line flux. The sediment model includes quarrying of bedrock, sub-ice transport, and marine deposition. Atmospheric and oceanic forcing are determined by uniform shifts to modern climatology in proportion to records of atmospheric CO2, deep-sea-core delta O-18, and orbital insolation variations. The model is run continuously over the last 40 Myr at coarse resolution (80 or 160 km), modeling post-Eocene ice, landscape evolution and off-shore sediment packages in a single self-consistent simulation. Strata and unconformities are tracked by recording times of deposition within the model sediment stacks, which can be compared directly with observed seismic profiles. The initial bedrock topography is initialized to 34 Ma geologic reconstructions, or an iterative procedure is used that yields independent estimates of paleo bedrock topography. Preliminary results are compared with recognized Cenozoic ice-sheet variations, modern sediment distributions and seismic profiles, and modem and paleo bedrock topographies.</t>
  </si>
  <si>
    <t>[Pollard, David] Penn State Univ, Earth &amp; Environm Syst Inst, University Pk, PA 16802 USA; [DeConto, Robert M.] Univ Massachusetts, Dept Geosci, Amherst, MA 01003 USA</t>
  </si>
  <si>
    <t>Pennsylvania Commonwealth System of Higher Education (PCSHE); Pennsylvania State University; Pennsylvania State University - University Park; University of Massachusetts System; University of Massachusetts Amherst</t>
  </si>
  <si>
    <t>Pollard, D (corresponding author), Penn State Univ, Earth &amp; Environm Syst Inst, University Pk, PA 16802 USA.</t>
  </si>
  <si>
    <t>pollard@essc.psu.edu</t>
  </si>
  <si>
    <t>US National Science Foundation [GEO-1240507, ICER-1663693]</t>
  </si>
  <si>
    <t>We thank two anonymous reviewers for careful and constructive reviews, and Karsten Gohl and Katharina Hochmuth for helpful suggestions. We also thank Douglas Wilson for providing maps of West Antarctic thermal subsidence and Antarctic basin boundaries as in Wilson et al. (2012), including a boundary between the Amundsen and Ross basins that does not appear in their Fig. 4. The atmospheric CO2 record of Pagani et al. (2005) used in the Supplementary Material was obtained from the Palaeo-CO2 Project website http://www.p-co2.org.This work was supported in part by US National Science Foundation grants GEO-1240507 and ICER-1663693.</t>
  </si>
  <si>
    <t>10.1016/j.palaeo.2019.109374</t>
  </si>
  <si>
    <t>WOS:000504778600002</t>
  </si>
  <si>
    <t>Sheehan, CE; Petrou, K</t>
  </si>
  <si>
    <t>Sheehan, Cristin E.; Petrou, Katherina</t>
  </si>
  <si>
    <t>Dimethylated sulfur production in batch cultures of Southern Ocean phytoplankton</t>
  </si>
  <si>
    <t>BIOGEOCHEMISTRY</t>
  </si>
  <si>
    <t>Southern Ocean; Phytoplankton; Dimethylsulfoniopropionate; Dimethylsulfide; Biogeochemistry</t>
  </si>
  <si>
    <t>DMSP-LYASE ACTIVITY; ANTARCTIC SEA-ICE; DIMETHYLSULFONIOPROPIONATE DMSP; PHAEOCYSTIS-ANTARCTICA; DIMETHYLSULPHONIOPROPIONATE DMSP; DIMETHYLSULFIDE DMS; ATMOSPHERIC SULFUR; MARINE; ALGAE; SULFIDE</t>
  </si>
  <si>
    <t>Dimethylsulfoniopropionate (DMSP) is a ubiquitous organic sulfur compound that underpins sulfur cycling in the marine environment and is the precursor to the climatically active gas dimethylsulfide (DMS). Modelling studies have identified the Southern Ocean as a DMS hot spot during summer, yet except for the bloom forming haptophyte Phaeocystis, little is known about sulfur production by other important members of the marine microbial community. Here, we measured DMSP concentrations and DMSP lyase activity (DLA), with corresponding carbon, nitrogen and Chl a content, in 15 species of Antarctic phototrophic phytoplankton (14 microalgae species and one cyanobacterium) and one phagotrophic flagellate. We found that 11 of the 16 species were able to produce DMSP and eight possess DLA. DMSP content ranged from 0.06 to 73 fmol cell(-1) and estimated DMSP production rates ranged from 0.008 to 12.42 fmol cell(-1) day(-1). As expected, Phaeocystis was amongst the highest producers, however, contrary to expectation DMSP concentrations were high in several pennate diatom species, with intracellular concentrations between 1.85 and 46.6 mM. Here we present the first evidence that the cyanobacterium Synechococcus may be a DMSP producer, with the potential to contribute significantly to the DMSP pool. This study has provided the first analysis of DMSP production and DLA in a suite of phototrophic and phagotrophic species isolated from Antarctica, revealing the variability in DMSP concentrations across multiple strains and within genera and delivered new evidence for potential DLA in diatoms.</t>
  </si>
  <si>
    <t>[Sheehan, Cristin E.; Petrou, Katherina] Univ Technol Sydney, Sch Life Sci, 15 Broadway, Ultimo, NSW 2007, Australia; [Sheehan, Cristin E.] Univ Technol Sydney, Climate Change Cluster, 15 Broadway, Ultimo, NSW 2007, Australia</t>
  </si>
  <si>
    <t>University of Technology Sydney; University of Technology Sydney</t>
  </si>
  <si>
    <t>Petrou, K (corresponding author), Univ Technol Sydney, Sch Life Sci, 15 Broadway, Ultimo, NSW 2007, Australia.</t>
  </si>
  <si>
    <t>Katherina.Petrou@uts.edu.au</t>
  </si>
  <si>
    <t>Petrou, Katherina/0000-0002-2703-0694</t>
  </si>
  <si>
    <t>0168-2563</t>
  </si>
  <si>
    <t>1573-515X</t>
  </si>
  <si>
    <t>Biogeochemistry</t>
  </si>
  <si>
    <t>10.1007/s10533-019-00628-8</t>
  </si>
  <si>
    <t>JY7TJ</t>
  </si>
  <si>
    <t>WOS:000504612200004</t>
  </si>
  <si>
    <t>Valero, E</t>
  </si>
  <si>
    <t>Valero, Eva</t>
  </si>
  <si>
    <t>Por los grados de la tierra demarcando: A New Reading of the Poetic Geography of La Araucana</t>
  </si>
  <si>
    <t>RILCE-REVISTA DE FILOLOGIA HISPANICA</t>
  </si>
  <si>
    <t>Ercilla; La Araucana; Chile; Poetic Geography</t>
  </si>
  <si>
    <t>The study of the geographic perspective of La Araucana, in connection with the visions of nature, is a subject analyzed in critical works from different angles. Whether focusing on geographic data transmuted into epic geographies, or focusing on the well-known duality in the poetizations of nature (paradisiacal or infernal), these studies envision the spatial and ideological procedures with which La Araucana stands as a paradigmatic work for the construction of the literary geography born in the texts about discovery. This article realizes a new development of this vision with the relevant complement provided by the Geographic Index created by Jose Toribio Medina in his Centennial Edition, in which it is evident that Ercilla named the most diverse places on the planet so that Chile, in the famous Antarctic region, was appearing on the world map that the index draws.</t>
  </si>
  <si>
    <t>[Valero, Eva] Univ Alicante, Dept Filol Espanola Linguist Gen &amp; Teoria Literat, Carr San Vicente Raspeig S-N, Alicante 03690, Spain</t>
  </si>
  <si>
    <t>Universitat d'Alacant</t>
  </si>
  <si>
    <t>Valero, E (corresponding author), Univ Alicante, Dept Filol Espanola Linguist Gen &amp; Teoria Literat, Carr San Vicente Raspeig S-N, Alicante 03690, Spain.</t>
  </si>
  <si>
    <t>eva.valero@ua.es</t>
  </si>
  <si>
    <t>UNIV NAVARRA, SERVICIO PUBLICACIONES</t>
  </si>
  <si>
    <t>PAMPLONA</t>
  </si>
  <si>
    <t>CAMPUS UNIV, CARRETERA DEL SADAR S-N, APARTADO 177, 31080 PAMPLONA, SPAIN</t>
  </si>
  <si>
    <t>0213-2370</t>
  </si>
  <si>
    <t>2174-0917</t>
  </si>
  <si>
    <t>RILCE-REV FILOL HISP</t>
  </si>
  <si>
    <t>RILCE-Rev. Filol. Hisp.</t>
  </si>
  <si>
    <t>10.15581/008.36.1.109-33</t>
  </si>
  <si>
    <t>Linguistics; Language &amp; Linguistics; Literature, Romance</t>
  </si>
  <si>
    <t>Social Science Citation Index (SSCI); Arts &amp; Humanities Citation Index (A&amp;HCI)</t>
  </si>
  <si>
    <t>Linguistics; Literature</t>
  </si>
  <si>
    <t>JX9LF</t>
  </si>
  <si>
    <t>WOS:000504047600006</t>
  </si>
  <si>
    <t>Liu, Y; Chen, HP; Li, HX; Wang, HJ</t>
  </si>
  <si>
    <t>Liu, Yong; Chen, Huopo; Li, Huixin; Wang, Huijun</t>
  </si>
  <si>
    <t>The Impact of Preceding Spring Antarctic Oscillation on the Variations of Lake Ice Phenology over the Tibetan Plateau</t>
  </si>
  <si>
    <t>Atmosphere-ocean interaction; Atmospheric circulation; Teleconnections; Climate change; Climate variability</t>
  </si>
  <si>
    <t>SEA-SURFACE TEMPERATURE; LOW-FREQUENCY VARIABILITY; SUMMER MONSOON RAINFALL; HEMISPHERE ANNULAR MODE; SOUTHERN-HEMISPHERE; TROPICAL ATLANTIC; INTERANNUAL VARIATIONS; SNOW COVER; UP DATES; CLIMATE</t>
  </si>
  <si>
    <t>The lake ice phenology response to climate change has been receiving growing concern in recent years. However, most studies have put emphasis on the spatial and temporal variability of lake ice phenology, and relatively few studies have been devoted to investigating the physical mechanisms of changes in lake ice phenology from the perspective of climatic dynamics. This study investigates the possible impact of the Antarctic Oscillation (AAO) on the variations in lake ice phenology over the Tibetan Plateau (TP). The results show that there is an intimate relationship between the AAO and the variations in break-up/ice duration during the period 2003-15. Further analysis indicates that the preceding boreal spring AAO-induced atmospheric circulation anomalies are favorable for generating tropical South Atlantic Ocean SST anomalies through air-sea interaction. Then the tropical SST anomalies strengthen the anomalous local-scale meridional-vertical circulation that projects into the Azores high and further induce the extratropical portion of the North Atlantic SST tripole. The anomalous warm core in the North Atlantic serves as the source of wave activity flux and stimulates a stationary wave train along the Eurasian continent to change the downstream atmospheric circulation. As a response, an abnormal cyclone and enhanced updraft are triggered over the TP, which are favorable for the formation of snowfall and then lower the surface air temperature according to the snow-albedo feedback mechanism, and thus result in the prolonged lake ice duration events. This study provides a new insight to link the AAO influence and climate over the TP and is helpful to understand the changes in lake ice phenology in response to climate change in recent years.</t>
  </si>
  <si>
    <t>[Liu, Yong; Chen, Huopo; Wang, Huijun] Chinese Acad Sci, Inst Atmospher Phys, Nansen Zhu Int Res Ctr, Beijing, Peoples R China; [Liu, Yong] Univ Chinese Acad Sci, Beijing, Peoples R China; [Chen, Huopo; Li, Huixin; Wang, Huijun] Nanjing Univ Informat Sci &amp; Technol, Collaborat Innovat Ctr Forecast &amp; Evaluat Meteoro, Nanjing, Jiangsu, Peoples R China; [Chen, Huopo] Chengdu Univ Informat Technol, Joint Lab Climate &amp; Environm Change, Chengdu, Sichuan, Peoples R China</t>
  </si>
  <si>
    <t>Chinese Academy of Sciences; Institute of Atmospheric Physics, CAS; Chinese Academy of Sciences; University of Chinese Academy of Sciences, CAS; Nanjing University of Information Science &amp; Technology; Chengdu University of Information Technology</t>
  </si>
  <si>
    <t>Chen, HP (corresponding author), Chinese Acad Sci, Inst Atmospher Phys, Nansen Zhu Int Res Ctr, Beijing, Peoples R China.;Chen, HP (corresponding author), Nanjing Univ Informat Sci &amp; Technol, Collaborat Innovat Ctr Forecast &amp; Evaluat Meteoro, Nanjing, Jiangsu, Peoples R China.;Chen, HP (corresponding author), Chengdu Univ Informat Technol, Joint Lab Climate &amp; Environm Change, Chengdu, Sichuan, Peoples R China.</t>
  </si>
  <si>
    <t>chenhuopo@mail.iap.ac.cn</t>
  </si>
  <si>
    <t>wang, yue/ISA-4119-2023; Huopo, Chen/B-7771-2013; Wang, Hui/HMU-9512-2023; wang, hui/HSG-6135-2023</t>
  </si>
  <si>
    <t>Huopo, Chen/0000-0003-0760-8353; Liu, Yong/0000-0003-0837-0244; Li, Huixin/0000-0002-2634-6486</t>
  </si>
  <si>
    <t>Strategic Priority Research Program of the Chinese Academy of Sciences [XDA19070201]; National Key Research and Development Program of China [2016YFA0602701]; open program of Joint Laboratory of Climate and Environment Change, Chengdu University of Information Technology [JLCEC201801]</t>
  </si>
  <si>
    <t>Strategic Priority Research Program of the Chinese Academy of Sciences(Chinese Academy of Sciences); National Key Research and Development Program of China; open program of Joint Laboratory of Climate and Environment Change, Chengdu University of Information Technology</t>
  </si>
  <si>
    <t>This research was jointly supported by the Strategic Priority Research Program of the Chinese Academy of Sciences (Grant XDA19070201), the National Key Research and Development Program of China (Grant 2016YFA0602701), and the open program of Joint Laboratory of Climate and Environment Change, Chengdu University of Information Technology (Grant JLCEC201801).</t>
  </si>
  <si>
    <t>10.1175/JCLI-D-19-0111.1</t>
  </si>
  <si>
    <t>JX9ZG</t>
  </si>
  <si>
    <t>WOS:000504084500003</t>
  </si>
  <si>
    <t>Fleming, A; Ogier, E; Hobday, AJ; Thomas, L; Hartog, JR; Haas, B</t>
  </si>
  <si>
    <t>Fleming, Aysha; Ogier, Emily; Hobday, Alistair J.; Thomas, Linda; Hartog, Jason R.; Haas, Bianca</t>
  </si>
  <si>
    <t>Stakeholder trust and holistic fishery sustainability assessments</t>
  </si>
  <si>
    <t>Marine governance; Sustainable development goals; Social license; Social indicators; Community acceptance</t>
  </si>
  <si>
    <t>FISHING INDUSTRY; SOCIAL LICENSE; OUTCOMES</t>
  </si>
  <si>
    <t>Australia is considered world-leading in sustainable fisheries management. Despite this, public perceptions and trust in how fisheries are managed vary widely. Existing models of trust and community acceptance in extractive industries suggest transparently reporting on a wider range of sustainability issues than resource use and condition levels, or the status of target stocks in the case of fisheries, as a potential way to build public awareness and trust. Public perceptions of sustainability can be narrow or broad and related to different world views and perspectives about what is important. Here we investigate whether approaches such as Australia's conceptual 'Flealthcheck' framework for fisheries sustainability reporting, could contribute to increasing public trust in fishery management. Interviews with 21 people who currently use (or would use) fisheries information in their professional work revealed interest in a wide range of sustainability issues and a desire for more easily accessible and trusted information. The interviews also revealed four common themes: Trust and distrust; Sustainability concerns and interpretations; Conflicts and values; and Fisheries information sources and knowledge gaps. These themes emphasise the need to take a broad view of sustainability and communication in fishery management, across the range of actors involved, to collaborate widely and build more engagement and relationships with the public in different forms. We use these findings to propose how the established model of trust and community acceptance of natural resource-based sectors could be applied to commercial fisheries and relate to other initiatives, such as the Sustainable Development Goals.</t>
  </si>
  <si>
    <t>[Fleming, Aysha; Haas, Bianca] CSIRO Land &amp; Water, Hobart, Tas 7000, Australia; [Ogier, Emily; Haas, Bianca] Univ Tasmania, Inst Marine &amp; Antarctic Studies, Hobart, Tas, Australia; [Hobday, Alistair J.; Thomas, Linda; Hartog, Jason R.] CSIRO Oceans &amp; Atmosphere, Hobart, Tas 7000, Australia; [Fleming, Aysha; Ogier, Emily; Hobday, Alistair J.; Haas, Bianca] Ctr Marine Socioecol, Hobart, Tas 7000, Australia</t>
  </si>
  <si>
    <t>Commonwealth Scientific &amp; Industrial Research Organisation (CSIRO); University of Tasmania; Commonwealth Scientific &amp; Industrial Research Organisation (CSIRO)</t>
  </si>
  <si>
    <t>Fleming, A (corresponding author), CSIRO Land &amp; Water, Hobart, Tas 7000, Australia.</t>
  </si>
  <si>
    <t>Aysha.Fleming@csiro.au</t>
  </si>
  <si>
    <t>Thomas, Linda/Q-2521-2018; Fleming, Aysha/E-8753-2011; Hobday, Alistair/A-1460-2012</t>
  </si>
  <si>
    <t>Fleming, Aysha/0000-0001-9895-1928; Thomas, Linda/0000-0001-8989-8109; Ogier, Emily/0000-0001-6157-5279; Haas, Bianca/0000-0002-7322-2929</t>
  </si>
  <si>
    <t>10.1016/j.marpol.2019.103719</t>
  </si>
  <si>
    <t>JW8TI</t>
  </si>
  <si>
    <t>WOS:000503319000008</t>
  </si>
  <si>
    <t>Mendelová, M; Hein, AS; Rodés, A; Xu, S</t>
  </si>
  <si>
    <t>Mendelova, Monika; Hein, Andrew S.; Rodes, Angel; Xu, Sheng</t>
  </si>
  <si>
    <t>Extensive mountain glaciation in central Patagonia during Marine Isotope Stage 5</t>
  </si>
  <si>
    <t>Last glacial cycle; Cosmogenic nuclide exposure dating; Ice-divide migration; South America; Glacial chronology</t>
  </si>
  <si>
    <t>LAGO-BUENOS-AIRES; COSMOGENIC NUCLIDE CHRONOLOGY; SOUTHERNMOST SOUTH-AMERICA; LATE QUATERNARY GLACIATION; ANTARCTIC COLD REVERSAL; SURFACE EXPOSURE AGES; BE-10 PRODUCTION-RATE; TORRES DEL PAINE; LATE PLEISTOCENE; ICE-SHEET</t>
  </si>
  <si>
    <t>The timing and magnitude of glacial advances throughout a glacial cycle can give insight on the underlying drivers of climate change. Our knowledge of glacial activity early in a glacial cycle, however, is limited by incomplete preservation of the geomorphological record. Here, we present a Be-10-dated glacial chronology from early in the last glacial cycle from the Belgrano valley, east of Monte San Lorenzo in central Patagonia. Our chronology reveals the most extensive glacial advance of the last glacial cycle occurred at similar to 75 ka, at the end of Marine Isotope Stage 5. A second, less-extensive advance occurred at 25 ka during the global Last Glacial Maximum. The topographic setting is such that ice growth would have initiated on and around the San Lorenzo massif at the start of the glacial cycle. We suggest reduced southern hemisphere summer insolation at the time played a significant role in driving this early advance. The comparatively smaller glacier extent during the global Last Glacial Maximum is likely a consequence of the build-up of the full Patagonian Ice Sheet, which would have caused ice-divide migration, ice-flow re-routing, and increased aridity on its lee side. (C) 2019 Elsevier Ltd. All rights reserved.</t>
  </si>
  <si>
    <t>[Mendelova, Monika; Hein, Andrew S.] Univ Edinburgh, Sch Geosci, Drummond St, Edinburgh EH8 9XP, Midlothian, Scotland; [Rodes, Angel; Xu, Sheng] Scottish Univ Environm Res Ctr, Scottish Enterprise Technol Pk, Glasgow G75 OQF, Lanark, Scotland</t>
  </si>
  <si>
    <t>University of Edinburgh</t>
  </si>
  <si>
    <t>Mendelová, M (corresponding author), Univ Edinburgh, Sch Geosci, Drummond St, Edinburgh EH8 9XP, Midlothian, Scotland.</t>
  </si>
  <si>
    <t>m.mendelova@sms.ed.ac.uk</t>
  </si>
  <si>
    <t>Hein, Andrew/JWO-3756-2024; Rodes, Angel/C-9228-2011</t>
  </si>
  <si>
    <t>Rodes, Angel/0000-0001-8488-7689</t>
  </si>
  <si>
    <t>NERC PhD studentship [NE/L002558/1]; NERC CiAF grant [9167/0416]; British Society for Geomorphology; Quaternary Research Association; Royal Geographical Society (IBG); Explorers Club; Scottish Alliance for Geoscience, Environment and Society (Small Grants Scheme); Moray Endowment Fund from the University of Edinburgh</t>
  </si>
  <si>
    <t>NERC PhD studentship(UK Research &amp; Innovation (UKRI)Natural Environment Research Council (NERC)); NERC CiAF grant; British Society for Geomorphology; Quaternary Research Association; Royal Geographical Society (IBG); Explorers Club; Scottish Alliance for Geoscience, Environment and Society (Small Grants Scheme); Moray Endowment Fund from the University of Edinburgh</t>
  </si>
  <si>
    <t>This work was supported by a NERC PhD studentship (NE/L002558/1) to MM. 1 Be analysis was supported by NERC CiAF grant (9167/0416). The British Society for Geomorphology, Quaternary Research Association, Royal Geographical Society (with IBG) and Explorers Club supported the 2018 field campaign. We also acknowledge funding from the Scottish Alliance for Geoscience, Environment and Society (Small Grants Scheme), and the Moray Endowment Fund from the University of Edinburgh. We are grateful to Andrew Gray for his help with fieldwork and Patricio Parada for arranging export of samples. The national park authorities of Argentina are thanked for granting permission to conduct fieldwork, and the rangers of the Perito Moreno National Park are thanked in particular for their assistance in the field. We would like to thank D. Sugden and R. McCulloch for insightful discussions. We are grateful for the constructive comments from five anonymous reviewers that greatly improved this manuscript.</t>
  </si>
  <si>
    <t>10.1016/j.quascirev.2019.105996</t>
  </si>
  <si>
    <t>JW5MQ</t>
  </si>
  <si>
    <t>WOS:000503096400001</t>
  </si>
  <si>
    <t>Mendelová, M; Hein, AS; Rodés, A; Smedley, RK; Xu, S</t>
  </si>
  <si>
    <t>Mendelova, Monika; Hein, Andrew S.; Rodes, Angel; Smedley, Rachel K.; Xu, Sheng</t>
  </si>
  <si>
    <t>Glacier expansion in central Patagonia during the Antarctic Cold Reversal followed by retreat and stabilisation during the Younger Dryas</t>
  </si>
  <si>
    <t>South America; Quaternary; Antarctic Cold Reversal; Younger Dryas; Cosmogenic isotopes; Luminescence dating; Glacial geomorphology; Glaciology</t>
  </si>
  <si>
    <t>SOUTHERNMOST SOUTH-AMERICA; CENTRAL CHILEAN PATAGONIA; NUCLIDE PRODUCTION-RATES; BE-10 PRODUCTION-RATE; TIERRA-DEL-FUEGO; CLIMATE-CHANGE; POSTGLACIAL VEGETATION; LATEST PLEISTOCENE; TAITAO PENINSULA; BIPOLAR SEESAW</t>
  </si>
  <si>
    <t>The spatial-temporal footprint of millennial-scale climate events during the last glacial-interglacial transition can yield insights into the underlying drivers of climate change, but remains poorly resolved in Patagonia. Here, we assess the glacier response to abrupt cold events and palaeolake evolution using geomorphological mapping along with Be-10 ages and optically stimulated luminescence ages from near Lago Belgrano (47.9 degrees S) on the eastern side of Monte San Lorenzo. The former Belgrano glacier was sustained by a climatically sensitive ice cap, making the site ideal for investigating the glacier response to abrupt cold reversals. Our data reveal an extensive re-advance at 13.1 +/- 0.6 ka, consistent with cooling and increased precipitation during the Antarctic Cold Reversal (ACR). Subsequently, ice retreated by at least 10 km and created an ice-dammed proglacial lake in the Belgrano valley. Rapid recession was punctuated by smaller advances/still-stands sufficient to maintain an ice-dam for the palaeolake and deposit a lateral moraine dated at 12.4 +/- 0.3 ka during the Younger Dryas (YD). The final withdrawal of glaciers to the mountains allowed the palaeolake to drain and resulted in an Atlantic/ Pacific drainage reversal. This marks the final separation of the Patagonian Ice Sheet into the individual ice fields at the YD-Holocene transition. Our data demonstrate the dominant ACR climate signal in central Patagonia, but also reveals a co-occurrence of the northern hemisphere YD signal, albeit of smaller magnitude. The ACR re-advance was primarily climatically controlled, but its relative magnitude was likely a consequence of ice divide migration and ice flow re-routing during the break-up of the Patagonian Ice Sheet. (C) 2019 Elsevier Ltd. All rights reserved.</t>
  </si>
  <si>
    <t>[Mendelova, Monika; Hein, Andrew S.] Univ Edinburgh, Sch Geosci, Drummond St, Edinburgh EH8 9XP, Midlothian, Scotland; [Rodes, Angel; Xu, Sheng] Scottish Univ Environm Res Ctr, Scottish Enterprise Technol Pk, Glasgow G75 0QF, Lanark, Scotland; [Smedley, Rachel K.] Univ Liverpool, Dept Geog &amp; Planning, Chatham St, Liverpool L69 7ZT, Merseyside, England</t>
  </si>
  <si>
    <t>University of Edinburgh; Scottish Universities Research &amp; Reactor Center; University of Liverpool</t>
  </si>
  <si>
    <t>Rodes, Angel/C-9228-2011; Hein, Andrew/JWO-3756-2024; Smedley, Rachel/AAK-4577-2021</t>
  </si>
  <si>
    <t>Rodes, Angel/0000-0001-8488-7689; Smedley, Rachel/0000-0001-7773-5193</t>
  </si>
  <si>
    <t>NERC PhD studentship [NE/L002558/1]; NERC CIAF grant [CIAF.9167.0416]; British Society for Geomorphology; Royal Geographical Society (IBG); Explorers Club; Scottish Alliance for Geoscience, Environment and Society (Small Grants Scheme); Moray Endowment Fund from the University of Edinburgh; Quaternary Research Association</t>
  </si>
  <si>
    <t>NERC PhD studentship(UK Research &amp; Innovation (UKRI)Natural Environment Research Council (NERC)); NERC CIAF grant; British Society for Geomorphology; Royal Geographical Society (IBG); Explorers Club; Scottish Alliance for Geoscience, Environment and Society (Small Grants Scheme); Moray Endowment Fund from the University of Edinburgh; Quaternary Research Association</t>
  </si>
  <si>
    <t>This work was supported by a NERC PhD studentship (NE/L002558/1) to MM and a NERC CIAF grant (CIAF.9167.0416). We also acknowledge funding from the British Society for Geomorphology, Quaternary Research Association, Royal Geographical Society (with IBG), the Explorers Club, the Scottish Alliance for Geoscience, Environment and Society (Small Grants Scheme), and the Moray Endowment Fund from the University of Edinburgh. We are grateful to Andrew Gray for his help with fieldwork and Patricio Parada for arranging export of samples. The national park authorities of Argentina are thanked for granting permission to conduct fieldwork, and the rangers of the Perito Moreno National Park are thanked in particular for their assistance in the field. Jenny Bradley is thanked for preparing the samples for OSL dating at the University of Liverpool. We would like to thank D. Sugden and R. McCulloch for insightful discussions. Bethan Davies and Mike Bentley are thanked for their constructive comments that greatly improved this manuscript.</t>
  </si>
  <si>
    <t>10.1016/j.quascirev.2019.106047</t>
  </si>
  <si>
    <t>WOS:000503096400016</t>
  </si>
  <si>
    <t>Schwalbe, E; Koschitzki, R; Johnson, E; Moncada, DFM; Schröter, B; Cardenas, C; Casassa, G; Maas, HG</t>
  </si>
  <si>
    <t>Schwalbe, Ellen; Koschitzki, Robert; Johnson, Erling; Moncada, Diego Fernando Mojica; Schroeter, Benjamin; Cardenas, Carlos; Casassa, Gino; Maas, Hans-Gerd</t>
  </si>
  <si>
    <t>STEREO-PIIOTOGRAMMETRIC MEASUREMENT OF SPATIO-TEMPORAL VELOCITY FIELDS AT LANGE GLACIER, KING GEORGE ISLAND</t>
  </si>
  <si>
    <t>Stereo image sequence tracking; glaciology</t>
  </si>
  <si>
    <t>A network consisting six cameras was set up on both sides of Lange Glacier on King George island, Antarctica, for a period of two years to monitor changes in the glacier's motion behaviour. The cameras were observing spatio-temporal glacier surface velocity vector fields as well as the position of the glacier front. Velocity field information was obtained from image sequences by applying subpixel accuracy photogrammetric image sequence analysis techniques. Georeferencing in a superordinate coordinate system was performed via integrated photogrammetric-geodetic network adjustment. As a result, velocity fields were determined with maximum glacier surface velocities in the order of 1.5 meter per day. The results of terrestrial camera image sequence processing can be used as validation and calibration reference for satellite image based glacier velocity dynamics calculations. Moreover, the very high temporal resolution of the image sequences taken at 20 minute time intervals can also be used to analyse highly dynamic processes.</t>
  </si>
  <si>
    <t>[Schwalbe, Ellen; Koschitzki, Robert; Maas, Hans-Gerd] Tech Univ Dresden, Inst Photogrammetry &amp; Remote Sensing, Dresden, Germany; [Schroeter, Benjamin] Tech Univ Dresden, Inst Cartog, Dresden, Germany; [Johnson, Erling; Moncada, Diego Fernando Mojica; Cardenas, Carlos; Casassa, Gino] Univ Magallanes, Gaia Antarct Res Ctr, Punta Arenas, Chile; [Moncada, Diego Fernando Mojica] Ctr Invest Oceanog &amp; Hidrog Caribe, Direcc Gen Maritima, Bolivar, Colombia</t>
  </si>
  <si>
    <t>Technische Universitat Dresden; Technische Universitat Dresden; Universidad de Magallanes</t>
  </si>
  <si>
    <t>Maas, HG (corresponding author), Tech Univ Dresden, Inst Photogrammetry &amp; Remote Sensing, Dresden, Germany.</t>
  </si>
  <si>
    <t>hans-gerd.maas@tu-dresden.de</t>
  </si>
  <si>
    <t>Chilean INACH; German Research Foundation (DFG); Technische Universitat Dresden</t>
  </si>
  <si>
    <t>Chilean INACH; German Research Foundation (DFG)(German Research Foundation (DFG)); Technische Universitat Dresden</t>
  </si>
  <si>
    <t>The work presented in this paper was supported by the Chilean INACH. The development of the basic techniques for glacier image sequence feature tracking was funded by the German Research Foundation (DFG). The software development was further supported by the program support the best of the Technische Universitat Dresden. We would also like to thank the personnel of the INACH Base Profesor Julio Escudero and the Machu Picchu Antarctic Scientific Station of Peru for their support during the campaigns on King George Island.</t>
  </si>
  <si>
    <t>WOS:000626733300052</t>
  </si>
  <si>
    <t>Hwang, J; Bose, N; Nguyen, H; Williams, G</t>
  </si>
  <si>
    <t>Hwang, Jimin; Bose, Neil; Nguyen, Hung; Williams, Guy</t>
  </si>
  <si>
    <t>AUV adaptive sampling to delineate subsurface oil plumes</t>
  </si>
  <si>
    <t>2020 IEEE/OES AUTONOMOUS UNDERWATER VEHICLES SYMPOSIUM (AUV)</t>
  </si>
  <si>
    <t>IEEE OES Autonomous Underwater Vehicles</t>
  </si>
  <si>
    <t>IEEE/OES Autonomous Underwater Vehicles Symposium (AUV)</t>
  </si>
  <si>
    <t>SEP 30-OCT 02, 2020</t>
  </si>
  <si>
    <t>[Hwang, Jimin; Nguyen, Hung] Univ Tasmania, Australian Maritime Coll, Launceston, Tas, Australia; [Bose, Neil] Mem Univ, Off VP Res, St John, NF, Canada; [Williams, Guy] Univ Tasmania, Autonomous Maritime Syst Lab, Hobart, Tas, Australia</t>
  </si>
  <si>
    <t>University of Tasmania; Australian Maritime College; Memorial University Newfoundland; University of Tasmania</t>
  </si>
  <si>
    <t>Hwang, J (corresponding author), Univ Tasmania, Australian Maritime Coll, Launceston, Tas, Australia.</t>
  </si>
  <si>
    <t>jimin.hwang@utas.edu.au; nbose@mun.ca; h.d.nguyen@utas.edu.au; guy.williams@utas.edu.au</t>
  </si>
  <si>
    <t>Bose, Neil/AAG-6329-2019; Hwang, Jimin/KAZ-9921-2024</t>
  </si>
  <si>
    <t>Bose, Neil/0000-0002-6444-0756; Hwang, Jimin/0000-0002-9641-0631</t>
  </si>
  <si>
    <t>Fisheries and Oceans Canada [SR140300001]; Australian Government Research Training Program Scholarship</t>
  </si>
  <si>
    <t>Fisheries and Oceans Canada; Australian Government Research Training Program Scholarship(Australian GovernmentDepartment of Industry, Innovation and Science)</t>
  </si>
  <si>
    <t>This work was funded by Fisheries and Oceans Canada through the Multi-Partner Research Initiative (MPRI) 1.03: Oil Spill Reconnaissance and Delineation through Robotic Autonomous Underwater Vehicle Technology in Open and Iced Waters; an Australian Research Council Special Research Initiative under the Antarctic Gateway Partnership (Project ID SR140300001) and through an Australian Government Research Training Program Scholarship to the first author.</t>
  </si>
  <si>
    <t>1522-3167</t>
  </si>
  <si>
    <t>978-1-7281-8757-0</t>
  </si>
  <si>
    <t>IEEE AUTO UNDER VEH</t>
  </si>
  <si>
    <t>10.1109/auv50043.2020.9267920</t>
  </si>
  <si>
    <t>Engineering, Ocean; Robotics</t>
  </si>
  <si>
    <t>Engineering; Robotics</t>
  </si>
  <si>
    <t>BU4EM</t>
  </si>
  <si>
    <t>WOS:000896378600037</t>
  </si>
  <si>
    <t>King, P; Zürcher, K; Bowden-Floyd, I</t>
  </si>
  <si>
    <t>King, Peter; Zurcher, Konrad; Bowden-Floyd, Isak</t>
  </si>
  <si>
    <t>A risk-averse approach to mission planning: nupiri muka at the Thwaites Glacier</t>
  </si>
  <si>
    <t>AUV; Autonomous Underwater Vehicle; Mission Planning; Under ice; Risk</t>
  </si>
  <si>
    <t>Deploying and AUV in areas such as near and beneath ice is a high-risk activity in which an AUV can be rendered unrecoverable. A risk-averse approach to mission planning and execution can increase the likelihood of vehicle return. This approach relies on a straightforward mission template that defines mission locations and task transitions that prioritizes vehicle recovery among mission objectives. In early 2020, this methodology was put to the test in the Thwaites Glacier region of Antarctica. The execution of this methodology proved highly valuable in conducting reliable AUV operations in a challenging and dynamic environment. Presented are the core ethos and guiding methodology of our risk-averse mission planning strategy.</t>
  </si>
  <si>
    <t>[King, Peter; Zurcher, Konrad; Bowden-Floyd, Isak] Univ Tasmania, Autonomous Maritime Syst Lab, Australian Maritime Coll, Launceston, Australia</t>
  </si>
  <si>
    <t>University of Tasmania; Australian Maritime College</t>
  </si>
  <si>
    <t>King, P (corresponding author), Univ Tasmania, Autonomous Maritime Syst Lab, Australian Maritime Coll, Launceston, Australia.</t>
  </si>
  <si>
    <t>pdking@utas.edu.au</t>
  </si>
  <si>
    <t>King, Peter/0000-0001-9436-0936</t>
  </si>
  <si>
    <t>Australian Research Council [SR140300001]; Australian Research Council [SR140300001] Funding Source: Australian Research Council</t>
  </si>
  <si>
    <t>This work funded under Australian Research Council's Special Research Initiative for Antarctic Gateway Partnership (Project ID SR140300001).</t>
  </si>
  <si>
    <t>10.1109/auv50043.2020.9267892</t>
  </si>
  <si>
    <t>WOS:000896378600009</t>
  </si>
  <si>
    <t>Liu, Y; Shah, V; Borowicz, A; Wethington, M; Strycker, N; Forrest, S; Lynch, H; Singh, H</t>
  </si>
  <si>
    <t>Liu, Yang; Shah, Vikrant; Borowicz, Alexander; Wethington, Michael; Strycker, Noah; Forrest, Steve; Lynch, Heather; Singh, Hanumant</t>
  </si>
  <si>
    <t>Towards Efficient Machine Learning Methods for Penguin Counting in Unmanned Aerial System Imagery</t>
  </si>
  <si>
    <t>Unmanned Aerial System; Deep Learning; Penguin</t>
  </si>
  <si>
    <t>Mapping ecological change in the Antarctic Peninsula is an important problem in the context of global climate change. Penguin populations are an important indicator of the health of the oceans and their associated ecosystems. Unfortunately, most species of penguins live and nest far from human settlements and are, thus, difficult to monitor. Systematic population surveys of penguin colonies require researchers to land on remote Antarctic islands and count the penguins and their nests manually. A recent alternative has been to use Unmanned Aerial Vehicles (UAVs) to map out colonies in detail and use the overlapping imagery to construct orthomosaics that have enough resolution to allow researchers to count entire populations within large areas that encompass multiple colonies. However, the sheer volume of data collected with UAVs acts as a major impediment to a manual census of the penguin population. Thus, our efforts have focused on an image-based penguin counting pipeline that is efficient, automated and non-intrusive. Our approach includes using an UAV to perform aerial imagery surveys on-site, stitching the UAV images into orthomosaics and counting penguins automatically with a deep learning model. We applied two different criteria in the deep learning model: counting penguins laying on their nests during incubation and counting penguin with their chicks on the nests after incubation. Our pipeline has shown promising results on data collected in our 2015 Danger Island campaign and our 2020 Elephant Island and Low Island campaign. This work broadens and expands our own previous efforts using UAV and deep convolutional networks in 2015 on the Danger Islands.</t>
  </si>
  <si>
    <t>[Liu, Yang; Shah, Vikrant; Singh, Hanumant] Northeastern Univ, Field Robot Lab, Boston, MA 02115 USA; [Borowicz, Alexander; Wethington, Michael; Lynch, Heather] SUNY Stony Brook, Lynch Lab Quantitat Ecol, New York, NY USA; [Strycker, Noah] SUNY Stony Brook, Sch Marine &amp; Atmospher Sci, New York, NY USA</t>
  </si>
  <si>
    <t>Northeastern University; State University of New York (SUNY) System; State University of New York (SUNY) Stony Brook; State University of New York (SUNY) System; State University of New York (SUNY) Stony Brook</t>
  </si>
  <si>
    <t>Liu, Y (corresponding author), Northeastern Univ, Field Robot Lab, Boston, MA 02115 USA.</t>
  </si>
  <si>
    <t>liu.yang12@northeastern.edu; shah.vi@northeastern.edu; alex.borowicz@stonybrook.edu; wethington.michael@stonybrook.edu; noah.strycker@stonybrook.edu; stevencraigforrest@gmail.com; heather.lynch@stonybrook.edu; ha.singh@northeastern.edu</t>
  </si>
  <si>
    <t>Michael, Wethington/JHT-8992-2023</t>
  </si>
  <si>
    <t>National Science Foundation; Antarctic Conservation Act [ACA 2020-010, ACA 2020-11]; Animal Welfare Act, Institutional Animal Care and Use Committee (IACUC) review, Stonybrook University</t>
  </si>
  <si>
    <t>National Science Foundation(National Science Foundation (NSF)); Antarctic Conservation Act; Animal Welfare Act, Institutional Animal Care and Use Committee (IACUC) review, Stonybrook University</t>
  </si>
  <si>
    <t>Censuses were conducted under auspicies of National Science Foundation, Antarctic Conservation Act Permits #ACA 2020-010 and #ACA 2020-11, and Animal Welfare Act, Institutional Animal Care and Use Committee (IACUC) review, Stonybrook University.</t>
  </si>
  <si>
    <t>10.1109/auv50043.2020.9267936</t>
  </si>
  <si>
    <t>WOS:000896378600053</t>
  </si>
  <si>
    <t>Phillips, AB; Kingsland, M; Linton, N; Baker, W; Bowring, L; Soper, S; Roper, DT; Johnson, A; Morrison, R; Ciaramella, K; Matterson, D; Pebody, M; Marlow, R; Consensi, A; Williams, V; Fanelli, F; Fenucci, D; Martin, A; Hobain, EO</t>
  </si>
  <si>
    <t>Phillips, Alexander B.; Kingsland, Matthew; Linton, Nick; Baker, Will; Bowring, Leon; Soper, Scott; Roper, Daniel T.; Johnson, Alexis; Morrison, Richard; Ciaramella, Konrad; Matterson, Daniel; Pebody, Miles; Marlow, Rachel; Consensi, Alberto; Williams, Val; Fanelli, Francesco; Fenucci, Davide; Martin, Achille; Hobain, Eoin O.</t>
  </si>
  <si>
    <t>Autosub 2000 Under Ice: Design of a New Work Class AUV for Under Ice Exploration</t>
  </si>
  <si>
    <t>Autonomous Underwater Vehicle; scientific exploration; marine robotics; under ice</t>
  </si>
  <si>
    <t>SEA-ICE; SYSTEM</t>
  </si>
  <si>
    <t>The ice covered portions of the world's seas and oceans are some of the most inaccessible areas on the planet, yet hold crucial clues to the behaviour of the world's climate. Largely inaccessible by manned vessels, robotic platforms provide our best opportunities to explore and learn about these regions. Autosub2000 Under Ice (Autosub2KUI) will become the newest iteration of the Autosub family of Autonomous Underwater Vehicles which have played a significant role in under ice exploration over the last two decades. Autosub AUVs have conducted over 30 missions under sea ice and tidewater glaciers in both the Arctic and Antarctic. This paper outlines the design of Autosub2KUI with a focus on the adaptations required for operation under ice.</t>
  </si>
  <si>
    <t>[Phillips, Alexander B.; Kingsland, Matthew; Linton, Nick; Baker, Will; Bowring, Leon; Soper, Scott; Roper, Daniel T.; Johnson, Alexis; Morrison, Richard; Ciaramella, Konrad; Matterson, Daniel; Pebody, Miles; Marlow, Rachel; Consensi, Alberto; Williams, Val; Fanelli, Francesco; Fenucci, Davide; Martin, Achille; Hobain, Eoin O.] Natl Oceanog Ctr, Marine Autonomous Robot Syst, Southampton, Hants, England</t>
  </si>
  <si>
    <t>NERC National Oceanography Centre</t>
  </si>
  <si>
    <t>Phillips, AB (corresponding author), Natl Oceanog Ctr, Marine Autonomous Robot Syst, Southampton, Hants, England.</t>
  </si>
  <si>
    <t>abp@noc.ac.uk</t>
  </si>
  <si>
    <t>Industrial Strategy Challenge Fund/Natural Environment Research Council Oceanids Programme</t>
  </si>
  <si>
    <t>The development of the Autosub2KUI is being supported by the Industrial Strategy Challenge Fund/Natural Environment Research Council Oceanids Programme.</t>
  </si>
  <si>
    <t>10.1109/auv50043.2020.9267952</t>
  </si>
  <si>
    <t>WOS:000896378600069</t>
  </si>
  <si>
    <t>Marsh, LA; van Verre, W; Wilson, J; Evatt, GW; Peyton, AJ</t>
  </si>
  <si>
    <t>Marsh, Liam A.; van Verre, Wouter; Wilson, John; Evatt, Geoffrey W.; Peyton, Anthony J.</t>
  </si>
  <si>
    <t>Evaluation of a Bespoke Antarctic Meteorite Detection System in Polar Operating Conditions</t>
  </si>
  <si>
    <t>2020 IEEE SENSORS APPLICATIONS SYMPOSIUM (SAS 2020)</t>
  </si>
  <si>
    <t>15th IEEE Sensors Applications Symposium (SAS)</t>
  </si>
  <si>
    <t>MAR 09-11, 2020</t>
  </si>
  <si>
    <t>metal detection; meteorites; Antarctica; polar instrumentation</t>
  </si>
  <si>
    <t>A bespoke detection system has been constructed for the purpose of identifying iron-rich meteorites which are suspected to exist beneath the ice surface in regions of Antarctica. This system has been specially hardened to the hostile polar environment, and is capable of searching a desired target space of 1 km(2) in approximately 11 hours, maintaining a target speed of 15 km/h. The performance of the detector has been validated through structured testing in the High Arctic. A test site was constructed in Ny-Alesund, Svalbard, which contained 13 meteorite surrogates buried at depths between 0 cm (flush with the ground level) and 40 cm. Representative results for detector performance in typical Antarctic operating conditions are reported. The system demonstrates the ability to reliably detect targets as deep as 20 cm using real-time processing, and shows the potential for identifying targets as deep as 30-40 cm with more advanced post-processing, or improvements in the real-time discrimination algorithm.</t>
  </si>
  <si>
    <t>Marsh, Liam A/ACN-0269-2022</t>
  </si>
  <si>
    <t>Marsh, Liam A/0000-0002-4302-7487; Van Verre, Wouter/0000-0003-3331-5140</t>
  </si>
  <si>
    <t>Leverhulme Trust [RPG-2016-349]; ESPRC project [EP/R002177/1]; NERC [NE/R017042/1] Funding Source: UKRI</t>
  </si>
  <si>
    <t>Leverhulme Trust(Leverhulme Trust); ESPRC project; NERC(UK Research &amp; Innovation (UKRI)Natural Environment Research Council (NERC))</t>
  </si>
  <si>
    <t>This work was conducted under `The Lost Meteorites of Antarctica' grant from Leverhulme Trust no.: RPG-2016-349. The authors would also like to recognise the contribution from ESPRC project EP/R002177/1 `Reducing the Threat to Public Safety: Improved metallic object characterisation, location and detection'. The authors would also like to thank the British Antarctic Survey for their field support whilst conducting these trials.</t>
  </si>
  <si>
    <t>978-1-7281-4842-7</t>
  </si>
  <si>
    <t>10.1109/sas48726.2020.9220085</t>
  </si>
  <si>
    <t>Engineering, Electrical &amp; Electronic; Instruments &amp; Instrumentation; Remote Sensing</t>
  </si>
  <si>
    <t>Engineering; Instruments &amp; Instrumentation; Remote Sensing</t>
  </si>
  <si>
    <t>BS7BT</t>
  </si>
  <si>
    <t>WOS:000758443500072</t>
  </si>
  <si>
    <t>Zhiyanski, M; Glushkova, M; Yaneva, R</t>
  </si>
  <si>
    <t>Bandrova, T; Konecny, M; Marinova, S</t>
  </si>
  <si>
    <t>Zhiyanski, Miglena; Glushkova, Maria; Yaneva, Rositsa</t>
  </si>
  <si>
    <t>MAPPING SOIL PROPERTIES AND RADIONUCLIDES DISTRIBUTION IN POLAR ECOSYSTEMS OF LIVINGSTON ISLAND</t>
  </si>
  <si>
    <t>8TH INTERNATIONAL CONFERENCE ON CARTOGRAPHY AND GIS, VOL. 1</t>
  </si>
  <si>
    <t>International Conference on Cartography and GIS</t>
  </si>
  <si>
    <t>8th International Conference on Cartography and GIS</t>
  </si>
  <si>
    <t>JUN 14-19, 2021</t>
  </si>
  <si>
    <t>Nessebar, BULGARIA</t>
  </si>
  <si>
    <t>Soil properties; Radionuclides; Polar ecosystems; Mapping</t>
  </si>
  <si>
    <t>NATURAL RADIONUCLIDES; UNCULTIVATED SOILS; CS-137; PB-210; DEPOSITION; PENINSULA</t>
  </si>
  <si>
    <t>The purpose of the study is to map the soil properties and distribution of natural radionuclides K-40, U-238, Th-232, and artificial radionuclide Cs-137 along a case study transect in the polar region of Livingston Island (Antarctica). The activity concentrations of radionuclides in surface soil samples collected from 21 experimental sites were analyzed. The studied polar ecosystems are differentiated according to the type of vegetation cover. The results obtained are discussed in relation to soil characteristics such as pH, organic carbon and nitrogen content, mechanical composition. The results for the activity concentration of Cs-137 in the samples are indicative of radionuclide deposition and radionuclide contamination even in the remote polar regions of Antarctica as a consequence of the Fukushima accident (May 2011). The results are visualized using GIS technics generating first soil maps for the polar region of Livingston Island combined with maps of the distribution of the studied radionuclides. The results obtained indicate the presence of great variability of studied indicators and complement the information on polar ecosystem components in the context of radioactive and environmental studies.</t>
  </si>
  <si>
    <t>[Zhiyanski, Miglena; Glushkova, Maria; Yaneva, Rositsa] Bulgarian Acad Sci, Forest Res Inst, 132 Kliment Ohridski Blvd, Sofia 1756, Bulgaria</t>
  </si>
  <si>
    <t>Bulgarian Academy of Sciences; Forest Research Institute, Bulgaria</t>
  </si>
  <si>
    <t>Zhiyanski, M (corresponding author), Bulgarian Acad Sci, Forest Res Inst, 132 Kliment Ohridski Blvd, Sofia 1756, Bulgaria.</t>
  </si>
  <si>
    <t>zhiyanski@abv.bg; m_gluschkova@abv.bg; r.s.yanevag@gmail.com</t>
  </si>
  <si>
    <t>project BIOMONITORING OF POLAR ECOSYSTEM COMPONENTS' STATE IN LIVINGSTON ISLAND UNDER GLOBAL CHANGES at the Bulgarian Antarctic Institute through the national Program for Polar Research 2017-2021 [718/29.08.2016]; National Science Fund, Ministry of Education and Science [KP 06-Russia-29/28.09.2019]</t>
  </si>
  <si>
    <t>project BIOMONITORING OF POLAR ECOSYSTEM COMPONENTS' STATE IN LIVINGSTON ISLAND UNDER GLOBAL CHANGES at the Bulgarian Antarctic Institute through the national Program for Polar Research 2017-2021; National Science Fund, Ministry of Education and Science</t>
  </si>
  <si>
    <t>The authors are grateful to colleagues from the Institute of Nuclear Research and Nuclear Energy -BAS for the analysis performed. This study was realized under the project BIOMONITORING OF POLAR ECOSYSTEM COMPONENTS' STATE IN LIVINGSTON ISLAND UNDER GLOBAL CHANGES at the Bulgarian Antarctic Institute funded through the national Program for Polar Research 2017-2021 with CM Decision No. 718/29.08.2016. Special contribution to the realization of the workflow has the joint collaboration with Saint-Petersburg State University within the scope of the bilateral project ASSESSMENT OF THE REGIONAL CONTRIBUTION OF SOILS OF MARITIME ANTARCTICA ISLANDS TO GLOBAL CARBON BALANCE WITH EVALUATION OF STABILIZATION AND HUMIFICATION RATE OF ORGANIC MATTER (contract No. KP 06-Russia-29/28.09.2019) at the National Science Fund, Ministry of Education and Science. The development of the projects would not be possible without the complete collaboration with the National Center for Polar Studies -Sofia University St. Kliment Ohridski (and Bulgarian Antarctic Institute) and the logistical support during the 27th and 28th Bulgarian Antarctic Expeditions.</t>
  </si>
  <si>
    <t>BULGARIAN CARTOGRAPHIC ASSOC</t>
  </si>
  <si>
    <t>1, CHR SMIRNENSKI BLVD, SOFIA, 1046, BULGARIA</t>
  </si>
  <si>
    <t>1314-0604</t>
  </si>
  <si>
    <t>INT CONF CARTOGR GIS</t>
  </si>
  <si>
    <t>Geography; Geography, Physical</t>
  </si>
  <si>
    <t>Conference Proceedings Citation Index - Science (CPCI-S); Conference Proceedings Citation Index - Social Science &amp; Humanities (CPCI-SSH)</t>
  </si>
  <si>
    <t>Geography; Physical Geography</t>
  </si>
  <si>
    <t>BT8GU</t>
  </si>
  <si>
    <t>WOS:000853257000023</t>
  </si>
  <si>
    <t>Soto, DF; Fuentes, R; Huovinen, P; Gómez, I</t>
  </si>
  <si>
    <t>Soto, Daniela F.; Fuentes, Romina; Huovinen, Pirjo; Gomez, Ivan</t>
  </si>
  <si>
    <t>Microbial composition and photosynthesis in Antarctic snow algae communities: Integrating metabarcoding and pulse amplitude modulation fluorometry</t>
  </si>
  <si>
    <t>ALGAL RESEARCH-BIOMASS BIOFUELS AND BIOPRODUCTS</t>
  </si>
  <si>
    <t>Amplicon sequencing; Maritime Antarctica; Photosynthetic parameters; Snow algae blooms; Snow microbial community</t>
  </si>
  <si>
    <t>KING GEORGE ISLAND; FILDES PENINSULA; BACTERIAL COMMUNITIES; CYANOBACTERIAL BLOOMS; POPULATION-DYNAMICS; CLASS FLAVOBACTERIA; ORGANIC-MATTER; RED SNOW; DIVERSITY; BACTERIOPLANKTON</t>
  </si>
  <si>
    <t>Antarctic snow microbial communities are complex biomes formed by different groups of microorganisms that include algae, bacteria, fungi, and archaea. During spring-summer season, abundant microalgae generate red, orange, pink, green and even yellow patches of snow. The presence of microalgae in snow ecosystems is pivotal for carbon fixation and has the potential to decrease snow albedo. Up to now, the relationship between microorganism diversity and functionality in these ecosystems in Maritime Antarctica is not well understood. In the present study, the microbial composition of different types of colored snow was determined by metabarcoding at Fildes Peninsula, King George Island (Maritime Antarctica). Additionally, light use characteristics were assessed to gain insights into the photosynthetic functionality of different algal groups causing snow blooms. Results from this study indicated that green algae of the Trebouxiophyceae and Chlorophyceae classes dominated the eukaryotes. A high abundance of Stramenopiles was also detected. Besides these findings, Principal Component Analysis was employed, revealing taxonomic distance among sampling sites. Bacteroidetes and Proteobacteria were found to be the most abundant groups in the bacterial communities with an absence of taxonomic distance among sampling sites. However, the presence of Flavobacteria and gamma-Proteobacteria varied among samples. Photosynthetic parameters determined for dominating algae within the blooms were dependent on the sites and snow colors. All in all, these results show that snow algae blooms at Fildes Peninsula represent a mixture of algal species with different light requirements.</t>
  </si>
  <si>
    <t>[Soto, Daniela F.; Fuentes, Romina; Huovinen, Pirjo; Gomez, Ivan] Univ Austral Chile, Fac Ciencias, Inst Ciencias Marinas &amp; Limnol, Av Rector Eduardo Morales Miranda 23, Valdivia, Region De Los R, Chile; [Soto, Daniela F.; Huovinen, Pirjo; Gomez, Ivan] Ctr FONDAP Invest Dinam Ecosistemas Marinos Altas, Valdivia, Chile</t>
  </si>
  <si>
    <t>Universidad Austral de Chile</t>
  </si>
  <si>
    <t>Soto, DF (corresponding author), Univ Austral Chile, Fac Ciencias, Inst Ciencias Marinas &amp; Limnol, Av Rector Eduardo Morales Miranda 23, Valdivia, Region De Los R, Chile.</t>
  </si>
  <si>
    <t>daniela.soto.vergara@alumnos.uach.cl</t>
  </si>
  <si>
    <t>Soto-Hernández, Daniela/KHX-6007-2024</t>
  </si>
  <si>
    <t>Huovinen, Pirjo/0000-0002-7754-4933; Gomez, Ivan/0000-0001-8381-3792</t>
  </si>
  <si>
    <t>Fondecyt [1161129]; Fondap IDEAL [15150003]</t>
  </si>
  <si>
    <t>Fondecyt(Comision Nacional de Investigacion Cientifica y Tecnologica (CONICYT)CONICYT FONDECYT); Fondap IDEAL</t>
  </si>
  <si>
    <t>Logistic support supplied by the Instituto Antartico Chileno (INACH) and the staff at the scientific station Professor Julio Escudero during the ECA53 is greatly acknowledged. The authors also thank D. Osman and C. Rivas for their assistance during field work. The research in the Antarctic was carried out under the permission granted by INACH in accordance with the Protocol on Environmental Protection to the Antarctic Treaty. Finally, we thank AUSTRALomics for the service of amplicon sequencing and bioinformatics. This work was funded by the Fondecyt Grant #1161129, and the Fondap IDEAL #15150003.</t>
  </si>
  <si>
    <t>2211-9264</t>
  </si>
  <si>
    <t>ALGAL RES</t>
  </si>
  <si>
    <t>Algal Res.</t>
  </si>
  <si>
    <t>10.1016/j.algal.2019.101738</t>
  </si>
  <si>
    <t>KD0RR</t>
  </si>
  <si>
    <t>WOS:000507580300026</t>
  </si>
  <si>
    <t>Olson, MH; Fischer, JM; Hayashi, M; Williamson, CE</t>
  </si>
  <si>
    <t>Olson, Mark H.; Fischer, Janet M.; Hayashi, Masaki; Williamson, Craig E.</t>
  </si>
  <si>
    <t>Meteorological drivers of interannual variation in transparency of mountain lakes</t>
  </si>
  <si>
    <t>Canadian Rocky Mountains; water transparency; turbidity; chromophoric dissolved organic matter; limnology</t>
  </si>
  <si>
    <t>DISSOLVED ORGANIC-CARBON; CATCHMENT CHARACTERISTICS; ULTRAVIOLET-RADIATION; LANDSCAPE POSITION; SENTINEL RESPONSES; UV TRANSPARENCY; WATER-QUALITY; ALPINE LAKES; CLIMATE; ATTENUATION</t>
  </si>
  <si>
    <t>In mountain lakes, water transparency is regulated primarily by materials loaded from the surrounding catchment. Consequently, transparency within a lake can vary over time due to meteorological conditions that affect hydrologic inputs. Furthermore, lake responses to these inputs may depend on catchment characteristics. We examined the relationships between meteorological conditions and interannual variation in transparency over thirteen years in a set of four lakes in Yoho National Park, British Columbia, Canada. We measured mid-summer transparency as the attenuation coefficient of 320 nm and collected meteorological data daily with an automatic weather station located near the study lakes. Despite their close proximity, lakes varied in the strength of associations between transparency and cumulative precipitation across a range of durations. Specifically, transparency in non-glacially fed Lake Hungabee was most strongly correlated with cumulative precipitation in the fifteen days preceding sampling, whereas glacially fed Lakes Opabin and Oesa were most strongly affected by longer periods of cumulative precipitation. Consequently, there was relatively little temporal synchrony in interannual transparency variation among lakes. Our results suggest that both the timing and amount of precipitation as well local hydrology must be considered when predicting effects of climate change on mountain lake ecosystems even within a single region.</t>
  </si>
  <si>
    <t>[Olson, Mark H.; Fischer, Janet M.] Franklin &amp; Marshall Coll, Dept Biol, Lancaster, PA 17604 USA; [Hayashi, Masaki] Univ Calgary, Dept Geosci, Calgary, AB, Canada; [Williamson, Craig E.] Miami Univ, Dept Biol, Oxford, OH USA</t>
  </si>
  <si>
    <t>Franklin &amp; Marshall College; University of Calgary; University System of Ohio; Miami University</t>
  </si>
  <si>
    <t>Olson, MH (corresponding author), Franklin &amp; Marshall Coll, Dept Biol, Lancaster, PA 17604 USA.</t>
  </si>
  <si>
    <t>mark.olson@fandm.edu</t>
  </si>
  <si>
    <t>Hayashi, Masaki/E-2600-2012</t>
  </si>
  <si>
    <t>Hayashi, Masaki/0000-0003-4890-3113; , Janet/0000-0002-6779-2407</t>
  </si>
  <si>
    <t>NSF [DEB-1754181, DEB-1754276]; Franklin &amp; Marshall College; NSF OPUS Grant [DEB 1950170]; Miami University; Miami University Eminent Scholar funds; Natural Sciences and Engineering Research Council of Canada (Discovery Grant, CCRN); Biogeoscience Institute of the University of Calgary; Alberta Ingenuity Centre for Water Research; Canadian Foundation for Climate and Atmospheric Sciences (IP3 Network)</t>
  </si>
  <si>
    <t>NSF(National Science Foundation (NSF)); Franklin &amp; Marshall College; NSF OPUS Grant; Miami University; Miami University Eminent Scholar funds; Natural Sciences and Engineering Research Council of Canada (Discovery Grant, CCRN)(Natural Sciences and Engineering Research Council of Canada (NSERC)); Biogeoscience Institute of the University of Calgary; Alberta Ingenuity Centre for Water Research; Canadian Foundation for Climate and Atmospheric Sciences (IP3 Network)</t>
  </si>
  <si>
    <t>This research was supported by NSF Grants DEB-1754181 and DEB-1754276, Franklin &amp; Marshall College, NSF OPUS Grant DEB 1950170, Miami University, Miami University Eminent Scholar funds, the Natural Sciences and Engineering Research Council of Canada (Discovery Grant, CCRN), the Biogeoscience Institute of the University of Calgary, the Alberta Ingenuity Centre for Water Research, and the Canadian Foundation for Climate and Atmospheric Sciences (IP3 Network).</t>
  </si>
  <si>
    <t>10.1080/15230430.2020.1800972</t>
  </si>
  <si>
    <t>NF3NY</t>
  </si>
  <si>
    <t>WOS:000563206300001</t>
  </si>
  <si>
    <t>Rew, LJ; McDougall, KL; Alexander, JM; Daehler, CC; Essl, F; Haider, S; Kueffer, C; Lenoir, J; Milbau, A; Nuñez, MA; Pauchard, A; Rabitsch, W</t>
  </si>
  <si>
    <t>Rew, Lisa J.; McDougall, Keith L.; Alexander, Jake M.; Daehler, Curtis C.; Essl, Franz; Haider, Sylvia; Kueffer, Christoph; Lenoir, Jonathan; Milbau, Ann; Nunez, Martin A.; Pauchard, Anibal; Rabitsch, Wolfgang</t>
  </si>
  <si>
    <t>Moving up and over: redistribution of plants in alpine, Arctic, and Antarctic ecosystems under global change</t>
  </si>
  <si>
    <t>Climate change; invasive species; range expansion; mountains; arctic; Antarctic</t>
  </si>
  <si>
    <t>KOSCIUSZKO NATIONAL-PARK; SHRUB EXPANSION; ALIEN PLANTS; BIOLOGICAL INVASIONS; VASCULAR PLANTS; RANGE SHIFTS; CLIMATE; IMPACTS; MANAGEMENT; MOUNTAINS</t>
  </si>
  <si>
    <t>Extreme abiotic conditions, geographic isolation, and low levels of disturbance have historically provided alpine, Arctic, and Antarctic regions with low input of and relative resistance to the introduction of new species. However, the climate is warming rapidly, concomitant with intense and diversified types of human influence in these cold environments. Consequently, many plant species, both native and nonnative, are now moving or expanding their ranges to higher elevations and latitudes, creating new species interactions and assemblages that challenge biodiversity conservation. Based on our synthesis, many of the same nonnative species invade multiple cold environments, and many more could move up or over from adjoining warmer areas. Transportation networks and the disturbances associated with burgeoning development are responsible for many movements. Prevention and monitoring for nonnative plant species is of paramount importance, and management should be directed toward species that negatively impact ecosystem function or human well-being. Management of native range shifters is more complicated; most movements will be desirable, but some may be locally undesirable. Overall, plant movements into alpine, arctic, and Antarctic areas are going to increase, and management will need to be adaptive because species movements and assemblages of the past will not reflect those of the future.</t>
  </si>
  <si>
    <t>[Rew, Lisa J.] Montana State Univ, Dept Land Resources &amp; Environm Sci, Bozeman, MT 59717 USA; [McDougall, Keith L.] Dept Planning Ind &amp; Environm, Queanbeyan, NSW, Australia; [Alexander, Jake M.] Swiss Fed Inst Technol, Inst Integrat Biol, Zurich, Switzerland; [Daehler, Curtis C.] Univ Hawaii Manoa, Sch Life Sci, Honolulu, HI 96822 USA; [Essl, Franz] Univ Vienna, Dept Bot &amp; Biodivers Res, Vienna, Austria; [Haider, Sylvia] Martin Luther Univ Halle Wittenberg, Inst Biol Geobotany &amp; Bot Garden, Halle, Germany; [Haider, Sylvia] German Ctr Integrat Biodivers Res iDiv, Leizpig, Germany; [Kueffer, Christoph] Swiss Fed Inst Technol, Inst Integrat Biol, Dept Environm Syst Sci, Zurich, Switzerland; [Lenoir, Jonathan] Univ Picardie Jules Verne, EDYSAN, UMR CNRS 7058, UR Ecol &amp; Dynam Syst Anthropises, Amiens, France; [Milbau, Ann] Res Inst Nat &amp; Forest INBO, Brussels, Belgium; [Nunez, Martin A.] Univ Nacl Comahue, CONICET, INIBIOMA, Grp Ecol Invas, San Carlos De Bariloche, Argentina; [Pauchard, Anibal] Univ Concepcion, Fac Ciencias Forest, Lab Invas Biol LIB, Concepcion, Chile; [Pauchard, Anibal] Inst Ecol &amp; Biodivers IEB, Santiago, Chile; [Rabitsch, Wolfgang] Environm Agcy Austria, Dept Biodivers &amp; Nat Conservat, Vienna, Austria</t>
  </si>
  <si>
    <t>Montana State University System; Montana State University Bozeman; Swiss Federal Institutes of Technology Domain; ETH Zurich; University of Hawaii System; University of Hawaii Manoa; University of Vienna; Martin Luther University Halle Wittenberg; Swiss Federal Institutes of Technology Domain; ETH Zurich; Universite de Picardie Jules Verne (UPJV); Research Institute for Nature &amp; Forest; Consejo Nacional de Investigaciones Cientificas y Tecnicas (CONICET); Universidad Nacional del Comahue; Universidad de Concepcion</t>
  </si>
  <si>
    <t>Rew, LJ (corresponding author), Montana State Univ, Dept Land Resources &amp; Environm Sci, Bozeman, MT 59717 USA.</t>
  </si>
  <si>
    <t>lrew@montana.edu</t>
  </si>
  <si>
    <t>Pauchard, Anibal/B-5034-2008; Lenoir, Jonathan/AAE-8441-2019; Rabitsch, Wolfgang B/G-4562-2011; Nuñez, Martin A./B-2735-2010; Essl, Franz/ABE-7064-2020; Milbau, Ann/AAF-3022-2020; Haider, Sylvia/M-2990-2014; Daehler, Curtis/AFT-4821-2022; Alexander, Jake/P-2580-2014; Kueffer, Christoph/H-6091-2013</t>
  </si>
  <si>
    <t>Pauchard, Anibal/0000-0003-1284-3163; Lenoir, Jonathan/0000-0003-0638-9582; Nuñez, Martin A./0000-0003-0324-5479; Essl, Franz/0000-0001-8253-2112; Haider, Sylvia/0000-0002-2966-0534; Rabitsch, Wolfgang/0000-0002-3811-6071; Alexander, Jake/0000-0003-2226-7913; Milbau, Ann/0000-0003-3555-8883; Kueffer, Christoph/0000-0001-6701-0703; Rew, Lisa/0000-0002-2818-3991</t>
  </si>
  <si>
    <t>Mountain Research Initiative (MRI) of the University of Bern (Switzerland); Marcus Wallenberg Foundation for International Scientific Collaboration; Oscar and Lili Lamms Remembrance Foundation; Arctic Research Centre at Umea University (ARCUM); Climate Impacts Research Centre (CIRC); National Institute of Food and Agriculture, U.S. Department of Agriculture Hatch [MONB00363]; European Union's Horizon 2020 research and innovation programme [678841]; CONICYT [PIA AFB170008]; Fondecyt [1180205]</t>
  </si>
  <si>
    <t>Mountain Research Initiative (MRI) of the University of Bern (Switzerland); Marcus Wallenberg Foundation for International Scientific Collaboration; Oscar and Lili Lamms Remembrance Foundation; Arctic Research Centre at Umea University (ARCUM); Climate Impacts Research Centre (CIRC); National Institute of Food and Agriculture, U.S. Department of Agriculture Hatch; European Union's Horizon 2020 research and innovation programme(Horizon 2020); CONICYT(Comision Nacional de Investigacion Cientifica y Tecnologica (CONICYT)); Fondecyt(Comision Nacional de Investigacion Cientifica y Tecnologica (CONICYT)CONICYT FONDECYT)</t>
  </si>
  <si>
    <t>The workshop that led to this work was supported through funding by the Mountain Research Initiative (MRI) of the University of Bern (Switzerland), the Marcus Wallenberg Foundation for International Scientific Collaboration, the Oscar and Lili Lamms Remembrance Foundation, the Arctic Research Centre at Umea University (ARCUM), and the Climate Impacts Research Centre (CIRC). LR is supported by the National Institute of Food and Agriculture, U.S. Department of Agriculture Hatch: MONB00363. JMA received funding from the European Union's Horizon 2020 research and innovation programme under grant agreement No. 678841. AP was funded by CONICYT PIA AFB170008 and Fondecyt 1180205. We thank Bridgett Naylor, USDA-FS, La Grande, Oregon, for Figure 2.</t>
  </si>
  <si>
    <t>10.1080/15230430.2020.1845919</t>
  </si>
  <si>
    <t>PI9KQ</t>
  </si>
  <si>
    <t>WOS:000601401000001</t>
  </si>
  <si>
    <t>Tulloch, V; Pirotta, V; Grech, A; Crocetti, S; Double, M; How, J; Kemper, C; Meager, J; Peddemors, V; Waples, K; Watson, M; Harcourt, R</t>
  </si>
  <si>
    <t>Tulloch, Vivitskaia; Pirotta, Vanessa; Grech, Alana; Crocetti, Susan; Double, Michael; How, Jason; Kemper, Catherine; Meager, Justin; Peddemors, Victor; Waples, Kelly; Watson, Mandy; Harcourt, Robert</t>
  </si>
  <si>
    <t>Long-term trends and a risk analysis of cetacean entanglements and bycatch in fisheries gear in Australian waters</t>
  </si>
  <si>
    <t>BIODIVERSITY AND CONSERVATION</t>
  </si>
  <si>
    <t>Cetacean; Dolphin; Whale; Entanglement; Fisheries; Mitigation; Australia; Bycatch; Anthropogenic pressures; Risk assessment</t>
  </si>
  <si>
    <t>NEW-SOUTH-WALES; DOLPHINS TURSIOPS-TRUNCATUS; MARINE MAMMALS; FISHING GEAR; WESTERN-AUSTRALIA; HUMPBACK DOLPHINS; HECTORS DOLPHIN; BALEEN WHALES; SITE FIDELITY; SEA LIONS</t>
  </si>
  <si>
    <t>Assessments of fisheries interactions with non-target species are crucial for quantifying anthropogenic threatening processes and informing management action. We perform the first multi-jurisdictional analysis of spatial and temporal trends, data gaps and risk assessment of cetacean interactions with fisheries gear for the entire Australian Exclusive Economic Zone. Bycatch and entanglement records dating from 1887 to 2016 were collected from across Australia (n = 1987). Since 2000 there has been a substantial increase in reported bycatch and entanglements and this is likely the result of improved monitoring or recording by some jurisdictions and fisheries as well as changing fishing effort, combined with continuing recovery of baleen whale populations after cessation of commercial whaling. A minimum of 27 cetacean species were recorded entangled, with over 30% of records involving interactions with threatened, vulnerable or endangered species. Three times the number of dolphins and toothed whales were recorded entangled compared to baleen whales. Inshore dolphins were assessed as most vulnerable to population decline as a result of entanglements, though humpback whales, common bottlenose dolphins, and short-beaked common dolphins were the most frequently caught. Only one-quarter of animals were reported to have survived entanglement, either through intervention or self-release from fishing gear. Spatial mapping of the records highlighted entanglement hotspots along the east and west coast of the continent, regions where high human population density, high fishing effort, and high density of migrating humpback whales all occur, augmented by high captures of dolphins in shark control gear along the east coast. Areas of few entanglements were more remote, highlighting substantial bias in entanglement reporting. Our gap analysis identified discrepancies in data quality and recording consistency both within and between jurisdictions. Disparities in the types of fisheries data provided for the analysis by different state agencies limited our ability to compile bycatch data in a representative and systematic way. This research highlights the need for improved standardised data recording and reporting by all agencies, and compulsory sharing of detailed fisheries interaction and effort data, as this would increase the value of entanglement and bycatch data as a conservation and management tool.</t>
  </si>
  <si>
    <t>[Tulloch, Vivitskaia; Pirotta, Vanessa; Harcourt, Robert] Macquarie Univ, Dept Biol Sci, Marine Predator Res Grp, Sydney, NSW, Australia; [Tulloch, Vivitskaia] Univ British Columbia, Dept Forest &amp; Conservat Sci, Vancouver, BC, Canada; [Grech, Alana] Macquarie Univ, Dept Environm Sci, Sydney, NSW, Australia; [Grech, Alana] James Cook Univ, ARC Ctr Excellence Coral Reef Studies, Townsville, Qld, Australia; [Crocetti, Susan] Off Environm &amp; Heritage, NSW Natl Pk &amp; Wildlife Serv, Biodivers &amp; Wildlife Unit, Coffs Harbour, Australia; [Double, Michael] Australian Marine Mammal Ctr, Australian Antarctic Div, 203 Channel Hwy, Kingston, Tas, Australia; [How, Jason] Dept Primary Ind &amp; Reg Dev, South Perth, WA, Australia; [Kemper, Catherine] South Australian Museum, North Terrace, Adelaide, SA 5000, Australia; [Meager, Justin] Queensland Dept Environm &amp; Sci, GPO Box 2454, Dutton Park, Qld 4001, Australia; [Peddemors, Victor] Sydney Inst Marine Sci, New South Wales Dept Ind, Mosman, NSW, Australia; [Waples, Kelly] Dept Biodivers Conservat &amp; Attract, Marine Sci Program, Kensington, WA, Australia; [Watson, Mandy] Dept Environm Land Water &amp; Planning, POB 500, East Melbourne, Vic, Australia</t>
  </si>
  <si>
    <t>Macquarie University; University of British Columbia; Macquarie University; James Cook University; Office of Environment &amp; Heritage - New South Wales; Australian Antarctic Division; South Australian Museum; Sydney Institute of Marine Science</t>
  </si>
  <si>
    <t>Tulloch, V (corresponding author), Macquarie Univ, Dept Biol Sci, Marine Predator Res Grp, Sydney, NSW, Australia.;Tulloch, V (corresponding author), Univ British Columbia, Dept Forest &amp; Conservat Sci, Vancouver, BC, Canada.</t>
  </si>
  <si>
    <t>v.tulloch@ubc.ca</t>
  </si>
  <si>
    <t>Grech, Alana/U-7776-2019; Peddemors, Victor M/Q-4281-2016; Tulloch, Vivitskaia/GNH-4554-2022; Waples, Kelly/JXO-0148-2024; Tulloch, Vivitskaia/G-1336-2013; Pirotta, Dr Vanessa/I-7046-2018</t>
  </si>
  <si>
    <t>Grech, Alana/0000-0003-4117-3779; Meager, Justin/0000-0002-3349-1841; Harcourt, Robert/0000-0003-4666-2934; Tulloch, Vivitskaia/0000-0002-7673-3716; Peddemors, Victor/0000-0002-8743-9782; Pirotta, Dr Vanessa/0000-0003-0395-1859</t>
  </si>
  <si>
    <t>0960-3115</t>
  </si>
  <si>
    <t>1572-9710</t>
  </si>
  <si>
    <t>BIODIVERS CONSERV</t>
  </si>
  <si>
    <t>Biodivers. Conserv.</t>
  </si>
  <si>
    <t>10.1007/s10531-019-01881-x</t>
  </si>
  <si>
    <t>KJ2CQ</t>
  </si>
  <si>
    <t>WOS:000511866200014</t>
  </si>
  <si>
    <t>van Wilgen, BW; Measey, J; Richardson, DM; Wilson, JR; Zengeya, TA</t>
  </si>
  <si>
    <t>vanWilgen, BW; Measey, J; Richardson, DM; Wilson, JR; Zengeya, TA</t>
  </si>
  <si>
    <t>van Wilgen, Brian W.; Measey, John; Richardson, David M.; Wilson, John R.; Zengeya, Tsungai A.</t>
  </si>
  <si>
    <t>Biological Invasions in South Africa: An Overview</t>
  </si>
  <si>
    <t>BIOLOGICAL INVASIONS IN SOUTH AFRICA</t>
  </si>
  <si>
    <t>Invading Nature-Springer Series in Invasion Ecology</t>
  </si>
  <si>
    <t>ALIEN PLANT INVASIONS; MANAGEMENT; CHALLENGES; WORKING; COSTS; AREAS; CAPE; PERCEPTION; VALUATION; BENEFITS</t>
  </si>
  <si>
    <t>South Africa has much to offer as a location for the study of biological invasions. It is an ecologically diverse country comprised of nine distinct terrestrial biomes, four recognised marine ecoregions, and two sub-Antarctic Islands. The country has a rich and chequered socio-political history, and a similarly varied history of species introductions. There has been a long tradition of large-scale conservation in the country, and efforts to manage and regulate invasions began in the nineteenth century, with some notable successes, but many setbacks. With the advent of democracy in the early 1990s, South Africa established large alien species control programmes to meet the dual demands of poverty alleviation and conservation, and has since pioneered regulatory approaches to address invasions. In terms of research, South Africa has played an important role in the development of invasion science globally. It continues to have one of the most active communities anywhere in the world, with strengths in theoretical and applied invasion science, and world-leading expertise in specific sub-disciplines (e.g. the classical biological control of invasive plants). In this introductory chapter to the book Biological Invasions in South Africa, we highlight key events that have affected biological invasions, their management, and the research conducted over the past two centuries. In so doing, we build on earlier reviews-from a national situational review of the state of knowledge in 1986, culminating most recently with a comprehensive report on the status of biological invasions and their management at a national level in 2018. Our book comprises 31 chapters (including this one), divided into seven parts that examine where we have come from, where we are, how we got here, why the issue is important, what we are doing about it, what we have learnt, and where wemay be headed. The book lists over 1400 alien species that have established outside of captivity or cultivation. These species cost the country at least US$1 billion per year (similar to ZAR 15 billion), and threaten South Africa's unique biodiversity. The introduction and spread of alien species, the impacts that they have had, the benefits that they have brought, and the attempts to manage them have provided many opportunities for research. Documenting what we have learned from this unplanned experiment is a primary goal of this book. We hope this book will allow readers to better understand biological invasions in South Africa, and thereby assist them in responding to the challenge of addressing the problem.</t>
  </si>
  <si>
    <t>[van Wilgen, Brian W.; Measey, John; Richardson, David M.; Wilson, John R.; Zengeya, Tsungai A.] Stellenbosch Univ, Dept Bot &amp; Zool, Ctr Invas Biol, Stellenbosch, South Africa; [Wilson, John R.; Zengeya, Tsungai A.] Kirstenbosch Res Ctr, South African Natl Biodivers Inst, Cape Town, South Africa</t>
  </si>
  <si>
    <t>Stellenbosch University; South African National Biodiversity Institute</t>
  </si>
  <si>
    <t>van Wilgen, BW (corresponding author), Stellenbosch Univ, Dept Bot &amp; Zool, Ctr Invas Biol, Stellenbosch, South Africa.</t>
  </si>
  <si>
    <t>bvanwilgen@sun.ac.za</t>
  </si>
  <si>
    <t>Richardson, David Mark/A-1495-2008; van Wilgen, Nicola/D-7262-2012; Measey, John/F-2028-2010; Wilson, John/B-4101-2008</t>
  </si>
  <si>
    <t>Richardson, David Mark/0000-0001-9574-8297; van Wilgen, Nicola/0000-0001-8110-698X; Measey, John/0000-0001-9939-7615; Wilson, John/0000-0003-0174-3239; van Wilgen, Brian/0000-0002-1536-7521; Zengeya, Tsungai/0000-0003-0946-0452</t>
  </si>
  <si>
    <t>DSI-NRF Centre of Excellence for Invasion Biology (C.I.B); Natural Resources Management Programme of the South African Department of Environment, Forestry and Fisheries (DEFF) through a collaborative research project on Integrated Management of invasive alien species in South Africa; Natural Resources Management Programme of the South African Department of Environment, Forestry and Fisheries (DEFF) through DEFF's funding of the South African National Biodiversity Institute</t>
  </si>
  <si>
    <t>We acknowledge 15 years of funding from the DSI-NRF Centre of Excellence for Invasion Biology (C.I.B) that has supported a wealth of research on biological invasions in South Africa. Additional support was received from the Natural Resources Management Programme of the South African Department of Environment, Forestry and Fisheries (DEFF), through a collaborative research project on Integrated Management of invasive alien species in South Africa and through DEFF's funding of the South African National Biodiversity Institute (noting that this publication does not necessarily represent the views or opinions of DEFF or its employees).</t>
  </si>
  <si>
    <t>PO BOX 17, 3300 AA DORDRECHT, NETHERLANDS</t>
  </si>
  <si>
    <t>1874-7809</t>
  </si>
  <si>
    <t>978-3-030-32394-3; 978-3-030-32393-6</t>
  </si>
  <si>
    <t>INVAD NAT SPRING SER</t>
  </si>
  <si>
    <t>Invading Nat.-Springer Ser. Invasion Ecol.</t>
  </si>
  <si>
    <t>10.1007/978-3-030-32394-3_1</t>
  </si>
  <si>
    <t>10.1007/978-3-030-32394-3</t>
  </si>
  <si>
    <t>Biodiversity Conservation; Ecology; Environmental Studies</t>
  </si>
  <si>
    <t>BU1PY</t>
  </si>
  <si>
    <t>WOS:000879690200002</t>
  </si>
  <si>
    <t>Greve, M; von der Meden, CEO; Janion-Scheepers, C</t>
  </si>
  <si>
    <t>Greve, Michelle; von der Meden, Charles Eric Otto; Janion-Scheepers, Charlene</t>
  </si>
  <si>
    <t>Biological Invasions in South Africa's Offshore Sub-Antarctic Territories</t>
  </si>
  <si>
    <t>PRINCE-EDWARD-ISLANDS; ALIEN VASCULAR PLANTS; MARION ISLAND; CLIMATE-CHANGE; OCEAN ISLANDS; HOUSE MICE; TERRESTRIAL ECOSYSTEM; PROPAGULE PRESSURE; RODENT ERADICATION; FERAL CATS</t>
  </si>
  <si>
    <t>The sub-Antarctic Prince Edward Islands (PEIs) constitute South Africa's most remote territory. Despite this, they have not been spared from biological invasions. Here, we review what is known about invasions to the PEIs for terrestrial taxa (vertebrates, invertebrates, plants and microbes), freshwater taxa and marine taxa. Currently, Marion Island is home to 46 alien species, of which 29 are known to be invasive (i.e. they are alien species that have established and spread on the island). Prince Edward Island, which has no permanent human settlement and is visited only infrequently, has significantly fewer alien species: only eight alien species are known from Prince Edward Island, of which seven are known to be invasive. The House Mouse (Mus musculus), which occurs on Marion Island, can be considered the most detrimental invader to the islands; it impacts on plants, insects and seabirds, which result in changes to ecosystem functioning. The impacts of other terrestrial invaders are less well understood. At present, no invasive freshwater or marine taxa are known from the PEIs. We conclude by discussing how invasion threats to the PEIs are changing and how the amelioration of the climate of the islands may increase invasion threats to both terrestrial and marine habitats.</t>
  </si>
  <si>
    <t>[Greve, Michelle] Univ Pretoria, Dept Plant &amp; Soil Sci, Pretoria, South Africa; [von der Meden, Charles Eric Otto] South African Environm Observat Network, Cape Town, South Africa; [Janion-Scheepers, Charlene] Iziko Museums South Africa, Ctr Invas Biol, Cape Town, South Africa</t>
  </si>
  <si>
    <t>University of Pretoria; National Research Foundation - South Africa; South African Environmental Observation Network (SAEON)</t>
  </si>
  <si>
    <t>Greve, M (corresponding author), Univ Pretoria, Dept Plant &amp; Soil Sci, Pretoria, South Africa.</t>
  </si>
  <si>
    <t>michelle.greve@up.ac.za</t>
  </si>
  <si>
    <t>Greve, Michelle/0000-0002-6229-8506; Janion-Scheepers, Charlene/0000-0001-5942-7912</t>
  </si>
  <si>
    <t>South African National Research Foundation through the South African National Antarctic Programme</t>
  </si>
  <si>
    <t>This work, and much of the work cited in this paper, was supported by the South African National Research Foundation through the South African National Antarctic Programme.</t>
  </si>
  <si>
    <t>10.1007/978-3-030-32394-3_8</t>
  </si>
  <si>
    <t>WOS:000879690200009</t>
  </si>
  <si>
    <t>Taylor, PD</t>
  </si>
  <si>
    <t>Taylor, Paul D.</t>
  </si>
  <si>
    <t>Bryozoan Paleobiology Preface</t>
  </si>
  <si>
    <t>BRYOZOAN PALEOBIOLOGY</t>
  </si>
  <si>
    <t>Topics in Paleobiology</t>
  </si>
  <si>
    <t>FRESH-WATER BRYOZOANS; CINCINNATI ARCH REGION; MITOCHONDRIAL-DNA PHYLOGEOGRAPHY; NONTROPICAL CARBONATE DEPOSITS; PALEOZOIC FENESTRATE BRYOZOAN; CELLEPORELLA-HYALINA BRYOZOA; ANTARCTIC RESEARCH-PROGRAM; EARLY COLONY DEVELOPMENT; ELECTRA-PILOSA LINNAEUS; BUGULA-NERITINA BRYOZOA</t>
  </si>
  <si>
    <t>[Taylor, Paul D.] Nat Hist Museum, London, England</t>
  </si>
  <si>
    <t>Natural History Museum London</t>
  </si>
  <si>
    <t>Taylor, PD (corresponding author), Nat Hist Museum, London, England.</t>
  </si>
  <si>
    <t>Taylor, Paul David/ABE-1167-2020</t>
  </si>
  <si>
    <t>WILEY-BLACKWELL</t>
  </si>
  <si>
    <t>111 RIVER STREET, HOBOKEN, NJ, UNITED STATES</t>
  </si>
  <si>
    <t>978-1-118-45498-5; 978-1-118-45500-5</t>
  </si>
  <si>
    <t>TOP PALEOBIOL</t>
  </si>
  <si>
    <t>IX</t>
  </si>
  <si>
    <t>10.1002/9781118454961</t>
  </si>
  <si>
    <t>Biodiversity Conservation; Paleontology; Zoology</t>
  </si>
  <si>
    <t>Biodiversity &amp; Conservation; Paleontology; Zoology</t>
  </si>
  <si>
    <t>BV8BC</t>
  </si>
  <si>
    <t>WOS:001075076600001</t>
  </si>
  <si>
    <t>Richardson, BJ</t>
  </si>
  <si>
    <t>Sjafjell, B; Bruner, CM</t>
  </si>
  <si>
    <t>Richardson, Benjamin J.</t>
  </si>
  <si>
    <t>Aligning Social Investing with Nature's Timescales</t>
  </si>
  <si>
    <t>CAMBRIDGE HANDBOOK OF CORPORATE LAW, CORPORATE GOVERNANCE AND SUSTAINABILITY</t>
  </si>
  <si>
    <t>Cambridge Law Handbooks</t>
  </si>
  <si>
    <t>[Richardson, Benjamin J.] Univ Tasmania, Fac Law, Environm Law, Hobart, Tas, Australia; [Richardson, Benjamin J.] Univ Tasmania, Inst Marine &amp; Antarctic Studies, Hobart, Tas, Australia</t>
  </si>
  <si>
    <t>Richardson, BJ (corresponding author), Univ Tasmania, Fac Law, Environm Law, Hobart, Tas, Australia.;Richardson, BJ (corresponding author), Univ Tasmania, Inst Marine &amp; Antarctic Studies, Hobart, Tas, Australia.</t>
  </si>
  <si>
    <t>Richardson, Benjamin J/J-7340-2014</t>
  </si>
  <si>
    <t>978-1-108-47329-3</t>
  </si>
  <si>
    <t>CAMB LAW HANDBOOKS</t>
  </si>
  <si>
    <t>10.1017/9781108658386</t>
  </si>
  <si>
    <t>Business; Law</t>
  </si>
  <si>
    <t>Business &amp; Economics; Government &amp; Law</t>
  </si>
  <si>
    <t>BS9IG</t>
  </si>
  <si>
    <t>WOS:000780882500046</t>
  </si>
  <si>
    <t>Tsuyuki, A; Oya, Y; Kajihara, H</t>
  </si>
  <si>
    <t>Tsuyuki, Aoi; Oya, Yuki; Kajihara, Hiroshi</t>
  </si>
  <si>
    <t>First record of Stylostomum ellipse (Dalyell, 1853) (Platyhelminthes, Polycladida) from the Pacific Ocean</t>
  </si>
  <si>
    <t>CHECK LIST</t>
  </si>
  <si>
    <t>Cosmopolitan species; Euryleptidae; genetic distance; marine invertebrates; taxonomy</t>
  </si>
  <si>
    <t>The polyclad flatworm Stylostomum ellipse (Dalyell, 1853) has hitherto been recorded from the Antarctic region, Mediterranean Sea, Patagonian region, Scandinavia, South Africa, and South Georgia Island. In this study, we report S. ellipse for the first time from the Pacific Ocean based on specimens collected in Hokkaido, northern Japan. Our specimens are morphologically identifiable as S. ellipse, but may represent a biologically different species from a population of the Mediterranean Sea. This is because, based on the previous genetic data of other cotylean species, the observed uncorrected p-distance 0.02160 between the two distinct populations in terms of a partial 972 bp region of the 28S rDNA sequence may be great enough to separate the species biologically.</t>
  </si>
  <si>
    <t>[Tsuyuki, Aoi; Oya, Yuki] Hokkaido Univ, Grad Sch Sci, Sapporo, Hokkaido 0600810, Japan; [Kajihara, Hiroshi] Hokkaido Univ, Fac Sci, Sapporo, Hokkaido 0600810, Japan</t>
  </si>
  <si>
    <t>Tsuyuki, A (corresponding author), Hokkaido Univ, Grad Sch Sci, Sapporo, Hokkaido 0600810, Japan.</t>
  </si>
  <si>
    <t>tykamsp0430@gmail.com</t>
  </si>
  <si>
    <t>Kajihara, Hiroshi/HHC-4886-2022</t>
  </si>
  <si>
    <t>Kajihara, Hiroshi/0000-0001-6510-9355</t>
  </si>
  <si>
    <t>Research Institute of Marine Invertebrates [15]</t>
  </si>
  <si>
    <t>Research Institute of Marine Invertebrates</t>
  </si>
  <si>
    <t>We thank Mr Shoichi Hamano and Mr Hidenori Katsuragawa (Akkeshi Marine Station, Hokkaido University) for assistance in collecting samples by dredging. We are also thankful to all of the participants of the Laboratory Course in Marine Biology I in Akkeshi during 2017-2019 (Hokkaido University) for their help in finding samples. We are grateful to Dr Keiich Kakui (Hokkaido University) for managing the course and our sampling. This study was funded by Research Institute of Marine Invertebrates (FY 2019, No. 15 for AT).</t>
  </si>
  <si>
    <t>PENSOFT PUBLISHERS</t>
  </si>
  <si>
    <t>12 PROF GEORGI ZLATARSKI ST, SOFIA, 1700, BULGARIA</t>
  </si>
  <si>
    <t>1809-127X</t>
  </si>
  <si>
    <t>Check List</t>
  </si>
  <si>
    <t>10.15560/16.3.773</t>
  </si>
  <si>
    <t>Biodiversity Conservation; Zoology</t>
  </si>
  <si>
    <t>Biodiversity &amp; Conservation; Zoology</t>
  </si>
  <si>
    <t>VL7GW</t>
  </si>
  <si>
    <t>WOS:000906588300031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</si>
</sst>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39</v>
      </c>
      <c r="AH2">
        <v>12</v>
      </c>
      <c r="AI2">
        <v>12</v>
      </c>
      <c r="AJ2">
        <v>0</v>
      </c>
      <c r="AK2">
        <v>5</v>
      </c>
      <c r="AL2" t="s">
        <v>92</v>
      </c>
      <c r="AM2" t="s">
        <v>93</v>
      </c>
      <c r="AN2" t="s">
        <v>94</v>
      </c>
      <c r="AO2" t="s">
        <v>95</v>
      </c>
      <c r="AP2" t="s">
        <v>96</v>
      </c>
      <c r="AQ2" t="s">
        <v>74</v>
      </c>
      <c r="AR2" t="s">
        <v>97</v>
      </c>
      <c r="AS2" t="s">
        <v>98</v>
      </c>
      <c r="AT2" t="s">
        <v>99</v>
      </c>
      <c r="AU2">
        <v>2020</v>
      </c>
      <c r="AV2">
        <v>892</v>
      </c>
      <c r="AW2">
        <v>2</v>
      </c>
      <c r="AX2" t="s">
        <v>74</v>
      </c>
      <c r="AY2" t="s">
        <v>74</v>
      </c>
      <c r="AZ2" t="s">
        <v>74</v>
      </c>
      <c r="BA2" t="s">
        <v>74</v>
      </c>
      <c r="BB2" t="s">
        <v>74</v>
      </c>
      <c r="BC2" t="s">
        <v>74</v>
      </c>
      <c r="BD2" t="s">
        <v>100</v>
      </c>
      <c r="BE2" t="s">
        <v>101</v>
      </c>
      <c r="BF2" t="str">
        <f>HYPERLINK("http://dx.doi.org/10.3847/2041-8213/ab7fb3","http://dx.doi.org/10.3847/2041-8213/ab7fb3")</f>
        <v>http://dx.doi.org/10.3847/2041-8213/ab7fb3</v>
      </c>
      <c r="BG2" t="s">
        <v>74</v>
      </c>
      <c r="BH2" t="s">
        <v>74</v>
      </c>
      <c r="BI2">
        <v>6</v>
      </c>
      <c r="BJ2" t="s">
        <v>102</v>
      </c>
      <c r="BK2" t="s">
        <v>103</v>
      </c>
      <c r="BL2" t="s">
        <v>102</v>
      </c>
      <c r="BM2" t="s">
        <v>104</v>
      </c>
      <c r="BN2" t="s">
        <v>74</v>
      </c>
      <c r="BO2" t="s">
        <v>105</v>
      </c>
      <c r="BP2" t="s">
        <v>74</v>
      </c>
      <c r="BQ2" t="s">
        <v>74</v>
      </c>
      <c r="BR2" t="s">
        <v>106</v>
      </c>
      <c r="BS2" t="s">
        <v>107</v>
      </c>
      <c r="BT2" t="str">
        <f>HYPERLINK("https%3A%2F%2Fwww.webofscience.com%2Fwos%2Fwoscc%2Ffull-record%2FWOS:000523510900001","View Full Record in Web of Science")</f>
        <v>View Full Record in Web of Science</v>
      </c>
    </row>
    <row r="3" spans="1:72" x14ac:dyDescent="0.15">
      <c r="A3" t="s">
        <v>72</v>
      </c>
      <c r="B3" t="s">
        <v>108</v>
      </c>
      <c r="C3" t="s">
        <v>74</v>
      </c>
      <c r="D3" t="s">
        <v>74</v>
      </c>
      <c r="E3" t="s">
        <v>74</v>
      </c>
      <c r="F3" t="s">
        <v>109</v>
      </c>
      <c r="G3" t="s">
        <v>74</v>
      </c>
      <c r="H3" t="s">
        <v>74</v>
      </c>
      <c r="I3" t="s">
        <v>110</v>
      </c>
      <c r="J3" t="s">
        <v>111</v>
      </c>
      <c r="K3" t="s">
        <v>74</v>
      </c>
      <c r="L3" t="s">
        <v>74</v>
      </c>
      <c r="M3" t="s">
        <v>78</v>
      </c>
      <c r="N3" t="s">
        <v>79</v>
      </c>
      <c r="O3" t="s">
        <v>74</v>
      </c>
      <c r="P3" t="s">
        <v>74</v>
      </c>
      <c r="Q3" t="s">
        <v>74</v>
      </c>
      <c r="R3" t="s">
        <v>74</v>
      </c>
      <c r="S3" t="s">
        <v>74</v>
      </c>
      <c r="T3" t="s">
        <v>112</v>
      </c>
      <c r="U3" t="s">
        <v>113</v>
      </c>
      <c r="V3" t="s">
        <v>114</v>
      </c>
      <c r="W3" t="s">
        <v>115</v>
      </c>
      <c r="X3" t="s">
        <v>116</v>
      </c>
      <c r="Y3" t="s">
        <v>117</v>
      </c>
      <c r="Z3" t="s">
        <v>118</v>
      </c>
      <c r="AA3" t="s">
        <v>119</v>
      </c>
      <c r="AB3" t="s">
        <v>120</v>
      </c>
      <c r="AC3" t="s">
        <v>74</v>
      </c>
      <c r="AD3" t="s">
        <v>74</v>
      </c>
      <c r="AE3" t="s">
        <v>74</v>
      </c>
      <c r="AF3" t="s">
        <v>74</v>
      </c>
      <c r="AG3">
        <v>47</v>
      </c>
      <c r="AH3">
        <v>11</v>
      </c>
      <c r="AI3">
        <v>11</v>
      </c>
      <c r="AJ3">
        <v>0</v>
      </c>
      <c r="AK3">
        <v>12</v>
      </c>
      <c r="AL3" t="s">
        <v>121</v>
      </c>
      <c r="AM3" t="s">
        <v>122</v>
      </c>
      <c r="AN3" t="s">
        <v>123</v>
      </c>
      <c r="AO3" t="s">
        <v>124</v>
      </c>
      <c r="AP3" t="s">
        <v>125</v>
      </c>
      <c r="AQ3" t="s">
        <v>74</v>
      </c>
      <c r="AR3" t="s">
        <v>126</v>
      </c>
      <c r="AS3" t="s">
        <v>127</v>
      </c>
      <c r="AT3" t="s">
        <v>128</v>
      </c>
      <c r="AU3">
        <v>2020</v>
      </c>
      <c r="AV3">
        <v>22</v>
      </c>
      <c r="AW3">
        <v>4</v>
      </c>
      <c r="AX3" t="s">
        <v>74</v>
      </c>
      <c r="AY3" t="s">
        <v>74</v>
      </c>
      <c r="AZ3" t="s">
        <v>74</v>
      </c>
      <c r="BA3" t="s">
        <v>74</v>
      </c>
      <c r="BB3">
        <v>1265</v>
      </c>
      <c r="BC3">
        <v>1278</v>
      </c>
      <c r="BD3" t="s">
        <v>74</v>
      </c>
      <c r="BE3" t="s">
        <v>129</v>
      </c>
      <c r="BF3" t="str">
        <f>HYPERLINK("http://dx.doi.org/10.1007/s10530-019-02194-4","http://dx.doi.org/10.1007/s10530-019-02194-4")</f>
        <v>http://dx.doi.org/10.1007/s10530-019-02194-4</v>
      </c>
      <c r="BG3" t="s">
        <v>74</v>
      </c>
      <c r="BH3" t="s">
        <v>74</v>
      </c>
      <c r="BI3">
        <v>14</v>
      </c>
      <c r="BJ3" t="s">
        <v>130</v>
      </c>
      <c r="BK3" t="s">
        <v>103</v>
      </c>
      <c r="BL3" t="s">
        <v>131</v>
      </c>
      <c r="BM3" t="s">
        <v>132</v>
      </c>
      <c r="BN3" t="s">
        <v>74</v>
      </c>
      <c r="BO3" t="s">
        <v>133</v>
      </c>
      <c r="BP3" t="s">
        <v>74</v>
      </c>
      <c r="BQ3" t="s">
        <v>74</v>
      </c>
      <c r="BR3" t="s">
        <v>106</v>
      </c>
      <c r="BS3" t="s">
        <v>134</v>
      </c>
      <c r="BT3" t="str">
        <f>HYPERLINK("https%3A%2F%2Fwww.webofscience.com%2Fwos%2Fwoscc%2Ffull-record%2FWOS:000519618900004","View Full Record in Web of Science")</f>
        <v>View Full Record in Web of Science</v>
      </c>
    </row>
    <row r="4" spans="1:72" x14ac:dyDescent="0.15">
      <c r="A4" t="s">
        <v>72</v>
      </c>
      <c r="B4" t="s">
        <v>135</v>
      </c>
      <c r="C4" t="s">
        <v>74</v>
      </c>
      <c r="D4" t="s">
        <v>74</v>
      </c>
      <c r="E4" t="s">
        <v>74</v>
      </c>
      <c r="F4" t="s">
        <v>136</v>
      </c>
      <c r="G4" t="s">
        <v>74</v>
      </c>
      <c r="H4" t="s">
        <v>74</v>
      </c>
      <c r="I4" t="s">
        <v>137</v>
      </c>
      <c r="J4" t="s">
        <v>111</v>
      </c>
      <c r="K4" t="s">
        <v>74</v>
      </c>
      <c r="L4" t="s">
        <v>74</v>
      </c>
      <c r="M4" t="s">
        <v>78</v>
      </c>
      <c r="N4" t="s">
        <v>79</v>
      </c>
      <c r="O4" t="s">
        <v>74</v>
      </c>
      <c r="P4" t="s">
        <v>74</v>
      </c>
      <c r="Q4" t="s">
        <v>74</v>
      </c>
      <c r="R4" t="s">
        <v>74</v>
      </c>
      <c r="S4" t="s">
        <v>74</v>
      </c>
      <c r="T4" t="s">
        <v>138</v>
      </c>
      <c r="U4" t="s">
        <v>139</v>
      </c>
      <c r="V4" t="s">
        <v>140</v>
      </c>
      <c r="W4" t="s">
        <v>141</v>
      </c>
      <c r="X4" t="s">
        <v>142</v>
      </c>
      <c r="Y4" t="s">
        <v>143</v>
      </c>
      <c r="Z4" t="s">
        <v>144</v>
      </c>
      <c r="AA4" t="s">
        <v>145</v>
      </c>
      <c r="AB4" t="s">
        <v>146</v>
      </c>
      <c r="AC4" t="s">
        <v>74</v>
      </c>
      <c r="AD4" t="s">
        <v>74</v>
      </c>
      <c r="AE4" t="s">
        <v>74</v>
      </c>
      <c r="AF4" t="s">
        <v>74</v>
      </c>
      <c r="AG4">
        <v>64</v>
      </c>
      <c r="AH4">
        <v>13</v>
      </c>
      <c r="AI4">
        <v>13</v>
      </c>
      <c r="AJ4">
        <v>2</v>
      </c>
      <c r="AK4">
        <v>41</v>
      </c>
      <c r="AL4" t="s">
        <v>121</v>
      </c>
      <c r="AM4" t="s">
        <v>122</v>
      </c>
      <c r="AN4" t="s">
        <v>123</v>
      </c>
      <c r="AO4" t="s">
        <v>124</v>
      </c>
      <c r="AP4" t="s">
        <v>125</v>
      </c>
      <c r="AQ4" t="s">
        <v>74</v>
      </c>
      <c r="AR4" t="s">
        <v>126</v>
      </c>
      <c r="AS4" t="s">
        <v>127</v>
      </c>
      <c r="AT4" t="s">
        <v>128</v>
      </c>
      <c r="AU4">
        <v>2020</v>
      </c>
      <c r="AV4">
        <v>22</v>
      </c>
      <c r="AW4">
        <v>4</v>
      </c>
      <c r="AX4" t="s">
        <v>74</v>
      </c>
      <c r="AY4" t="s">
        <v>74</v>
      </c>
      <c r="AZ4" t="s">
        <v>74</v>
      </c>
      <c r="BA4" t="s">
        <v>74</v>
      </c>
      <c r="BB4">
        <v>1339</v>
      </c>
      <c r="BC4">
        <v>1352</v>
      </c>
      <c r="BD4" t="s">
        <v>74</v>
      </c>
      <c r="BE4" t="s">
        <v>147</v>
      </c>
      <c r="BF4" t="str">
        <f>HYPERLINK("http://dx.doi.org/10.1007/s10530-019-02186-4","http://dx.doi.org/10.1007/s10530-019-02186-4")</f>
        <v>http://dx.doi.org/10.1007/s10530-019-02186-4</v>
      </c>
      <c r="BG4" t="s">
        <v>74</v>
      </c>
      <c r="BH4" t="s">
        <v>74</v>
      </c>
      <c r="BI4">
        <v>14</v>
      </c>
      <c r="BJ4" t="s">
        <v>130</v>
      </c>
      <c r="BK4" t="s">
        <v>103</v>
      </c>
      <c r="BL4" t="s">
        <v>131</v>
      </c>
      <c r="BM4" t="s">
        <v>132</v>
      </c>
      <c r="BN4" t="s">
        <v>74</v>
      </c>
      <c r="BO4" t="s">
        <v>148</v>
      </c>
      <c r="BP4" t="s">
        <v>74</v>
      </c>
      <c r="BQ4" t="s">
        <v>74</v>
      </c>
      <c r="BR4" t="s">
        <v>106</v>
      </c>
      <c r="BS4" t="s">
        <v>149</v>
      </c>
      <c r="BT4" t="str">
        <f>HYPERLINK("https%3A%2F%2Fwww.webofscience.com%2Fwos%2Fwoscc%2Ffull-record%2FWOS:000519618900010","View Full Record in Web of Science")</f>
        <v>View Full Record in Web of Science</v>
      </c>
    </row>
    <row r="5" spans="1:72" x14ac:dyDescent="0.15">
      <c r="A5" t="s">
        <v>72</v>
      </c>
      <c r="B5" t="s">
        <v>150</v>
      </c>
      <c r="C5" t="s">
        <v>74</v>
      </c>
      <c r="D5" t="s">
        <v>74</v>
      </c>
      <c r="E5" t="s">
        <v>74</v>
      </c>
      <c r="F5" t="s">
        <v>151</v>
      </c>
      <c r="G5" t="s">
        <v>74</v>
      </c>
      <c r="H5" t="s">
        <v>74</v>
      </c>
      <c r="I5" t="s">
        <v>152</v>
      </c>
      <c r="J5" t="s">
        <v>153</v>
      </c>
      <c r="K5" t="s">
        <v>74</v>
      </c>
      <c r="L5" t="s">
        <v>74</v>
      </c>
      <c r="M5" t="s">
        <v>78</v>
      </c>
      <c r="N5" t="s">
        <v>79</v>
      </c>
      <c r="O5" t="s">
        <v>74</v>
      </c>
      <c r="P5" t="s">
        <v>74</v>
      </c>
      <c r="Q5" t="s">
        <v>74</v>
      </c>
      <c r="R5" t="s">
        <v>74</v>
      </c>
      <c r="S5" t="s">
        <v>74</v>
      </c>
      <c r="T5" t="s">
        <v>154</v>
      </c>
      <c r="U5" t="s">
        <v>155</v>
      </c>
      <c r="V5" t="s">
        <v>156</v>
      </c>
      <c r="W5" t="s">
        <v>157</v>
      </c>
      <c r="X5" t="s">
        <v>158</v>
      </c>
      <c r="Y5" t="s">
        <v>159</v>
      </c>
      <c r="Z5" t="s">
        <v>74</v>
      </c>
      <c r="AA5" t="s">
        <v>160</v>
      </c>
      <c r="AB5" t="s">
        <v>161</v>
      </c>
      <c r="AC5" t="s">
        <v>162</v>
      </c>
      <c r="AD5" t="s">
        <v>163</v>
      </c>
      <c r="AE5" t="s">
        <v>164</v>
      </c>
      <c r="AF5" t="s">
        <v>74</v>
      </c>
      <c r="AG5">
        <v>125</v>
      </c>
      <c r="AH5">
        <v>86</v>
      </c>
      <c r="AI5">
        <v>91</v>
      </c>
      <c r="AJ5">
        <v>1</v>
      </c>
      <c r="AK5">
        <v>32</v>
      </c>
      <c r="AL5" t="s">
        <v>165</v>
      </c>
      <c r="AM5" t="s">
        <v>166</v>
      </c>
      <c r="AN5" t="s">
        <v>167</v>
      </c>
      <c r="AO5" t="s">
        <v>168</v>
      </c>
      <c r="AP5" t="s">
        <v>169</v>
      </c>
      <c r="AQ5" t="s">
        <v>74</v>
      </c>
      <c r="AR5" t="s">
        <v>170</v>
      </c>
      <c r="AS5" t="s">
        <v>171</v>
      </c>
      <c r="AT5" t="s">
        <v>128</v>
      </c>
      <c r="AU5">
        <v>2020</v>
      </c>
      <c r="AV5">
        <v>242</v>
      </c>
      <c r="AW5" t="s">
        <v>74</v>
      </c>
      <c r="AX5" t="s">
        <v>74</v>
      </c>
      <c r="AY5" t="s">
        <v>74</v>
      </c>
      <c r="AZ5" t="s">
        <v>74</v>
      </c>
      <c r="BA5" t="s">
        <v>74</v>
      </c>
      <c r="BB5" t="s">
        <v>74</v>
      </c>
      <c r="BC5" t="s">
        <v>74</v>
      </c>
      <c r="BD5">
        <v>110658</v>
      </c>
      <c r="BE5" t="s">
        <v>172</v>
      </c>
      <c r="BF5" t="str">
        <f>HYPERLINK("http://dx.doi.org/10.1016/j.cbpa.2020.110658","http://dx.doi.org/10.1016/j.cbpa.2020.110658")</f>
        <v>http://dx.doi.org/10.1016/j.cbpa.2020.110658</v>
      </c>
      <c r="BG5" t="s">
        <v>74</v>
      </c>
      <c r="BH5" t="s">
        <v>74</v>
      </c>
      <c r="BI5">
        <v>11</v>
      </c>
      <c r="BJ5" t="s">
        <v>173</v>
      </c>
      <c r="BK5" t="s">
        <v>103</v>
      </c>
      <c r="BL5" t="s">
        <v>173</v>
      </c>
      <c r="BM5" t="s">
        <v>174</v>
      </c>
      <c r="BN5">
        <v>31954863</v>
      </c>
      <c r="BO5" t="s">
        <v>175</v>
      </c>
      <c r="BP5" t="s">
        <v>74</v>
      </c>
      <c r="BQ5" t="s">
        <v>74</v>
      </c>
      <c r="BR5" t="s">
        <v>106</v>
      </c>
      <c r="BS5" t="s">
        <v>176</v>
      </c>
      <c r="BT5" t="str">
        <f>HYPERLINK("https%3A%2F%2Fwww.webofscience.com%2Fwos%2Fwoscc%2Ffull-record%2FWOS:000520611000012","View Full Record in Web of Science")</f>
        <v>View Full Record in Web of Science</v>
      </c>
    </row>
    <row r="6" spans="1:72" x14ac:dyDescent="0.15">
      <c r="A6" t="s">
        <v>72</v>
      </c>
      <c r="B6" t="s">
        <v>177</v>
      </c>
      <c r="C6" t="s">
        <v>74</v>
      </c>
      <c r="D6" t="s">
        <v>74</v>
      </c>
      <c r="E6" t="s">
        <v>74</v>
      </c>
      <c r="F6" t="s">
        <v>178</v>
      </c>
      <c r="G6" t="s">
        <v>74</v>
      </c>
      <c r="H6" t="s">
        <v>74</v>
      </c>
      <c r="I6" t="s">
        <v>179</v>
      </c>
      <c r="J6" t="s">
        <v>153</v>
      </c>
      <c r="K6" t="s">
        <v>74</v>
      </c>
      <c r="L6" t="s">
        <v>74</v>
      </c>
      <c r="M6" t="s">
        <v>78</v>
      </c>
      <c r="N6" t="s">
        <v>79</v>
      </c>
      <c r="O6" t="s">
        <v>74</v>
      </c>
      <c r="P6" t="s">
        <v>74</v>
      </c>
      <c r="Q6" t="s">
        <v>74</v>
      </c>
      <c r="R6" t="s">
        <v>74</v>
      </c>
      <c r="S6" t="s">
        <v>74</v>
      </c>
      <c r="T6" t="s">
        <v>180</v>
      </c>
      <c r="U6" t="s">
        <v>181</v>
      </c>
      <c r="V6" t="s">
        <v>182</v>
      </c>
      <c r="W6" t="s">
        <v>183</v>
      </c>
      <c r="X6" t="s">
        <v>184</v>
      </c>
      <c r="Y6" t="s">
        <v>185</v>
      </c>
      <c r="Z6" t="s">
        <v>186</v>
      </c>
      <c r="AA6" t="s">
        <v>187</v>
      </c>
      <c r="AB6" t="s">
        <v>188</v>
      </c>
      <c r="AC6" t="s">
        <v>189</v>
      </c>
      <c r="AD6" t="s">
        <v>190</v>
      </c>
      <c r="AE6" t="s">
        <v>191</v>
      </c>
      <c r="AF6" t="s">
        <v>74</v>
      </c>
      <c r="AG6">
        <v>47</v>
      </c>
      <c r="AH6">
        <v>5</v>
      </c>
      <c r="AI6">
        <v>7</v>
      </c>
      <c r="AJ6">
        <v>3</v>
      </c>
      <c r="AK6">
        <v>31</v>
      </c>
      <c r="AL6" t="s">
        <v>165</v>
      </c>
      <c r="AM6" t="s">
        <v>166</v>
      </c>
      <c r="AN6" t="s">
        <v>167</v>
      </c>
      <c r="AO6" t="s">
        <v>168</v>
      </c>
      <c r="AP6" t="s">
        <v>169</v>
      </c>
      <c r="AQ6" t="s">
        <v>74</v>
      </c>
      <c r="AR6" t="s">
        <v>170</v>
      </c>
      <c r="AS6" t="s">
        <v>171</v>
      </c>
      <c r="AT6" t="s">
        <v>128</v>
      </c>
      <c r="AU6">
        <v>2020</v>
      </c>
      <c r="AV6">
        <v>242</v>
      </c>
      <c r="AW6" t="s">
        <v>74</v>
      </c>
      <c r="AX6" t="s">
        <v>74</v>
      </c>
      <c r="AY6" t="s">
        <v>74</v>
      </c>
      <c r="AZ6" t="s">
        <v>74</v>
      </c>
      <c r="BA6" t="s">
        <v>74</v>
      </c>
      <c r="BB6" t="s">
        <v>74</v>
      </c>
      <c r="BC6" t="s">
        <v>74</v>
      </c>
      <c r="BD6">
        <v>110649</v>
      </c>
      <c r="BE6" t="s">
        <v>192</v>
      </c>
      <c r="BF6" t="str">
        <f>HYPERLINK("http://dx.doi.org/10.1016/j.cbpa.2020.110649","http://dx.doi.org/10.1016/j.cbpa.2020.110649")</f>
        <v>http://dx.doi.org/10.1016/j.cbpa.2020.110649</v>
      </c>
      <c r="BG6" t="s">
        <v>74</v>
      </c>
      <c r="BH6" t="s">
        <v>74</v>
      </c>
      <c r="BI6">
        <v>10</v>
      </c>
      <c r="BJ6" t="s">
        <v>173</v>
      </c>
      <c r="BK6" t="s">
        <v>103</v>
      </c>
      <c r="BL6" t="s">
        <v>173</v>
      </c>
      <c r="BM6" t="s">
        <v>174</v>
      </c>
      <c r="BN6">
        <v>31923628</v>
      </c>
      <c r="BO6" t="s">
        <v>193</v>
      </c>
      <c r="BP6" t="s">
        <v>74</v>
      </c>
      <c r="BQ6" t="s">
        <v>74</v>
      </c>
      <c r="BR6" t="s">
        <v>106</v>
      </c>
      <c r="BS6" t="s">
        <v>194</v>
      </c>
      <c r="BT6" t="str">
        <f>HYPERLINK("https%3A%2F%2Fwww.webofscience.com%2Fwos%2Fwoscc%2Ffull-record%2FWOS:000520611000007","View Full Record in Web of Science")</f>
        <v>View Full Record in Web of Science</v>
      </c>
    </row>
    <row r="7" spans="1:72" x14ac:dyDescent="0.15">
      <c r="A7" t="s">
        <v>72</v>
      </c>
      <c r="B7" t="s">
        <v>195</v>
      </c>
      <c r="C7" t="s">
        <v>74</v>
      </c>
      <c r="D7" t="s">
        <v>74</v>
      </c>
      <c r="E7" t="s">
        <v>74</v>
      </c>
      <c r="F7" t="s">
        <v>196</v>
      </c>
      <c r="G7" t="s">
        <v>74</v>
      </c>
      <c r="H7" t="s">
        <v>74</v>
      </c>
      <c r="I7" t="s">
        <v>197</v>
      </c>
      <c r="J7" t="s">
        <v>198</v>
      </c>
      <c r="K7" t="s">
        <v>74</v>
      </c>
      <c r="L7" t="s">
        <v>74</v>
      </c>
      <c r="M7" t="s">
        <v>78</v>
      </c>
      <c r="N7" t="s">
        <v>79</v>
      </c>
      <c r="O7" t="s">
        <v>74</v>
      </c>
      <c r="P7" t="s">
        <v>74</v>
      </c>
      <c r="Q7" t="s">
        <v>74</v>
      </c>
      <c r="R7" t="s">
        <v>74</v>
      </c>
      <c r="S7" t="s">
        <v>74</v>
      </c>
      <c r="T7" t="s">
        <v>199</v>
      </c>
      <c r="U7" t="s">
        <v>200</v>
      </c>
      <c r="V7" t="s">
        <v>201</v>
      </c>
      <c r="W7" t="s">
        <v>202</v>
      </c>
      <c r="X7" t="s">
        <v>203</v>
      </c>
      <c r="Y7" t="s">
        <v>204</v>
      </c>
      <c r="Z7" t="s">
        <v>205</v>
      </c>
      <c r="AA7" t="s">
        <v>206</v>
      </c>
      <c r="AB7" t="s">
        <v>207</v>
      </c>
      <c r="AC7" t="s">
        <v>208</v>
      </c>
      <c r="AD7" t="s">
        <v>209</v>
      </c>
      <c r="AE7" t="s">
        <v>210</v>
      </c>
      <c r="AF7" t="s">
        <v>74</v>
      </c>
      <c r="AG7">
        <v>69</v>
      </c>
      <c r="AH7">
        <v>20</v>
      </c>
      <c r="AI7">
        <v>20</v>
      </c>
      <c r="AJ7">
        <v>2</v>
      </c>
      <c r="AK7">
        <v>24</v>
      </c>
      <c r="AL7" t="s">
        <v>211</v>
      </c>
      <c r="AM7" t="s">
        <v>212</v>
      </c>
      <c r="AN7" t="s">
        <v>213</v>
      </c>
      <c r="AO7" t="s">
        <v>214</v>
      </c>
      <c r="AP7" t="s">
        <v>215</v>
      </c>
      <c r="AQ7" t="s">
        <v>74</v>
      </c>
      <c r="AR7" t="s">
        <v>198</v>
      </c>
      <c r="AS7" t="s">
        <v>216</v>
      </c>
      <c r="AT7" t="s">
        <v>128</v>
      </c>
      <c r="AU7">
        <v>2020</v>
      </c>
      <c r="AV7">
        <v>101</v>
      </c>
      <c r="AW7">
        <v>4</v>
      </c>
      <c r="AX7" t="s">
        <v>74</v>
      </c>
      <c r="AY7" t="s">
        <v>74</v>
      </c>
      <c r="AZ7" t="s">
        <v>74</v>
      </c>
      <c r="BA7" t="s">
        <v>74</v>
      </c>
      <c r="BB7" t="s">
        <v>74</v>
      </c>
      <c r="BC7" t="s">
        <v>74</v>
      </c>
      <c r="BD7" t="s">
        <v>217</v>
      </c>
      <c r="BE7" t="s">
        <v>218</v>
      </c>
      <c r="BF7" t="str">
        <f>HYPERLINK("http://dx.doi.org/10.1002/ecy.2961","http://dx.doi.org/10.1002/ecy.2961")</f>
        <v>http://dx.doi.org/10.1002/ecy.2961</v>
      </c>
      <c r="BG7" t="s">
        <v>74</v>
      </c>
      <c r="BH7" t="s">
        <v>74</v>
      </c>
      <c r="BI7">
        <v>10</v>
      </c>
      <c r="BJ7" t="s">
        <v>216</v>
      </c>
      <c r="BK7" t="s">
        <v>103</v>
      </c>
      <c r="BL7" t="s">
        <v>219</v>
      </c>
      <c r="BM7" t="s">
        <v>220</v>
      </c>
      <c r="BN7">
        <v>31863455</v>
      </c>
      <c r="BO7" t="s">
        <v>221</v>
      </c>
      <c r="BP7" t="s">
        <v>74</v>
      </c>
      <c r="BQ7" t="s">
        <v>74</v>
      </c>
      <c r="BR7" t="s">
        <v>106</v>
      </c>
      <c r="BS7" t="s">
        <v>222</v>
      </c>
      <c r="BT7" t="str">
        <f>HYPERLINK("https%3A%2F%2Fwww.webofscience.com%2Fwos%2Fwoscc%2Ffull-record%2FWOS:000538111800003","View Full Record in Web of Science")</f>
        <v>View Full Record in Web of Science</v>
      </c>
    </row>
    <row r="8" spans="1:72" x14ac:dyDescent="0.15">
      <c r="A8" t="s">
        <v>72</v>
      </c>
      <c r="B8" t="s">
        <v>223</v>
      </c>
      <c r="C8" t="s">
        <v>74</v>
      </c>
      <c r="D8" t="s">
        <v>74</v>
      </c>
      <c r="E8" t="s">
        <v>74</v>
      </c>
      <c r="F8" t="s">
        <v>224</v>
      </c>
      <c r="G8" t="s">
        <v>74</v>
      </c>
      <c r="H8" t="s">
        <v>74</v>
      </c>
      <c r="I8" t="s">
        <v>225</v>
      </c>
      <c r="J8" t="s">
        <v>226</v>
      </c>
      <c r="K8" t="s">
        <v>74</v>
      </c>
      <c r="L8" t="s">
        <v>74</v>
      </c>
      <c r="M8" t="s">
        <v>78</v>
      </c>
      <c r="N8" t="s">
        <v>79</v>
      </c>
      <c r="O8" t="s">
        <v>74</v>
      </c>
      <c r="P8" t="s">
        <v>74</v>
      </c>
      <c r="Q8" t="s">
        <v>74</v>
      </c>
      <c r="R8" t="s">
        <v>74</v>
      </c>
      <c r="S8" t="s">
        <v>74</v>
      </c>
      <c r="T8" t="s">
        <v>227</v>
      </c>
      <c r="U8" t="s">
        <v>228</v>
      </c>
      <c r="V8" t="s">
        <v>229</v>
      </c>
      <c r="W8" t="s">
        <v>230</v>
      </c>
      <c r="X8" t="s">
        <v>231</v>
      </c>
      <c r="Y8" t="s">
        <v>232</v>
      </c>
      <c r="Z8" t="s">
        <v>233</v>
      </c>
      <c r="AA8" t="s">
        <v>74</v>
      </c>
      <c r="AB8" t="s">
        <v>234</v>
      </c>
      <c r="AC8" t="s">
        <v>235</v>
      </c>
      <c r="AD8" t="s">
        <v>236</v>
      </c>
      <c r="AE8" t="s">
        <v>237</v>
      </c>
      <c r="AF8" t="s">
        <v>74</v>
      </c>
      <c r="AG8">
        <v>27</v>
      </c>
      <c r="AH8">
        <v>3</v>
      </c>
      <c r="AI8">
        <v>3</v>
      </c>
      <c r="AJ8">
        <v>1</v>
      </c>
      <c r="AK8">
        <v>3</v>
      </c>
      <c r="AL8" t="s">
        <v>238</v>
      </c>
      <c r="AM8" t="s">
        <v>166</v>
      </c>
      <c r="AN8" t="s">
        <v>239</v>
      </c>
      <c r="AO8" t="s">
        <v>240</v>
      </c>
      <c r="AP8" t="s">
        <v>241</v>
      </c>
      <c r="AQ8" t="s">
        <v>74</v>
      </c>
      <c r="AR8" t="s">
        <v>242</v>
      </c>
      <c r="AS8" t="s">
        <v>243</v>
      </c>
      <c r="AT8" t="s">
        <v>128</v>
      </c>
      <c r="AU8">
        <v>2020</v>
      </c>
      <c r="AV8">
        <v>157</v>
      </c>
      <c r="AW8">
        <v>4</v>
      </c>
      <c r="AX8" t="s">
        <v>74</v>
      </c>
      <c r="AY8" t="s">
        <v>74</v>
      </c>
      <c r="AZ8" t="s">
        <v>74</v>
      </c>
      <c r="BA8" t="s">
        <v>74</v>
      </c>
      <c r="BB8">
        <v>640</v>
      </c>
      <c r="BC8">
        <v>650</v>
      </c>
      <c r="BD8" t="s">
        <v>244</v>
      </c>
      <c r="BE8" t="s">
        <v>245</v>
      </c>
      <c r="BF8" t="str">
        <f>HYPERLINK("http://dx.doi.org/10.1017/S0016756819001225","http://dx.doi.org/10.1017/S0016756819001225")</f>
        <v>http://dx.doi.org/10.1017/S0016756819001225</v>
      </c>
      <c r="BG8" t="s">
        <v>74</v>
      </c>
      <c r="BH8" t="s">
        <v>74</v>
      </c>
      <c r="BI8">
        <v>11</v>
      </c>
      <c r="BJ8" t="s">
        <v>246</v>
      </c>
      <c r="BK8" t="s">
        <v>103</v>
      </c>
      <c r="BL8" t="s">
        <v>247</v>
      </c>
      <c r="BM8" t="s">
        <v>248</v>
      </c>
      <c r="BN8" t="s">
        <v>74</v>
      </c>
      <c r="BO8" t="s">
        <v>74</v>
      </c>
      <c r="BP8" t="s">
        <v>74</v>
      </c>
      <c r="BQ8" t="s">
        <v>74</v>
      </c>
      <c r="BR8" t="s">
        <v>106</v>
      </c>
      <c r="BS8" t="s">
        <v>249</v>
      </c>
      <c r="BT8" t="str">
        <f>HYPERLINK("https%3A%2F%2Fwww.webofscience.com%2Fwos%2Fwoscc%2Ffull-record%2FWOS:000524948900007","View Full Record in Web of Science")</f>
        <v>View Full Record in Web of Science</v>
      </c>
    </row>
    <row r="9" spans="1:72" x14ac:dyDescent="0.15">
      <c r="A9" t="s">
        <v>72</v>
      </c>
      <c r="B9" t="s">
        <v>250</v>
      </c>
      <c r="C9" t="s">
        <v>74</v>
      </c>
      <c r="D9" t="s">
        <v>74</v>
      </c>
      <c r="E9" t="s">
        <v>74</v>
      </c>
      <c r="F9" t="s">
        <v>251</v>
      </c>
      <c r="G9" t="s">
        <v>74</v>
      </c>
      <c r="H9" t="s">
        <v>74</v>
      </c>
      <c r="I9" t="s">
        <v>252</v>
      </c>
      <c r="J9" t="s">
        <v>253</v>
      </c>
      <c r="K9" t="s">
        <v>74</v>
      </c>
      <c r="L9" t="s">
        <v>74</v>
      </c>
      <c r="M9" t="s">
        <v>78</v>
      </c>
      <c r="N9" t="s">
        <v>79</v>
      </c>
      <c r="O9" t="s">
        <v>74</v>
      </c>
      <c r="P9" t="s">
        <v>74</v>
      </c>
      <c r="Q9" t="s">
        <v>74</v>
      </c>
      <c r="R9" t="s">
        <v>74</v>
      </c>
      <c r="S9" t="s">
        <v>74</v>
      </c>
      <c r="T9" t="s">
        <v>74</v>
      </c>
      <c r="U9" t="s">
        <v>254</v>
      </c>
      <c r="V9" t="s">
        <v>255</v>
      </c>
      <c r="W9" t="s">
        <v>256</v>
      </c>
      <c r="X9" t="s">
        <v>257</v>
      </c>
      <c r="Y9" t="s">
        <v>258</v>
      </c>
      <c r="Z9" t="s">
        <v>259</v>
      </c>
      <c r="AA9" t="s">
        <v>260</v>
      </c>
      <c r="AB9" t="s">
        <v>261</v>
      </c>
      <c r="AC9" t="s">
        <v>262</v>
      </c>
      <c r="AD9" t="s">
        <v>263</v>
      </c>
      <c r="AE9" t="s">
        <v>264</v>
      </c>
      <c r="AF9" t="s">
        <v>74</v>
      </c>
      <c r="AG9">
        <v>15</v>
      </c>
      <c r="AH9">
        <v>5</v>
      </c>
      <c r="AI9">
        <v>5</v>
      </c>
      <c r="AJ9">
        <v>0</v>
      </c>
      <c r="AK9">
        <v>0</v>
      </c>
      <c r="AL9" t="s">
        <v>265</v>
      </c>
      <c r="AM9" t="s">
        <v>266</v>
      </c>
      <c r="AN9" t="s">
        <v>267</v>
      </c>
      <c r="AO9" t="s">
        <v>268</v>
      </c>
      <c r="AP9" t="s">
        <v>74</v>
      </c>
      <c r="AQ9" t="s">
        <v>74</v>
      </c>
      <c r="AR9" t="s">
        <v>269</v>
      </c>
      <c r="AS9" t="s">
        <v>270</v>
      </c>
      <c r="AT9" t="s">
        <v>128</v>
      </c>
      <c r="AU9">
        <v>2020</v>
      </c>
      <c r="AV9">
        <v>9</v>
      </c>
      <c r="AW9">
        <v>16</v>
      </c>
      <c r="AX9" t="s">
        <v>74</v>
      </c>
      <c r="AY9" t="s">
        <v>74</v>
      </c>
      <c r="AZ9" t="s">
        <v>74</v>
      </c>
      <c r="BA9" t="s">
        <v>74</v>
      </c>
      <c r="BB9" t="s">
        <v>74</v>
      </c>
      <c r="BC9" t="s">
        <v>74</v>
      </c>
      <c r="BD9" t="s">
        <v>271</v>
      </c>
      <c r="BE9" t="s">
        <v>272</v>
      </c>
      <c r="BF9" t="str">
        <f>HYPERLINK("http://dx.doi.org/10.1128/MRA.00253-20","http://dx.doi.org/10.1128/MRA.00253-20")</f>
        <v>http://dx.doi.org/10.1128/MRA.00253-20</v>
      </c>
      <c r="BG9" t="s">
        <v>74</v>
      </c>
      <c r="BH9" t="s">
        <v>74</v>
      </c>
      <c r="BI9">
        <v>3</v>
      </c>
      <c r="BJ9" t="s">
        <v>273</v>
      </c>
      <c r="BK9" t="s">
        <v>274</v>
      </c>
      <c r="BL9" t="s">
        <v>273</v>
      </c>
      <c r="BM9" t="s">
        <v>275</v>
      </c>
      <c r="BN9">
        <v>32299881</v>
      </c>
      <c r="BO9" t="s">
        <v>276</v>
      </c>
      <c r="BP9" t="s">
        <v>74</v>
      </c>
      <c r="BQ9" t="s">
        <v>74</v>
      </c>
      <c r="BR9" t="s">
        <v>106</v>
      </c>
      <c r="BS9" t="s">
        <v>277</v>
      </c>
      <c r="BT9" t="str">
        <f>HYPERLINK("https%3A%2F%2Fwww.webofscience.com%2Fwos%2Fwoscc%2Ffull-record%2FWOS:000527538400020","View Full Record in Web of Science")</f>
        <v>View Full Record in Web of Science</v>
      </c>
    </row>
    <row r="10" spans="1:72" x14ac:dyDescent="0.15">
      <c r="A10" t="s">
        <v>72</v>
      </c>
      <c r="B10" t="s">
        <v>278</v>
      </c>
      <c r="C10" t="s">
        <v>74</v>
      </c>
      <c r="D10" t="s">
        <v>74</v>
      </c>
      <c r="E10" t="s">
        <v>74</v>
      </c>
      <c r="F10" t="s">
        <v>279</v>
      </c>
      <c r="G10" t="s">
        <v>74</v>
      </c>
      <c r="H10" t="s">
        <v>74</v>
      </c>
      <c r="I10" t="s">
        <v>280</v>
      </c>
      <c r="J10" t="s">
        <v>281</v>
      </c>
      <c r="K10" t="s">
        <v>74</v>
      </c>
      <c r="L10" t="s">
        <v>74</v>
      </c>
      <c r="M10" t="s">
        <v>78</v>
      </c>
      <c r="N10" t="s">
        <v>79</v>
      </c>
      <c r="O10" t="s">
        <v>74</v>
      </c>
      <c r="P10" t="s">
        <v>74</v>
      </c>
      <c r="Q10" t="s">
        <v>74</v>
      </c>
      <c r="R10" t="s">
        <v>74</v>
      </c>
      <c r="S10" t="s">
        <v>74</v>
      </c>
      <c r="T10" t="s">
        <v>282</v>
      </c>
      <c r="U10" t="s">
        <v>283</v>
      </c>
      <c r="V10" t="s">
        <v>284</v>
      </c>
      <c r="W10" t="s">
        <v>285</v>
      </c>
      <c r="X10" t="s">
        <v>286</v>
      </c>
      <c r="Y10" t="s">
        <v>287</v>
      </c>
      <c r="Z10" t="s">
        <v>288</v>
      </c>
      <c r="AA10" t="s">
        <v>74</v>
      </c>
      <c r="AB10" t="s">
        <v>74</v>
      </c>
      <c r="AC10" t="s">
        <v>74</v>
      </c>
      <c r="AD10" t="s">
        <v>74</v>
      </c>
      <c r="AE10" t="s">
        <v>74</v>
      </c>
      <c r="AF10" t="s">
        <v>74</v>
      </c>
      <c r="AG10">
        <v>82</v>
      </c>
      <c r="AH10">
        <v>10</v>
      </c>
      <c r="AI10">
        <v>10</v>
      </c>
      <c r="AJ10">
        <v>1</v>
      </c>
      <c r="AK10">
        <v>2</v>
      </c>
      <c r="AL10" t="s">
        <v>289</v>
      </c>
      <c r="AM10" t="s">
        <v>290</v>
      </c>
      <c r="AN10" t="s">
        <v>291</v>
      </c>
      <c r="AO10" t="s">
        <v>292</v>
      </c>
      <c r="AP10" t="s">
        <v>293</v>
      </c>
      <c r="AQ10" t="s">
        <v>74</v>
      </c>
      <c r="AR10" t="s">
        <v>294</v>
      </c>
      <c r="AS10" t="s">
        <v>295</v>
      </c>
      <c r="AT10" t="s">
        <v>128</v>
      </c>
      <c r="AU10">
        <v>2020</v>
      </c>
      <c r="AV10">
        <v>339</v>
      </c>
      <c r="AW10" t="s">
        <v>74</v>
      </c>
      <c r="AX10" t="s">
        <v>74</v>
      </c>
      <c r="AY10" t="s">
        <v>74</v>
      </c>
      <c r="AZ10" t="s">
        <v>74</v>
      </c>
      <c r="BA10" t="s">
        <v>74</v>
      </c>
      <c r="BB10" t="s">
        <v>74</v>
      </c>
      <c r="BC10" t="s">
        <v>74</v>
      </c>
      <c r="BD10">
        <v>105618</v>
      </c>
      <c r="BE10" t="s">
        <v>296</v>
      </c>
      <c r="BF10" t="str">
        <f>HYPERLINK("http://dx.doi.org/10.1016/j.precamres.2020.105618","http://dx.doi.org/10.1016/j.precamres.2020.105618")</f>
        <v>http://dx.doi.org/10.1016/j.precamres.2020.105618</v>
      </c>
      <c r="BG10" t="s">
        <v>74</v>
      </c>
      <c r="BH10" t="s">
        <v>74</v>
      </c>
      <c r="BI10">
        <v>15</v>
      </c>
      <c r="BJ10" t="s">
        <v>246</v>
      </c>
      <c r="BK10" t="s">
        <v>103</v>
      </c>
      <c r="BL10" t="s">
        <v>247</v>
      </c>
      <c r="BM10" t="s">
        <v>297</v>
      </c>
      <c r="BN10" t="s">
        <v>74</v>
      </c>
      <c r="BO10" t="s">
        <v>298</v>
      </c>
      <c r="BP10" t="s">
        <v>74</v>
      </c>
      <c r="BQ10" t="s">
        <v>74</v>
      </c>
      <c r="BR10" t="s">
        <v>106</v>
      </c>
      <c r="BS10" t="s">
        <v>299</v>
      </c>
      <c r="BT10" t="str">
        <f>HYPERLINK("https%3A%2F%2Fwww.webofscience.com%2Fwos%2Fwoscc%2Ffull-record%2FWOS:000517852000010","View Full Record in Web of Science")</f>
        <v>View Full Record in Web of Science</v>
      </c>
    </row>
    <row r="11" spans="1:72" x14ac:dyDescent="0.15">
      <c r="A11" t="s">
        <v>72</v>
      </c>
      <c r="B11" t="s">
        <v>300</v>
      </c>
      <c r="C11" t="s">
        <v>74</v>
      </c>
      <c r="D11" t="s">
        <v>74</v>
      </c>
      <c r="E11" t="s">
        <v>74</v>
      </c>
      <c r="F11" t="s">
        <v>301</v>
      </c>
      <c r="G11" t="s">
        <v>74</v>
      </c>
      <c r="H11" t="s">
        <v>74</v>
      </c>
      <c r="I11" t="s">
        <v>302</v>
      </c>
      <c r="J11" t="s">
        <v>303</v>
      </c>
      <c r="K11" t="s">
        <v>74</v>
      </c>
      <c r="L11" t="s">
        <v>74</v>
      </c>
      <c r="M11" t="s">
        <v>78</v>
      </c>
      <c r="N11" t="s">
        <v>79</v>
      </c>
      <c r="O11" t="s">
        <v>74</v>
      </c>
      <c r="P11" t="s">
        <v>74</v>
      </c>
      <c r="Q11" t="s">
        <v>74</v>
      </c>
      <c r="R11" t="s">
        <v>74</v>
      </c>
      <c r="S11" t="s">
        <v>74</v>
      </c>
      <c r="T11" t="s">
        <v>74</v>
      </c>
      <c r="U11" t="s">
        <v>304</v>
      </c>
      <c r="V11" t="s">
        <v>305</v>
      </c>
      <c r="W11" t="s">
        <v>306</v>
      </c>
      <c r="X11" t="s">
        <v>307</v>
      </c>
      <c r="Y11" t="s">
        <v>308</v>
      </c>
      <c r="Z11" t="s">
        <v>309</v>
      </c>
      <c r="AA11" t="s">
        <v>310</v>
      </c>
      <c r="AB11" t="s">
        <v>311</v>
      </c>
      <c r="AC11" t="s">
        <v>312</v>
      </c>
      <c r="AD11" t="s">
        <v>313</v>
      </c>
      <c r="AE11" t="s">
        <v>314</v>
      </c>
      <c r="AF11" t="s">
        <v>74</v>
      </c>
      <c r="AG11">
        <v>40</v>
      </c>
      <c r="AH11">
        <v>64</v>
      </c>
      <c r="AI11">
        <v>66</v>
      </c>
      <c r="AJ11">
        <v>0</v>
      </c>
      <c r="AK11">
        <v>13</v>
      </c>
      <c r="AL11" t="s">
        <v>315</v>
      </c>
      <c r="AM11" t="s">
        <v>266</v>
      </c>
      <c r="AN11" t="s">
        <v>316</v>
      </c>
      <c r="AO11" t="s">
        <v>317</v>
      </c>
      <c r="AP11" t="s">
        <v>74</v>
      </c>
      <c r="AQ11" t="s">
        <v>74</v>
      </c>
      <c r="AR11" t="s">
        <v>318</v>
      </c>
      <c r="AS11" t="s">
        <v>319</v>
      </c>
      <c r="AT11" t="s">
        <v>128</v>
      </c>
      <c r="AU11">
        <v>2020</v>
      </c>
      <c r="AV11">
        <v>6</v>
      </c>
      <c r="AW11">
        <v>18</v>
      </c>
      <c r="AX11" t="s">
        <v>74</v>
      </c>
      <c r="AY11" t="s">
        <v>74</v>
      </c>
      <c r="AZ11" t="s">
        <v>74</v>
      </c>
      <c r="BA11" t="s">
        <v>74</v>
      </c>
      <c r="BB11" t="s">
        <v>74</v>
      </c>
      <c r="BC11" t="s">
        <v>74</v>
      </c>
      <c r="BD11" t="s">
        <v>320</v>
      </c>
      <c r="BE11" t="s">
        <v>321</v>
      </c>
      <c r="BF11" t="str">
        <f>HYPERLINK("http://dx.doi.org/10.1126/sciadv.aav2516","http://dx.doi.org/10.1126/sciadv.aav2516")</f>
        <v>http://dx.doi.org/10.1126/sciadv.aav2516</v>
      </c>
      <c r="BG11" t="s">
        <v>74</v>
      </c>
      <c r="BH11" t="s">
        <v>74</v>
      </c>
      <c r="BI11">
        <v>9</v>
      </c>
      <c r="BJ11" t="s">
        <v>322</v>
      </c>
      <c r="BK11" t="s">
        <v>103</v>
      </c>
      <c r="BL11" t="s">
        <v>323</v>
      </c>
      <c r="BM11" t="s">
        <v>324</v>
      </c>
      <c r="BN11">
        <v>32494658</v>
      </c>
      <c r="BO11" t="s">
        <v>276</v>
      </c>
      <c r="BP11" t="s">
        <v>74</v>
      </c>
      <c r="BQ11" t="s">
        <v>74</v>
      </c>
      <c r="BR11" t="s">
        <v>106</v>
      </c>
      <c r="BS11" t="s">
        <v>325</v>
      </c>
      <c r="BT11" t="str">
        <f>HYPERLINK("https%3A%2F%2Fwww.webofscience.com%2Fwos%2Fwoscc%2Ffull-record%2FWOS:000531089700001","View Full Record in Web of Science")</f>
        <v>View Full Record in Web of Science</v>
      </c>
    </row>
    <row r="12" spans="1:72" x14ac:dyDescent="0.15">
      <c r="A12" t="s">
        <v>72</v>
      </c>
      <c r="B12" t="s">
        <v>326</v>
      </c>
      <c r="C12" t="s">
        <v>74</v>
      </c>
      <c r="D12" t="s">
        <v>74</v>
      </c>
      <c r="E12" t="s">
        <v>74</v>
      </c>
      <c r="F12" t="s">
        <v>327</v>
      </c>
      <c r="G12" t="s">
        <v>74</v>
      </c>
      <c r="H12" t="s">
        <v>74</v>
      </c>
      <c r="I12" t="s">
        <v>328</v>
      </c>
      <c r="J12" t="s">
        <v>329</v>
      </c>
      <c r="K12" t="s">
        <v>74</v>
      </c>
      <c r="L12" t="s">
        <v>74</v>
      </c>
      <c r="M12" t="s">
        <v>78</v>
      </c>
      <c r="N12" t="s">
        <v>79</v>
      </c>
      <c r="O12" t="s">
        <v>74</v>
      </c>
      <c r="P12" t="s">
        <v>74</v>
      </c>
      <c r="Q12" t="s">
        <v>74</v>
      </c>
      <c r="R12" t="s">
        <v>74</v>
      </c>
      <c r="S12" t="s">
        <v>74</v>
      </c>
      <c r="T12" t="s">
        <v>330</v>
      </c>
      <c r="U12" t="s">
        <v>331</v>
      </c>
      <c r="V12" t="s">
        <v>332</v>
      </c>
      <c r="W12" t="s">
        <v>333</v>
      </c>
      <c r="X12" t="s">
        <v>334</v>
      </c>
      <c r="Y12" t="s">
        <v>335</v>
      </c>
      <c r="Z12" t="s">
        <v>336</v>
      </c>
      <c r="AA12" t="s">
        <v>337</v>
      </c>
      <c r="AB12" t="s">
        <v>338</v>
      </c>
      <c r="AC12" t="s">
        <v>74</v>
      </c>
      <c r="AD12" t="s">
        <v>74</v>
      </c>
      <c r="AE12" t="s">
        <v>74</v>
      </c>
      <c r="AF12" t="s">
        <v>74</v>
      </c>
      <c r="AG12">
        <v>74</v>
      </c>
      <c r="AH12">
        <v>9</v>
      </c>
      <c r="AI12">
        <v>9</v>
      </c>
      <c r="AJ12">
        <v>1</v>
      </c>
      <c r="AK12">
        <v>19</v>
      </c>
      <c r="AL12" t="s">
        <v>121</v>
      </c>
      <c r="AM12" t="s">
        <v>122</v>
      </c>
      <c r="AN12" t="s">
        <v>123</v>
      </c>
      <c r="AO12" t="s">
        <v>339</v>
      </c>
      <c r="AP12" t="s">
        <v>340</v>
      </c>
      <c r="AQ12" t="s">
        <v>74</v>
      </c>
      <c r="AR12" t="s">
        <v>329</v>
      </c>
      <c r="AS12" t="s">
        <v>341</v>
      </c>
      <c r="AT12" t="s">
        <v>128</v>
      </c>
      <c r="AU12">
        <v>2020</v>
      </c>
      <c r="AV12">
        <v>847</v>
      </c>
      <c r="AW12">
        <v>7</v>
      </c>
      <c r="AX12" t="s">
        <v>74</v>
      </c>
      <c r="AY12" t="s">
        <v>74</v>
      </c>
      <c r="AZ12" t="s">
        <v>342</v>
      </c>
      <c r="BA12" t="s">
        <v>74</v>
      </c>
      <c r="BB12">
        <v>1753</v>
      </c>
      <c r="BC12">
        <v>1771</v>
      </c>
      <c r="BD12" t="s">
        <v>74</v>
      </c>
      <c r="BE12" t="s">
        <v>343</v>
      </c>
      <c r="BF12" t="str">
        <f>HYPERLINK("http://dx.doi.org/10.1007/s10750-020-04177-2","http://dx.doi.org/10.1007/s10750-020-04177-2")</f>
        <v>http://dx.doi.org/10.1007/s10750-020-04177-2</v>
      </c>
      <c r="BG12" t="s">
        <v>74</v>
      </c>
      <c r="BH12" t="s">
        <v>74</v>
      </c>
      <c r="BI12">
        <v>19</v>
      </c>
      <c r="BJ12" t="s">
        <v>344</v>
      </c>
      <c r="BK12" t="s">
        <v>103</v>
      </c>
      <c r="BL12" t="s">
        <v>344</v>
      </c>
      <c r="BM12" t="s">
        <v>345</v>
      </c>
      <c r="BN12" t="s">
        <v>74</v>
      </c>
      <c r="BO12" t="s">
        <v>74</v>
      </c>
      <c r="BP12" t="s">
        <v>74</v>
      </c>
      <c r="BQ12" t="s">
        <v>74</v>
      </c>
      <c r="BR12" t="s">
        <v>106</v>
      </c>
      <c r="BS12" t="s">
        <v>346</v>
      </c>
      <c r="BT12" t="str">
        <f>HYPERLINK("https%3A%2F%2Fwww.webofscience.com%2Fwos%2Fwoscc%2Ffull-record%2FWOS:000520009100013","View Full Record in Web of Science")</f>
        <v>View Full Record in Web of Science</v>
      </c>
    </row>
    <row r="13" spans="1:72" x14ac:dyDescent="0.15">
      <c r="A13" t="s">
        <v>72</v>
      </c>
      <c r="B13" t="s">
        <v>347</v>
      </c>
      <c r="C13" t="s">
        <v>74</v>
      </c>
      <c r="D13" t="s">
        <v>74</v>
      </c>
      <c r="E13" t="s">
        <v>74</v>
      </c>
      <c r="F13" t="s">
        <v>348</v>
      </c>
      <c r="G13" t="s">
        <v>74</v>
      </c>
      <c r="H13" t="s">
        <v>74</v>
      </c>
      <c r="I13" t="s">
        <v>349</v>
      </c>
      <c r="J13" t="s">
        <v>350</v>
      </c>
      <c r="K13" t="s">
        <v>74</v>
      </c>
      <c r="L13" t="s">
        <v>74</v>
      </c>
      <c r="M13" t="s">
        <v>78</v>
      </c>
      <c r="N13" t="s">
        <v>79</v>
      </c>
      <c r="O13" t="s">
        <v>74</v>
      </c>
      <c r="P13" t="s">
        <v>74</v>
      </c>
      <c r="Q13" t="s">
        <v>74</v>
      </c>
      <c r="R13" t="s">
        <v>74</v>
      </c>
      <c r="S13" t="s">
        <v>74</v>
      </c>
      <c r="T13" t="s">
        <v>351</v>
      </c>
      <c r="U13" t="s">
        <v>352</v>
      </c>
      <c r="V13" t="s">
        <v>353</v>
      </c>
      <c r="W13" t="s">
        <v>354</v>
      </c>
      <c r="X13" t="s">
        <v>355</v>
      </c>
      <c r="Y13" t="s">
        <v>356</v>
      </c>
      <c r="Z13" t="s">
        <v>357</v>
      </c>
      <c r="AA13" t="s">
        <v>358</v>
      </c>
      <c r="AB13" t="s">
        <v>359</v>
      </c>
      <c r="AC13" t="s">
        <v>74</v>
      </c>
      <c r="AD13" t="s">
        <v>74</v>
      </c>
      <c r="AE13" t="s">
        <v>74</v>
      </c>
      <c r="AF13" t="s">
        <v>74</v>
      </c>
      <c r="AG13">
        <v>35</v>
      </c>
      <c r="AH13">
        <v>2</v>
      </c>
      <c r="AI13">
        <v>2</v>
      </c>
      <c r="AJ13">
        <v>2</v>
      </c>
      <c r="AK13">
        <v>14</v>
      </c>
      <c r="AL13" t="s">
        <v>360</v>
      </c>
      <c r="AM13" t="s">
        <v>361</v>
      </c>
      <c r="AN13" t="s">
        <v>362</v>
      </c>
      <c r="AO13" t="s">
        <v>363</v>
      </c>
      <c r="AP13" t="s">
        <v>364</v>
      </c>
      <c r="AQ13" t="s">
        <v>74</v>
      </c>
      <c r="AR13" t="s">
        <v>365</v>
      </c>
      <c r="AS13" t="s">
        <v>366</v>
      </c>
      <c r="AT13" t="s">
        <v>128</v>
      </c>
      <c r="AU13">
        <v>2020</v>
      </c>
      <c r="AV13">
        <v>63</v>
      </c>
      <c r="AW13">
        <v>4</v>
      </c>
      <c r="AX13" t="s">
        <v>74</v>
      </c>
      <c r="AY13" t="s">
        <v>74</v>
      </c>
      <c r="AZ13" t="s">
        <v>74</v>
      </c>
      <c r="BA13" t="s">
        <v>74</v>
      </c>
      <c r="BB13">
        <v>575</v>
      </c>
      <c r="BC13">
        <v>590</v>
      </c>
      <c r="BD13" t="s">
        <v>74</v>
      </c>
      <c r="BE13" t="s">
        <v>367</v>
      </c>
      <c r="BF13" t="str">
        <f>HYPERLINK("http://dx.doi.org/10.1007/s11430-018-9532-5","http://dx.doi.org/10.1007/s11430-018-9532-5")</f>
        <v>http://dx.doi.org/10.1007/s11430-018-9532-5</v>
      </c>
      <c r="BG13" t="s">
        <v>74</v>
      </c>
      <c r="BH13" t="s">
        <v>74</v>
      </c>
      <c r="BI13">
        <v>16</v>
      </c>
      <c r="BJ13" t="s">
        <v>246</v>
      </c>
      <c r="BK13" t="s">
        <v>103</v>
      </c>
      <c r="BL13" t="s">
        <v>247</v>
      </c>
      <c r="BM13" t="s">
        <v>368</v>
      </c>
      <c r="BN13" t="s">
        <v>74</v>
      </c>
      <c r="BO13" t="s">
        <v>74</v>
      </c>
      <c r="BP13" t="s">
        <v>74</v>
      </c>
      <c r="BQ13" t="s">
        <v>74</v>
      </c>
      <c r="BR13" t="s">
        <v>106</v>
      </c>
      <c r="BS13" t="s">
        <v>369</v>
      </c>
      <c r="BT13" t="str">
        <f>HYPERLINK("https%3A%2F%2Fwww.webofscience.com%2Fwos%2Fwoscc%2Ffull-record%2FWOS:000519897000008","View Full Record in Web of Science")</f>
        <v>View Full Record in Web of Science</v>
      </c>
    </row>
    <row r="14" spans="1:72" x14ac:dyDescent="0.15">
      <c r="A14" t="s">
        <v>72</v>
      </c>
      <c r="B14" t="s">
        <v>370</v>
      </c>
      <c r="C14" t="s">
        <v>74</v>
      </c>
      <c r="D14" t="s">
        <v>74</v>
      </c>
      <c r="E14" t="s">
        <v>74</v>
      </c>
      <c r="F14" t="s">
        <v>371</v>
      </c>
      <c r="G14" t="s">
        <v>74</v>
      </c>
      <c r="H14" t="s">
        <v>74</v>
      </c>
      <c r="I14" t="s">
        <v>372</v>
      </c>
      <c r="J14" t="s">
        <v>373</v>
      </c>
      <c r="K14" t="s">
        <v>74</v>
      </c>
      <c r="L14" t="s">
        <v>74</v>
      </c>
      <c r="M14" t="s">
        <v>78</v>
      </c>
      <c r="N14" t="s">
        <v>79</v>
      </c>
      <c r="O14" t="s">
        <v>74</v>
      </c>
      <c r="P14" t="s">
        <v>74</v>
      </c>
      <c r="Q14" t="s">
        <v>74</v>
      </c>
      <c r="R14" t="s">
        <v>74</v>
      </c>
      <c r="S14" t="s">
        <v>74</v>
      </c>
      <c r="T14" t="s">
        <v>374</v>
      </c>
      <c r="U14" t="s">
        <v>375</v>
      </c>
      <c r="V14" t="s">
        <v>376</v>
      </c>
      <c r="W14" t="s">
        <v>377</v>
      </c>
      <c r="X14" t="s">
        <v>378</v>
      </c>
      <c r="Y14" t="s">
        <v>379</v>
      </c>
      <c r="Z14" t="s">
        <v>380</v>
      </c>
      <c r="AA14" t="s">
        <v>74</v>
      </c>
      <c r="AB14" t="s">
        <v>381</v>
      </c>
      <c r="AC14" t="s">
        <v>74</v>
      </c>
      <c r="AD14" t="s">
        <v>74</v>
      </c>
      <c r="AE14" t="s">
        <v>74</v>
      </c>
      <c r="AF14" t="s">
        <v>74</v>
      </c>
      <c r="AG14">
        <v>32</v>
      </c>
      <c r="AH14">
        <v>4</v>
      </c>
      <c r="AI14">
        <v>4</v>
      </c>
      <c r="AJ14">
        <v>0</v>
      </c>
      <c r="AK14">
        <v>9</v>
      </c>
      <c r="AL14" t="s">
        <v>382</v>
      </c>
      <c r="AM14" t="s">
        <v>383</v>
      </c>
      <c r="AN14" t="s">
        <v>384</v>
      </c>
      <c r="AO14" t="s">
        <v>385</v>
      </c>
      <c r="AP14" t="s">
        <v>386</v>
      </c>
      <c r="AQ14" t="s">
        <v>74</v>
      </c>
      <c r="AR14" t="s">
        <v>387</v>
      </c>
      <c r="AS14" t="s">
        <v>388</v>
      </c>
      <c r="AT14" t="s">
        <v>128</v>
      </c>
      <c r="AU14">
        <v>2020</v>
      </c>
      <c r="AV14">
        <v>191</v>
      </c>
      <c r="AW14">
        <v>4</v>
      </c>
      <c r="AX14" t="s">
        <v>74</v>
      </c>
      <c r="AY14" t="s">
        <v>74</v>
      </c>
      <c r="AZ14" t="s">
        <v>74</v>
      </c>
      <c r="BA14" t="s">
        <v>74</v>
      </c>
      <c r="BB14">
        <v>749</v>
      </c>
      <c r="BC14">
        <v>759</v>
      </c>
      <c r="BD14" t="s">
        <v>74</v>
      </c>
      <c r="BE14" t="s">
        <v>389</v>
      </c>
      <c r="BF14" t="str">
        <f>HYPERLINK("http://dx.doi.org/10.1007/s00605-019-01319-0","http://dx.doi.org/10.1007/s00605-019-01319-0")</f>
        <v>http://dx.doi.org/10.1007/s00605-019-01319-0</v>
      </c>
      <c r="BG14" t="s">
        <v>74</v>
      </c>
      <c r="BH14" t="s">
        <v>74</v>
      </c>
      <c r="BI14">
        <v>11</v>
      </c>
      <c r="BJ14" t="s">
        <v>390</v>
      </c>
      <c r="BK14" t="s">
        <v>103</v>
      </c>
      <c r="BL14" t="s">
        <v>390</v>
      </c>
      <c r="BM14" t="s">
        <v>391</v>
      </c>
      <c r="BN14" t="s">
        <v>74</v>
      </c>
      <c r="BO14" t="s">
        <v>74</v>
      </c>
      <c r="BP14" t="s">
        <v>74</v>
      </c>
      <c r="BQ14" t="s">
        <v>74</v>
      </c>
      <c r="BR14" t="s">
        <v>106</v>
      </c>
      <c r="BS14" t="s">
        <v>392</v>
      </c>
      <c r="BT14" t="str">
        <f>HYPERLINK("https%3A%2F%2Fwww.webofscience.com%2Fwos%2Fwoscc%2Ffull-record%2FWOS:000519160000006","View Full Record in Web of Science")</f>
        <v>View Full Record in Web of Science</v>
      </c>
    </row>
    <row r="15" spans="1:72" x14ac:dyDescent="0.15">
      <c r="A15" t="s">
        <v>72</v>
      </c>
      <c r="B15" t="s">
        <v>393</v>
      </c>
      <c r="C15" t="s">
        <v>74</v>
      </c>
      <c r="D15" t="s">
        <v>74</v>
      </c>
      <c r="E15" t="s">
        <v>74</v>
      </c>
      <c r="F15" t="s">
        <v>394</v>
      </c>
      <c r="G15" t="s">
        <v>74</v>
      </c>
      <c r="H15" t="s">
        <v>74</v>
      </c>
      <c r="I15" t="s">
        <v>395</v>
      </c>
      <c r="J15" t="s">
        <v>396</v>
      </c>
      <c r="K15" t="s">
        <v>74</v>
      </c>
      <c r="L15" t="s">
        <v>74</v>
      </c>
      <c r="M15" t="s">
        <v>78</v>
      </c>
      <c r="N15" t="s">
        <v>79</v>
      </c>
      <c r="O15" t="s">
        <v>74</v>
      </c>
      <c r="P15" t="s">
        <v>74</v>
      </c>
      <c r="Q15" t="s">
        <v>74</v>
      </c>
      <c r="R15" t="s">
        <v>74</v>
      </c>
      <c r="S15" t="s">
        <v>74</v>
      </c>
      <c r="T15" t="s">
        <v>397</v>
      </c>
      <c r="U15" t="s">
        <v>398</v>
      </c>
      <c r="V15" t="s">
        <v>399</v>
      </c>
      <c r="W15" t="s">
        <v>400</v>
      </c>
      <c r="X15" t="s">
        <v>401</v>
      </c>
      <c r="Y15" t="s">
        <v>402</v>
      </c>
      <c r="Z15" t="s">
        <v>403</v>
      </c>
      <c r="AA15" t="s">
        <v>74</v>
      </c>
      <c r="AB15" t="s">
        <v>404</v>
      </c>
      <c r="AC15" t="s">
        <v>405</v>
      </c>
      <c r="AD15" t="s">
        <v>406</v>
      </c>
      <c r="AE15" t="s">
        <v>407</v>
      </c>
      <c r="AF15" t="s">
        <v>74</v>
      </c>
      <c r="AG15">
        <v>147</v>
      </c>
      <c r="AH15">
        <v>10</v>
      </c>
      <c r="AI15">
        <v>12</v>
      </c>
      <c r="AJ15">
        <v>1</v>
      </c>
      <c r="AK15">
        <v>29</v>
      </c>
      <c r="AL15" t="s">
        <v>289</v>
      </c>
      <c r="AM15" t="s">
        <v>290</v>
      </c>
      <c r="AN15" t="s">
        <v>291</v>
      </c>
      <c r="AO15" t="s">
        <v>408</v>
      </c>
      <c r="AP15" t="s">
        <v>409</v>
      </c>
      <c r="AQ15" t="s">
        <v>74</v>
      </c>
      <c r="AR15" t="s">
        <v>410</v>
      </c>
      <c r="AS15" t="s">
        <v>411</v>
      </c>
      <c r="AT15" t="s">
        <v>99</v>
      </c>
      <c r="AU15">
        <v>2020</v>
      </c>
      <c r="AV15">
        <v>543</v>
      </c>
      <c r="AW15" t="s">
        <v>74</v>
      </c>
      <c r="AX15" t="s">
        <v>74</v>
      </c>
      <c r="AY15" t="s">
        <v>74</v>
      </c>
      <c r="AZ15" t="s">
        <v>74</v>
      </c>
      <c r="BA15" t="s">
        <v>74</v>
      </c>
      <c r="BB15" t="s">
        <v>74</v>
      </c>
      <c r="BC15" t="s">
        <v>74</v>
      </c>
      <c r="BD15">
        <v>109582</v>
      </c>
      <c r="BE15" t="s">
        <v>412</v>
      </c>
      <c r="BF15" t="str">
        <f>HYPERLINK("http://dx.doi.org/10.1016/j.palaeo.2019.109582","http://dx.doi.org/10.1016/j.palaeo.2019.109582")</f>
        <v>http://dx.doi.org/10.1016/j.palaeo.2019.109582</v>
      </c>
      <c r="BG15" t="s">
        <v>74</v>
      </c>
      <c r="BH15" t="s">
        <v>74</v>
      </c>
      <c r="BI15">
        <v>19</v>
      </c>
      <c r="BJ15" t="s">
        <v>413</v>
      </c>
      <c r="BK15" t="s">
        <v>103</v>
      </c>
      <c r="BL15" t="s">
        <v>414</v>
      </c>
      <c r="BM15" t="s">
        <v>415</v>
      </c>
      <c r="BN15" t="s">
        <v>74</v>
      </c>
      <c r="BO15" t="s">
        <v>416</v>
      </c>
      <c r="BP15" t="s">
        <v>74</v>
      </c>
      <c r="BQ15" t="s">
        <v>74</v>
      </c>
      <c r="BR15" t="s">
        <v>106</v>
      </c>
      <c r="BS15" t="s">
        <v>417</v>
      </c>
      <c r="BT15" t="str">
        <f>HYPERLINK("https%3A%2F%2Fwww.webofscience.com%2Fwos%2Fwoscc%2Ffull-record%2FWOS:000518707600001","View Full Record in Web of Science")</f>
        <v>View Full Record in Web of Science</v>
      </c>
    </row>
    <row r="16" spans="1:72" x14ac:dyDescent="0.15">
      <c r="A16" t="s">
        <v>72</v>
      </c>
      <c r="B16" t="s">
        <v>418</v>
      </c>
      <c r="C16" t="s">
        <v>74</v>
      </c>
      <c r="D16" t="s">
        <v>74</v>
      </c>
      <c r="E16" t="s">
        <v>74</v>
      </c>
      <c r="F16" t="s">
        <v>419</v>
      </c>
      <c r="G16" t="s">
        <v>74</v>
      </c>
      <c r="H16" t="s">
        <v>74</v>
      </c>
      <c r="I16" t="s">
        <v>420</v>
      </c>
      <c r="J16" t="s">
        <v>421</v>
      </c>
      <c r="K16" t="s">
        <v>74</v>
      </c>
      <c r="L16" t="s">
        <v>74</v>
      </c>
      <c r="M16" t="s">
        <v>78</v>
      </c>
      <c r="N16" t="s">
        <v>79</v>
      </c>
      <c r="O16" t="s">
        <v>74</v>
      </c>
      <c r="P16" t="s">
        <v>74</v>
      </c>
      <c r="Q16" t="s">
        <v>74</v>
      </c>
      <c r="R16" t="s">
        <v>74</v>
      </c>
      <c r="S16" t="s">
        <v>74</v>
      </c>
      <c r="T16" t="s">
        <v>422</v>
      </c>
      <c r="U16" t="s">
        <v>423</v>
      </c>
      <c r="V16" t="s">
        <v>424</v>
      </c>
      <c r="W16" t="s">
        <v>425</v>
      </c>
      <c r="X16" t="s">
        <v>426</v>
      </c>
      <c r="Y16" t="s">
        <v>427</v>
      </c>
      <c r="Z16" t="s">
        <v>428</v>
      </c>
      <c r="AA16" t="s">
        <v>429</v>
      </c>
      <c r="AB16" t="s">
        <v>430</v>
      </c>
      <c r="AC16" t="s">
        <v>431</v>
      </c>
      <c r="AD16" t="s">
        <v>432</v>
      </c>
      <c r="AE16" t="s">
        <v>433</v>
      </c>
      <c r="AF16" t="s">
        <v>74</v>
      </c>
      <c r="AG16">
        <v>87</v>
      </c>
      <c r="AH16">
        <v>16</v>
      </c>
      <c r="AI16">
        <v>18</v>
      </c>
      <c r="AJ16">
        <v>1</v>
      </c>
      <c r="AK16">
        <v>13</v>
      </c>
      <c r="AL16" t="s">
        <v>434</v>
      </c>
      <c r="AM16" t="s">
        <v>435</v>
      </c>
      <c r="AN16" t="s">
        <v>436</v>
      </c>
      <c r="AO16" t="s">
        <v>437</v>
      </c>
      <c r="AP16" t="s">
        <v>438</v>
      </c>
      <c r="AQ16" t="s">
        <v>74</v>
      </c>
      <c r="AR16" t="s">
        <v>439</v>
      </c>
      <c r="AS16" t="s">
        <v>440</v>
      </c>
      <c r="AT16" t="s">
        <v>99</v>
      </c>
      <c r="AU16">
        <v>2020</v>
      </c>
      <c r="AV16">
        <v>274</v>
      </c>
      <c r="AW16" t="s">
        <v>74</v>
      </c>
      <c r="AX16" t="s">
        <v>74</v>
      </c>
      <c r="AY16" t="s">
        <v>74</v>
      </c>
      <c r="AZ16" t="s">
        <v>74</v>
      </c>
      <c r="BA16" t="s">
        <v>74</v>
      </c>
      <c r="BB16">
        <v>192</v>
      </c>
      <c r="BC16">
        <v>210</v>
      </c>
      <c r="BD16" t="s">
        <v>74</v>
      </c>
      <c r="BE16" t="s">
        <v>441</v>
      </c>
      <c r="BF16" t="str">
        <f>HYPERLINK("http://dx.doi.org/10.1016/j.gca.2020.01.051","http://dx.doi.org/10.1016/j.gca.2020.01.051")</f>
        <v>http://dx.doi.org/10.1016/j.gca.2020.01.051</v>
      </c>
      <c r="BG16" t="s">
        <v>74</v>
      </c>
      <c r="BH16" t="s">
        <v>74</v>
      </c>
      <c r="BI16">
        <v>19</v>
      </c>
      <c r="BJ16" t="s">
        <v>442</v>
      </c>
      <c r="BK16" t="s">
        <v>103</v>
      </c>
      <c r="BL16" t="s">
        <v>442</v>
      </c>
      <c r="BM16" t="s">
        <v>443</v>
      </c>
      <c r="BN16" t="s">
        <v>74</v>
      </c>
      <c r="BO16" t="s">
        <v>148</v>
      </c>
      <c r="BP16" t="s">
        <v>74</v>
      </c>
      <c r="BQ16" t="s">
        <v>74</v>
      </c>
      <c r="BR16" t="s">
        <v>106</v>
      </c>
      <c r="BS16" t="s">
        <v>444</v>
      </c>
      <c r="BT16" t="str">
        <f>HYPERLINK("https%3A%2F%2Fwww.webofscience.com%2Fwos%2Fwoscc%2Ffull-record%2FWOS:000518382500011","View Full Record in Web of Science")</f>
        <v>View Full Record in Web of Science</v>
      </c>
    </row>
    <row r="17" spans="1:72" x14ac:dyDescent="0.15">
      <c r="A17" t="s">
        <v>72</v>
      </c>
      <c r="B17" t="s">
        <v>445</v>
      </c>
      <c r="C17" t="s">
        <v>74</v>
      </c>
      <c r="D17" t="s">
        <v>74</v>
      </c>
      <c r="E17" t="s">
        <v>74</v>
      </c>
      <c r="F17" t="s">
        <v>446</v>
      </c>
      <c r="G17" t="s">
        <v>74</v>
      </c>
      <c r="H17" t="s">
        <v>74</v>
      </c>
      <c r="I17" t="s">
        <v>447</v>
      </c>
      <c r="J17" t="s">
        <v>421</v>
      </c>
      <c r="K17" t="s">
        <v>74</v>
      </c>
      <c r="L17" t="s">
        <v>74</v>
      </c>
      <c r="M17" t="s">
        <v>78</v>
      </c>
      <c r="N17" t="s">
        <v>79</v>
      </c>
      <c r="O17" t="s">
        <v>74</v>
      </c>
      <c r="P17" t="s">
        <v>74</v>
      </c>
      <c r="Q17" t="s">
        <v>74</v>
      </c>
      <c r="R17" t="s">
        <v>74</v>
      </c>
      <c r="S17" t="s">
        <v>74</v>
      </c>
      <c r="T17" t="s">
        <v>448</v>
      </c>
      <c r="U17" t="s">
        <v>449</v>
      </c>
      <c r="V17" t="s">
        <v>450</v>
      </c>
      <c r="W17" t="s">
        <v>451</v>
      </c>
      <c r="X17" t="s">
        <v>452</v>
      </c>
      <c r="Y17" t="s">
        <v>453</v>
      </c>
      <c r="Z17" t="s">
        <v>454</v>
      </c>
      <c r="AA17" t="s">
        <v>455</v>
      </c>
      <c r="AB17" t="s">
        <v>456</v>
      </c>
      <c r="AC17" t="s">
        <v>457</v>
      </c>
      <c r="AD17" t="s">
        <v>458</v>
      </c>
      <c r="AE17" t="s">
        <v>459</v>
      </c>
      <c r="AF17" t="s">
        <v>74</v>
      </c>
      <c r="AG17">
        <v>76</v>
      </c>
      <c r="AH17">
        <v>8</v>
      </c>
      <c r="AI17">
        <v>9</v>
      </c>
      <c r="AJ17">
        <v>4</v>
      </c>
      <c r="AK17">
        <v>10</v>
      </c>
      <c r="AL17" t="s">
        <v>434</v>
      </c>
      <c r="AM17" t="s">
        <v>435</v>
      </c>
      <c r="AN17" t="s">
        <v>436</v>
      </c>
      <c r="AO17" t="s">
        <v>437</v>
      </c>
      <c r="AP17" t="s">
        <v>438</v>
      </c>
      <c r="AQ17" t="s">
        <v>74</v>
      </c>
      <c r="AR17" t="s">
        <v>439</v>
      </c>
      <c r="AS17" t="s">
        <v>440</v>
      </c>
      <c r="AT17" t="s">
        <v>99</v>
      </c>
      <c r="AU17">
        <v>2020</v>
      </c>
      <c r="AV17">
        <v>274</v>
      </c>
      <c r="AW17" t="s">
        <v>74</v>
      </c>
      <c r="AX17" t="s">
        <v>74</v>
      </c>
      <c r="AY17" t="s">
        <v>74</v>
      </c>
      <c r="AZ17" t="s">
        <v>74</v>
      </c>
      <c r="BA17" t="s">
        <v>74</v>
      </c>
      <c r="BB17">
        <v>286</v>
      </c>
      <c r="BC17">
        <v>301</v>
      </c>
      <c r="BD17" t="s">
        <v>74</v>
      </c>
      <c r="BE17" t="s">
        <v>460</v>
      </c>
      <c r="BF17" t="str">
        <f>HYPERLINK("http://dx.doi.org/10.1016/j.gca.2020.01.059","http://dx.doi.org/10.1016/j.gca.2020.01.059")</f>
        <v>http://dx.doi.org/10.1016/j.gca.2020.01.059</v>
      </c>
      <c r="BG17" t="s">
        <v>74</v>
      </c>
      <c r="BH17" t="s">
        <v>74</v>
      </c>
      <c r="BI17">
        <v>16</v>
      </c>
      <c r="BJ17" t="s">
        <v>442</v>
      </c>
      <c r="BK17" t="s">
        <v>103</v>
      </c>
      <c r="BL17" t="s">
        <v>442</v>
      </c>
      <c r="BM17" t="s">
        <v>443</v>
      </c>
      <c r="BN17" t="s">
        <v>74</v>
      </c>
      <c r="BO17" t="s">
        <v>461</v>
      </c>
      <c r="BP17" t="s">
        <v>74</v>
      </c>
      <c r="BQ17" t="s">
        <v>74</v>
      </c>
      <c r="BR17" t="s">
        <v>106</v>
      </c>
      <c r="BS17" t="s">
        <v>462</v>
      </c>
      <c r="BT17" t="str">
        <f>HYPERLINK("https%3A%2F%2Fwww.webofscience.com%2Fwos%2Fwoscc%2Ffull-record%2FWOS:000518382500016","View Full Record in Web of Science")</f>
        <v>View Full Record in Web of Science</v>
      </c>
    </row>
    <row r="18" spans="1:72" x14ac:dyDescent="0.15">
      <c r="A18" t="s">
        <v>72</v>
      </c>
      <c r="B18" t="s">
        <v>463</v>
      </c>
      <c r="C18" t="s">
        <v>74</v>
      </c>
      <c r="D18" t="s">
        <v>74</v>
      </c>
      <c r="E18" t="s">
        <v>74</v>
      </c>
      <c r="F18" t="s">
        <v>464</v>
      </c>
      <c r="G18" t="s">
        <v>74</v>
      </c>
      <c r="H18" t="s">
        <v>74</v>
      </c>
      <c r="I18" t="s">
        <v>465</v>
      </c>
      <c r="J18" t="s">
        <v>466</v>
      </c>
      <c r="K18" t="s">
        <v>74</v>
      </c>
      <c r="L18" t="s">
        <v>74</v>
      </c>
      <c r="M18" t="s">
        <v>78</v>
      </c>
      <c r="N18" t="s">
        <v>79</v>
      </c>
      <c r="O18" t="s">
        <v>74</v>
      </c>
      <c r="P18" t="s">
        <v>74</v>
      </c>
      <c r="Q18" t="s">
        <v>74</v>
      </c>
      <c r="R18" t="s">
        <v>74</v>
      </c>
      <c r="S18" t="s">
        <v>74</v>
      </c>
      <c r="T18" t="s">
        <v>467</v>
      </c>
      <c r="U18" t="s">
        <v>468</v>
      </c>
      <c r="V18" t="s">
        <v>469</v>
      </c>
      <c r="W18" t="s">
        <v>470</v>
      </c>
      <c r="X18" t="s">
        <v>471</v>
      </c>
      <c r="Y18" t="s">
        <v>472</v>
      </c>
      <c r="Z18" t="s">
        <v>473</v>
      </c>
      <c r="AA18" t="s">
        <v>474</v>
      </c>
      <c r="AB18" t="s">
        <v>475</v>
      </c>
      <c r="AC18" t="s">
        <v>476</v>
      </c>
      <c r="AD18" t="s">
        <v>74</v>
      </c>
      <c r="AE18" t="s">
        <v>477</v>
      </c>
      <c r="AF18" t="s">
        <v>74</v>
      </c>
      <c r="AG18">
        <v>36</v>
      </c>
      <c r="AH18">
        <v>2</v>
      </c>
      <c r="AI18">
        <v>2</v>
      </c>
      <c r="AJ18">
        <v>0</v>
      </c>
      <c r="AK18">
        <v>5</v>
      </c>
      <c r="AL18" t="s">
        <v>238</v>
      </c>
      <c r="AM18" t="s">
        <v>166</v>
      </c>
      <c r="AN18" t="s">
        <v>239</v>
      </c>
      <c r="AO18" t="s">
        <v>478</v>
      </c>
      <c r="AP18" t="s">
        <v>479</v>
      </c>
      <c r="AQ18" t="s">
        <v>74</v>
      </c>
      <c r="AR18" t="s">
        <v>480</v>
      </c>
      <c r="AS18" t="s">
        <v>481</v>
      </c>
      <c r="AT18" t="s">
        <v>128</v>
      </c>
      <c r="AU18">
        <v>2020</v>
      </c>
      <c r="AV18">
        <v>32</v>
      </c>
      <c r="AW18">
        <v>2</v>
      </c>
      <c r="AX18" t="s">
        <v>74</v>
      </c>
      <c r="AY18" t="s">
        <v>74</v>
      </c>
      <c r="AZ18" t="s">
        <v>342</v>
      </c>
      <c r="BA18" t="s">
        <v>74</v>
      </c>
      <c r="BB18">
        <v>72</v>
      </c>
      <c r="BC18">
        <v>84</v>
      </c>
      <c r="BD18" t="s">
        <v>482</v>
      </c>
      <c r="BE18" t="s">
        <v>483</v>
      </c>
      <c r="BF18" t="str">
        <f>HYPERLINK("http://dx.doi.org/10.1017/S0954102019000348","http://dx.doi.org/10.1017/S0954102019000348")</f>
        <v>http://dx.doi.org/10.1017/S0954102019000348</v>
      </c>
      <c r="BG18" t="s">
        <v>74</v>
      </c>
      <c r="BH18" t="s">
        <v>74</v>
      </c>
      <c r="BI18">
        <v>13</v>
      </c>
      <c r="BJ18" t="s">
        <v>484</v>
      </c>
      <c r="BK18" t="s">
        <v>103</v>
      </c>
      <c r="BL18" t="s">
        <v>485</v>
      </c>
      <c r="BM18" t="s">
        <v>486</v>
      </c>
      <c r="BN18" t="s">
        <v>74</v>
      </c>
      <c r="BO18" t="s">
        <v>74</v>
      </c>
      <c r="BP18" t="s">
        <v>74</v>
      </c>
      <c r="BQ18" t="s">
        <v>74</v>
      </c>
      <c r="BR18" t="s">
        <v>106</v>
      </c>
      <c r="BS18" t="s">
        <v>487</v>
      </c>
      <c r="BT18" t="str">
        <f>HYPERLINK("https%3A%2F%2Fwww.webofscience.com%2Fwos%2Fwoscc%2Ffull-record%2FWOS:000516643200002","View Full Record in Web of Science")</f>
        <v>View Full Record in Web of Science</v>
      </c>
    </row>
    <row r="19" spans="1:72" x14ac:dyDescent="0.15">
      <c r="A19" t="s">
        <v>72</v>
      </c>
      <c r="B19" t="s">
        <v>488</v>
      </c>
      <c r="C19" t="s">
        <v>74</v>
      </c>
      <c r="D19" t="s">
        <v>74</v>
      </c>
      <c r="E19" t="s">
        <v>74</v>
      </c>
      <c r="F19" t="s">
        <v>489</v>
      </c>
      <c r="G19" t="s">
        <v>74</v>
      </c>
      <c r="H19" t="s">
        <v>74</v>
      </c>
      <c r="I19" t="s">
        <v>490</v>
      </c>
      <c r="J19" t="s">
        <v>466</v>
      </c>
      <c r="K19" t="s">
        <v>74</v>
      </c>
      <c r="L19" t="s">
        <v>74</v>
      </c>
      <c r="M19" t="s">
        <v>78</v>
      </c>
      <c r="N19" t="s">
        <v>79</v>
      </c>
      <c r="O19" t="s">
        <v>74</v>
      </c>
      <c r="P19" t="s">
        <v>74</v>
      </c>
      <c r="Q19" t="s">
        <v>74</v>
      </c>
      <c r="R19" t="s">
        <v>74</v>
      </c>
      <c r="S19" t="s">
        <v>74</v>
      </c>
      <c r="T19" t="s">
        <v>491</v>
      </c>
      <c r="U19" t="s">
        <v>492</v>
      </c>
      <c r="V19" t="s">
        <v>493</v>
      </c>
      <c r="W19" t="s">
        <v>494</v>
      </c>
      <c r="X19" t="s">
        <v>495</v>
      </c>
      <c r="Y19" t="s">
        <v>496</v>
      </c>
      <c r="Z19" t="s">
        <v>497</v>
      </c>
      <c r="AA19" t="s">
        <v>498</v>
      </c>
      <c r="AB19" t="s">
        <v>499</v>
      </c>
      <c r="AC19" t="s">
        <v>500</v>
      </c>
      <c r="AD19" t="s">
        <v>501</v>
      </c>
      <c r="AE19" t="s">
        <v>502</v>
      </c>
      <c r="AF19" t="s">
        <v>74</v>
      </c>
      <c r="AG19">
        <v>47</v>
      </c>
      <c r="AH19">
        <v>7</v>
      </c>
      <c r="AI19">
        <v>7</v>
      </c>
      <c r="AJ19">
        <v>4</v>
      </c>
      <c r="AK19">
        <v>16</v>
      </c>
      <c r="AL19" t="s">
        <v>238</v>
      </c>
      <c r="AM19" t="s">
        <v>166</v>
      </c>
      <c r="AN19" t="s">
        <v>239</v>
      </c>
      <c r="AO19" t="s">
        <v>478</v>
      </c>
      <c r="AP19" t="s">
        <v>479</v>
      </c>
      <c r="AQ19" t="s">
        <v>74</v>
      </c>
      <c r="AR19" t="s">
        <v>480</v>
      </c>
      <c r="AS19" t="s">
        <v>481</v>
      </c>
      <c r="AT19" t="s">
        <v>128</v>
      </c>
      <c r="AU19">
        <v>2020</v>
      </c>
      <c r="AV19">
        <v>32</v>
      </c>
      <c r="AW19">
        <v>2</v>
      </c>
      <c r="AX19" t="s">
        <v>74</v>
      </c>
      <c r="AY19" t="s">
        <v>74</v>
      </c>
      <c r="AZ19" t="s">
        <v>342</v>
      </c>
      <c r="BA19" t="s">
        <v>74</v>
      </c>
      <c r="BB19">
        <v>107</v>
      </c>
      <c r="BC19">
        <v>129</v>
      </c>
      <c r="BD19" t="s">
        <v>503</v>
      </c>
      <c r="BE19" t="s">
        <v>504</v>
      </c>
      <c r="BF19" t="str">
        <f>HYPERLINK("http://dx.doi.org/10.1017/S0954102019000476","http://dx.doi.org/10.1017/S0954102019000476")</f>
        <v>http://dx.doi.org/10.1017/S0954102019000476</v>
      </c>
      <c r="BG19" t="s">
        <v>74</v>
      </c>
      <c r="BH19" t="s">
        <v>74</v>
      </c>
      <c r="BI19">
        <v>23</v>
      </c>
      <c r="BJ19" t="s">
        <v>484</v>
      </c>
      <c r="BK19" t="s">
        <v>103</v>
      </c>
      <c r="BL19" t="s">
        <v>485</v>
      </c>
      <c r="BM19" t="s">
        <v>486</v>
      </c>
      <c r="BN19" t="s">
        <v>74</v>
      </c>
      <c r="BO19" t="s">
        <v>74</v>
      </c>
      <c r="BP19" t="s">
        <v>74</v>
      </c>
      <c r="BQ19" t="s">
        <v>74</v>
      </c>
      <c r="BR19" t="s">
        <v>106</v>
      </c>
      <c r="BS19" t="s">
        <v>505</v>
      </c>
      <c r="BT19" t="str">
        <f>HYPERLINK("https%3A%2F%2Fwww.webofscience.com%2Fwos%2Fwoscc%2Ffull-record%2FWOS:000516643200004","View Full Record in Web of Science")</f>
        <v>View Full Record in Web of Science</v>
      </c>
    </row>
    <row r="20" spans="1:72" x14ac:dyDescent="0.15">
      <c r="A20" t="s">
        <v>72</v>
      </c>
      <c r="B20" t="s">
        <v>506</v>
      </c>
      <c r="C20" t="s">
        <v>74</v>
      </c>
      <c r="D20" t="s">
        <v>74</v>
      </c>
      <c r="E20" t="s">
        <v>74</v>
      </c>
      <c r="F20" t="s">
        <v>507</v>
      </c>
      <c r="G20" t="s">
        <v>74</v>
      </c>
      <c r="H20" t="s">
        <v>74</v>
      </c>
      <c r="I20" t="s">
        <v>508</v>
      </c>
      <c r="J20" t="s">
        <v>466</v>
      </c>
      <c r="K20" t="s">
        <v>74</v>
      </c>
      <c r="L20" t="s">
        <v>74</v>
      </c>
      <c r="M20" t="s">
        <v>78</v>
      </c>
      <c r="N20" t="s">
        <v>79</v>
      </c>
      <c r="O20" t="s">
        <v>74</v>
      </c>
      <c r="P20" t="s">
        <v>74</v>
      </c>
      <c r="Q20" t="s">
        <v>74</v>
      </c>
      <c r="R20" t="s">
        <v>74</v>
      </c>
      <c r="S20" t="s">
        <v>74</v>
      </c>
      <c r="T20" t="s">
        <v>509</v>
      </c>
      <c r="U20" t="s">
        <v>510</v>
      </c>
      <c r="V20" t="s">
        <v>511</v>
      </c>
      <c r="W20" t="s">
        <v>512</v>
      </c>
      <c r="X20" t="s">
        <v>471</v>
      </c>
      <c r="Y20" t="s">
        <v>472</v>
      </c>
      <c r="Z20" t="s">
        <v>473</v>
      </c>
      <c r="AA20" t="s">
        <v>474</v>
      </c>
      <c r="AB20" t="s">
        <v>475</v>
      </c>
      <c r="AC20" t="s">
        <v>513</v>
      </c>
      <c r="AD20" t="s">
        <v>74</v>
      </c>
      <c r="AE20" t="s">
        <v>514</v>
      </c>
      <c r="AF20" t="s">
        <v>74</v>
      </c>
      <c r="AG20">
        <v>31</v>
      </c>
      <c r="AH20">
        <v>3</v>
      </c>
      <c r="AI20">
        <v>3</v>
      </c>
      <c r="AJ20">
        <v>1</v>
      </c>
      <c r="AK20">
        <v>13</v>
      </c>
      <c r="AL20" t="s">
        <v>238</v>
      </c>
      <c r="AM20" t="s">
        <v>166</v>
      </c>
      <c r="AN20" t="s">
        <v>239</v>
      </c>
      <c r="AO20" t="s">
        <v>478</v>
      </c>
      <c r="AP20" t="s">
        <v>479</v>
      </c>
      <c r="AQ20" t="s">
        <v>74</v>
      </c>
      <c r="AR20" t="s">
        <v>480</v>
      </c>
      <c r="AS20" t="s">
        <v>481</v>
      </c>
      <c r="AT20" t="s">
        <v>128</v>
      </c>
      <c r="AU20">
        <v>2020</v>
      </c>
      <c r="AV20">
        <v>32</v>
      </c>
      <c r="AW20">
        <v>2</v>
      </c>
      <c r="AX20" t="s">
        <v>74</v>
      </c>
      <c r="AY20" t="s">
        <v>74</v>
      </c>
      <c r="AZ20" t="s">
        <v>342</v>
      </c>
      <c r="BA20" t="s">
        <v>74</v>
      </c>
      <c r="BB20">
        <v>138</v>
      </c>
      <c r="BC20">
        <v>152</v>
      </c>
      <c r="BD20" t="s">
        <v>515</v>
      </c>
      <c r="BE20" t="s">
        <v>516</v>
      </c>
      <c r="BF20" t="str">
        <f>HYPERLINK("http://dx.doi.org/10.1017/S0954102020000073","http://dx.doi.org/10.1017/S0954102020000073")</f>
        <v>http://dx.doi.org/10.1017/S0954102020000073</v>
      </c>
      <c r="BG20" t="s">
        <v>74</v>
      </c>
      <c r="BH20" t="s">
        <v>74</v>
      </c>
      <c r="BI20">
        <v>15</v>
      </c>
      <c r="BJ20" t="s">
        <v>484</v>
      </c>
      <c r="BK20" t="s">
        <v>103</v>
      </c>
      <c r="BL20" t="s">
        <v>485</v>
      </c>
      <c r="BM20" t="s">
        <v>486</v>
      </c>
      <c r="BN20" t="s">
        <v>74</v>
      </c>
      <c r="BO20" t="s">
        <v>517</v>
      </c>
      <c r="BP20" t="s">
        <v>74</v>
      </c>
      <c r="BQ20" t="s">
        <v>74</v>
      </c>
      <c r="BR20" t="s">
        <v>106</v>
      </c>
      <c r="BS20" t="s">
        <v>518</v>
      </c>
      <c r="BT20" t="str">
        <f>HYPERLINK("https%3A%2F%2Fwww.webofscience.com%2Fwos%2Fwoscc%2Ffull-record%2FWOS:000516643200006","View Full Record in Web of Science")</f>
        <v>View Full Record in Web of Science</v>
      </c>
    </row>
    <row r="21" spans="1:72" x14ac:dyDescent="0.15">
      <c r="A21" t="s">
        <v>72</v>
      </c>
      <c r="B21" t="s">
        <v>519</v>
      </c>
      <c r="C21" t="s">
        <v>74</v>
      </c>
      <c r="D21" t="s">
        <v>74</v>
      </c>
      <c r="E21" t="s">
        <v>74</v>
      </c>
      <c r="F21" t="s">
        <v>520</v>
      </c>
      <c r="G21" t="s">
        <v>74</v>
      </c>
      <c r="H21" t="s">
        <v>74</v>
      </c>
      <c r="I21" t="s">
        <v>521</v>
      </c>
      <c r="J21" t="s">
        <v>466</v>
      </c>
      <c r="K21" t="s">
        <v>74</v>
      </c>
      <c r="L21" t="s">
        <v>74</v>
      </c>
      <c r="M21" t="s">
        <v>78</v>
      </c>
      <c r="N21" t="s">
        <v>79</v>
      </c>
      <c r="O21" t="s">
        <v>74</v>
      </c>
      <c r="P21" t="s">
        <v>74</v>
      </c>
      <c r="Q21" t="s">
        <v>74</v>
      </c>
      <c r="R21" t="s">
        <v>74</v>
      </c>
      <c r="S21" t="s">
        <v>74</v>
      </c>
      <c r="T21" t="s">
        <v>522</v>
      </c>
      <c r="U21" t="s">
        <v>523</v>
      </c>
      <c r="V21" t="s">
        <v>524</v>
      </c>
      <c r="W21" t="s">
        <v>525</v>
      </c>
      <c r="X21" t="s">
        <v>471</v>
      </c>
      <c r="Y21" t="s">
        <v>472</v>
      </c>
      <c r="Z21" t="s">
        <v>473</v>
      </c>
      <c r="AA21" t="s">
        <v>474</v>
      </c>
      <c r="AB21" t="s">
        <v>475</v>
      </c>
      <c r="AC21" t="s">
        <v>74</v>
      </c>
      <c r="AD21" t="s">
        <v>74</v>
      </c>
      <c r="AE21" t="s">
        <v>74</v>
      </c>
      <c r="AF21" t="s">
        <v>74</v>
      </c>
      <c r="AG21">
        <v>34</v>
      </c>
      <c r="AH21">
        <v>3</v>
      </c>
      <c r="AI21">
        <v>3</v>
      </c>
      <c r="AJ21">
        <v>0</v>
      </c>
      <c r="AK21">
        <v>4</v>
      </c>
      <c r="AL21" t="s">
        <v>238</v>
      </c>
      <c r="AM21" t="s">
        <v>166</v>
      </c>
      <c r="AN21" t="s">
        <v>239</v>
      </c>
      <c r="AO21" t="s">
        <v>478</v>
      </c>
      <c r="AP21" t="s">
        <v>479</v>
      </c>
      <c r="AQ21" t="s">
        <v>74</v>
      </c>
      <c r="AR21" t="s">
        <v>480</v>
      </c>
      <c r="AS21" t="s">
        <v>481</v>
      </c>
      <c r="AT21" t="s">
        <v>128</v>
      </c>
      <c r="AU21">
        <v>2020</v>
      </c>
      <c r="AV21">
        <v>32</v>
      </c>
      <c r="AW21">
        <v>2</v>
      </c>
      <c r="AX21" t="s">
        <v>74</v>
      </c>
      <c r="AY21" t="s">
        <v>74</v>
      </c>
      <c r="AZ21" t="s">
        <v>342</v>
      </c>
      <c r="BA21" t="s">
        <v>74</v>
      </c>
      <c r="BB21">
        <v>153</v>
      </c>
      <c r="BC21">
        <v>166</v>
      </c>
      <c r="BD21" t="s">
        <v>74</v>
      </c>
      <c r="BE21" t="s">
        <v>526</v>
      </c>
      <c r="BF21" t="str">
        <f>HYPERLINK("http://dx.doi.org/10.1017/S0954102020000012","http://dx.doi.org/10.1017/S0954102020000012")</f>
        <v>http://dx.doi.org/10.1017/S0954102020000012</v>
      </c>
      <c r="BG21" t="s">
        <v>74</v>
      </c>
      <c r="BH21" t="s">
        <v>74</v>
      </c>
      <c r="BI21">
        <v>14</v>
      </c>
      <c r="BJ21" t="s">
        <v>484</v>
      </c>
      <c r="BK21" t="s">
        <v>103</v>
      </c>
      <c r="BL21" t="s">
        <v>485</v>
      </c>
      <c r="BM21" t="s">
        <v>486</v>
      </c>
      <c r="BN21" t="s">
        <v>74</v>
      </c>
      <c r="BO21" t="s">
        <v>74</v>
      </c>
      <c r="BP21" t="s">
        <v>74</v>
      </c>
      <c r="BQ21" t="s">
        <v>74</v>
      </c>
      <c r="BR21" t="s">
        <v>106</v>
      </c>
      <c r="BS21" t="s">
        <v>527</v>
      </c>
      <c r="BT21" t="str">
        <f>HYPERLINK("https%3A%2F%2Fwww.webofscience.com%2Fwos%2Fwoscc%2Ffull-record%2FWOS:000516643200007","View Full Record in Web of Science")</f>
        <v>View Full Record in Web of Science</v>
      </c>
    </row>
    <row r="22" spans="1:72" x14ac:dyDescent="0.15">
      <c r="A22" t="s">
        <v>72</v>
      </c>
      <c r="B22" t="s">
        <v>528</v>
      </c>
      <c r="C22" t="s">
        <v>74</v>
      </c>
      <c r="D22" t="s">
        <v>74</v>
      </c>
      <c r="E22" t="s">
        <v>74</v>
      </c>
      <c r="F22" t="s">
        <v>529</v>
      </c>
      <c r="G22" t="s">
        <v>74</v>
      </c>
      <c r="H22" t="s">
        <v>74</v>
      </c>
      <c r="I22" t="s">
        <v>530</v>
      </c>
      <c r="J22" t="s">
        <v>531</v>
      </c>
      <c r="K22" t="s">
        <v>74</v>
      </c>
      <c r="L22" t="s">
        <v>74</v>
      </c>
      <c r="M22" t="s">
        <v>78</v>
      </c>
      <c r="N22" t="s">
        <v>79</v>
      </c>
      <c r="O22" t="s">
        <v>74</v>
      </c>
      <c r="P22" t="s">
        <v>74</v>
      </c>
      <c r="Q22" t="s">
        <v>74</v>
      </c>
      <c r="R22" t="s">
        <v>74</v>
      </c>
      <c r="S22" t="s">
        <v>74</v>
      </c>
      <c r="T22" t="s">
        <v>532</v>
      </c>
      <c r="U22" t="s">
        <v>533</v>
      </c>
      <c r="V22" t="s">
        <v>534</v>
      </c>
      <c r="W22" t="s">
        <v>535</v>
      </c>
      <c r="X22" t="s">
        <v>536</v>
      </c>
      <c r="Y22" t="s">
        <v>537</v>
      </c>
      <c r="Z22" t="s">
        <v>538</v>
      </c>
      <c r="AA22" t="s">
        <v>539</v>
      </c>
      <c r="AB22" t="s">
        <v>540</v>
      </c>
      <c r="AC22" t="s">
        <v>541</v>
      </c>
      <c r="AD22" t="s">
        <v>542</v>
      </c>
      <c r="AE22" t="s">
        <v>543</v>
      </c>
      <c r="AF22" t="s">
        <v>74</v>
      </c>
      <c r="AG22">
        <v>28</v>
      </c>
      <c r="AH22">
        <v>8</v>
      </c>
      <c r="AI22">
        <v>8</v>
      </c>
      <c r="AJ22">
        <v>1</v>
      </c>
      <c r="AK22">
        <v>8</v>
      </c>
      <c r="AL22" t="s">
        <v>544</v>
      </c>
      <c r="AM22" t="s">
        <v>545</v>
      </c>
      <c r="AN22" t="s">
        <v>546</v>
      </c>
      <c r="AO22" t="s">
        <v>547</v>
      </c>
      <c r="AP22" t="s">
        <v>548</v>
      </c>
      <c r="AQ22" t="s">
        <v>74</v>
      </c>
      <c r="AR22" t="s">
        <v>549</v>
      </c>
      <c r="AS22" t="s">
        <v>550</v>
      </c>
      <c r="AT22" t="s">
        <v>128</v>
      </c>
      <c r="AU22">
        <v>2020</v>
      </c>
      <c r="AV22">
        <v>108</v>
      </c>
      <c r="AW22" t="s">
        <v>74</v>
      </c>
      <c r="AX22" t="s">
        <v>74</v>
      </c>
      <c r="AY22" t="s">
        <v>74</v>
      </c>
      <c r="AZ22" t="s">
        <v>74</v>
      </c>
      <c r="BA22" t="s">
        <v>74</v>
      </c>
      <c r="BB22" t="s">
        <v>74</v>
      </c>
      <c r="BC22" t="s">
        <v>74</v>
      </c>
      <c r="BD22">
        <v>104314</v>
      </c>
      <c r="BE22" t="s">
        <v>551</v>
      </c>
      <c r="BF22" t="str">
        <f>HYPERLINK("http://dx.doi.org/10.1016/j.cretres.2019.104314","http://dx.doi.org/10.1016/j.cretres.2019.104314")</f>
        <v>http://dx.doi.org/10.1016/j.cretres.2019.104314</v>
      </c>
      <c r="BG22" t="s">
        <v>74</v>
      </c>
      <c r="BH22" t="s">
        <v>74</v>
      </c>
      <c r="BI22">
        <v>10</v>
      </c>
      <c r="BJ22" t="s">
        <v>552</v>
      </c>
      <c r="BK22" t="s">
        <v>103</v>
      </c>
      <c r="BL22" t="s">
        <v>552</v>
      </c>
      <c r="BM22" t="s">
        <v>553</v>
      </c>
      <c r="BN22" t="s">
        <v>74</v>
      </c>
      <c r="BO22" t="s">
        <v>148</v>
      </c>
      <c r="BP22" t="s">
        <v>74</v>
      </c>
      <c r="BQ22" t="s">
        <v>74</v>
      </c>
      <c r="BR22" t="s">
        <v>106</v>
      </c>
      <c r="BS22" t="s">
        <v>554</v>
      </c>
      <c r="BT22" t="str">
        <f>HYPERLINK("https%3A%2F%2Fwww.webofscience.com%2Fwos%2Fwoscc%2Ffull-record%2FWOS:000515413300003","View Full Record in Web of Science")</f>
        <v>View Full Record in Web of Science</v>
      </c>
    </row>
    <row r="23" spans="1:72" x14ac:dyDescent="0.15">
      <c r="A23" t="s">
        <v>72</v>
      </c>
      <c r="B23" t="s">
        <v>555</v>
      </c>
      <c r="C23" t="s">
        <v>74</v>
      </c>
      <c r="D23" t="s">
        <v>74</v>
      </c>
      <c r="E23" t="s">
        <v>74</v>
      </c>
      <c r="F23" t="s">
        <v>556</v>
      </c>
      <c r="G23" t="s">
        <v>74</v>
      </c>
      <c r="H23" t="s">
        <v>74</v>
      </c>
      <c r="I23" t="s">
        <v>557</v>
      </c>
      <c r="J23" t="s">
        <v>531</v>
      </c>
      <c r="K23" t="s">
        <v>74</v>
      </c>
      <c r="L23" t="s">
        <v>74</v>
      </c>
      <c r="M23" t="s">
        <v>78</v>
      </c>
      <c r="N23" t="s">
        <v>79</v>
      </c>
      <c r="O23" t="s">
        <v>74</v>
      </c>
      <c r="P23" t="s">
        <v>74</v>
      </c>
      <c r="Q23" t="s">
        <v>74</v>
      </c>
      <c r="R23" t="s">
        <v>74</v>
      </c>
      <c r="S23" t="s">
        <v>74</v>
      </c>
      <c r="T23" t="s">
        <v>558</v>
      </c>
      <c r="U23" t="s">
        <v>559</v>
      </c>
      <c r="V23" t="s">
        <v>560</v>
      </c>
      <c r="W23" t="s">
        <v>561</v>
      </c>
      <c r="X23" t="s">
        <v>562</v>
      </c>
      <c r="Y23" t="s">
        <v>563</v>
      </c>
      <c r="Z23" t="s">
        <v>564</v>
      </c>
      <c r="AA23" t="s">
        <v>565</v>
      </c>
      <c r="AB23" t="s">
        <v>566</v>
      </c>
      <c r="AC23" t="s">
        <v>567</v>
      </c>
      <c r="AD23" t="s">
        <v>568</v>
      </c>
      <c r="AE23" t="s">
        <v>569</v>
      </c>
      <c r="AF23" t="s">
        <v>74</v>
      </c>
      <c r="AG23">
        <v>41</v>
      </c>
      <c r="AH23">
        <v>3</v>
      </c>
      <c r="AI23">
        <v>4</v>
      </c>
      <c r="AJ23">
        <v>0</v>
      </c>
      <c r="AK23">
        <v>2</v>
      </c>
      <c r="AL23" t="s">
        <v>544</v>
      </c>
      <c r="AM23" t="s">
        <v>545</v>
      </c>
      <c r="AN23" t="s">
        <v>546</v>
      </c>
      <c r="AO23" t="s">
        <v>547</v>
      </c>
      <c r="AP23" t="s">
        <v>548</v>
      </c>
      <c r="AQ23" t="s">
        <v>74</v>
      </c>
      <c r="AR23" t="s">
        <v>549</v>
      </c>
      <c r="AS23" t="s">
        <v>550</v>
      </c>
      <c r="AT23" t="s">
        <v>128</v>
      </c>
      <c r="AU23">
        <v>2020</v>
      </c>
      <c r="AV23">
        <v>108</v>
      </c>
      <c r="AW23" t="s">
        <v>74</v>
      </c>
      <c r="AX23" t="s">
        <v>74</v>
      </c>
      <c r="AY23" t="s">
        <v>74</v>
      </c>
      <c r="AZ23" t="s">
        <v>74</v>
      </c>
      <c r="BA23" t="s">
        <v>74</v>
      </c>
      <c r="BB23" t="s">
        <v>74</v>
      </c>
      <c r="BC23" t="s">
        <v>74</v>
      </c>
      <c r="BD23">
        <v>104313</v>
      </c>
      <c r="BE23" t="s">
        <v>570</v>
      </c>
      <c r="BF23" t="str">
        <f>HYPERLINK("http://dx.doi.org/10.1016/j.cretres.2019.104313","http://dx.doi.org/10.1016/j.cretres.2019.104313")</f>
        <v>http://dx.doi.org/10.1016/j.cretres.2019.104313</v>
      </c>
      <c r="BG23" t="s">
        <v>74</v>
      </c>
      <c r="BH23" t="s">
        <v>74</v>
      </c>
      <c r="BI23">
        <v>15</v>
      </c>
      <c r="BJ23" t="s">
        <v>552</v>
      </c>
      <c r="BK23" t="s">
        <v>103</v>
      </c>
      <c r="BL23" t="s">
        <v>552</v>
      </c>
      <c r="BM23" t="s">
        <v>553</v>
      </c>
      <c r="BN23" t="s">
        <v>74</v>
      </c>
      <c r="BO23" t="s">
        <v>74</v>
      </c>
      <c r="BP23" t="s">
        <v>74</v>
      </c>
      <c r="BQ23" t="s">
        <v>74</v>
      </c>
      <c r="BR23" t="s">
        <v>106</v>
      </c>
      <c r="BS23" t="s">
        <v>571</v>
      </c>
      <c r="BT23" t="str">
        <f>HYPERLINK("https%3A%2F%2Fwww.webofscience.com%2Fwos%2Fwoscc%2Ffull-record%2FWOS:000515413300012","View Full Record in Web of Science")</f>
        <v>View Full Record in Web of Science</v>
      </c>
    </row>
    <row r="24" spans="1:72" x14ac:dyDescent="0.15">
      <c r="A24" t="s">
        <v>72</v>
      </c>
      <c r="B24" t="s">
        <v>572</v>
      </c>
      <c r="C24" t="s">
        <v>74</v>
      </c>
      <c r="D24" t="s">
        <v>74</v>
      </c>
      <c r="E24" t="s">
        <v>74</v>
      </c>
      <c r="F24" t="s">
        <v>573</v>
      </c>
      <c r="G24" t="s">
        <v>74</v>
      </c>
      <c r="H24" t="s">
        <v>74</v>
      </c>
      <c r="I24" t="s">
        <v>574</v>
      </c>
      <c r="J24" t="s">
        <v>575</v>
      </c>
      <c r="K24" t="s">
        <v>74</v>
      </c>
      <c r="L24" t="s">
        <v>74</v>
      </c>
      <c r="M24" t="s">
        <v>78</v>
      </c>
      <c r="N24" t="s">
        <v>79</v>
      </c>
      <c r="O24" t="s">
        <v>74</v>
      </c>
      <c r="P24" t="s">
        <v>74</v>
      </c>
      <c r="Q24" t="s">
        <v>74</v>
      </c>
      <c r="R24" t="s">
        <v>74</v>
      </c>
      <c r="S24" t="s">
        <v>74</v>
      </c>
      <c r="T24" t="s">
        <v>576</v>
      </c>
      <c r="U24" t="s">
        <v>577</v>
      </c>
      <c r="V24" t="s">
        <v>578</v>
      </c>
      <c r="W24" t="s">
        <v>579</v>
      </c>
      <c r="X24" t="s">
        <v>580</v>
      </c>
      <c r="Y24" t="s">
        <v>581</v>
      </c>
      <c r="Z24" t="s">
        <v>582</v>
      </c>
      <c r="AA24" t="s">
        <v>583</v>
      </c>
      <c r="AB24" t="s">
        <v>584</v>
      </c>
      <c r="AC24" t="s">
        <v>585</v>
      </c>
      <c r="AD24" t="s">
        <v>586</v>
      </c>
      <c r="AE24" t="s">
        <v>587</v>
      </c>
      <c r="AF24" t="s">
        <v>74</v>
      </c>
      <c r="AG24">
        <v>58</v>
      </c>
      <c r="AH24">
        <v>2</v>
      </c>
      <c r="AI24">
        <v>2</v>
      </c>
      <c r="AJ24">
        <v>0</v>
      </c>
      <c r="AK24">
        <v>24</v>
      </c>
      <c r="AL24" t="s">
        <v>289</v>
      </c>
      <c r="AM24" t="s">
        <v>290</v>
      </c>
      <c r="AN24" t="s">
        <v>291</v>
      </c>
      <c r="AO24" t="s">
        <v>588</v>
      </c>
      <c r="AP24" t="s">
        <v>589</v>
      </c>
      <c r="AQ24" t="s">
        <v>74</v>
      </c>
      <c r="AR24" t="s">
        <v>590</v>
      </c>
      <c r="AS24" t="s">
        <v>591</v>
      </c>
      <c r="AT24" t="s">
        <v>128</v>
      </c>
      <c r="AU24">
        <v>2020</v>
      </c>
      <c r="AV24">
        <v>224</v>
      </c>
      <c r="AW24" t="s">
        <v>74</v>
      </c>
      <c r="AX24" t="s">
        <v>74</v>
      </c>
      <c r="AY24" t="s">
        <v>74</v>
      </c>
      <c r="AZ24" t="s">
        <v>74</v>
      </c>
      <c r="BA24" t="s">
        <v>74</v>
      </c>
      <c r="BB24" t="s">
        <v>74</v>
      </c>
      <c r="BC24" t="s">
        <v>74</v>
      </c>
      <c r="BD24">
        <v>105467</v>
      </c>
      <c r="BE24" t="s">
        <v>592</v>
      </c>
      <c r="BF24" t="str">
        <f>HYPERLINK("http://dx.doi.org/10.1016/j.fishres.2019.105467","http://dx.doi.org/10.1016/j.fishres.2019.105467")</f>
        <v>http://dx.doi.org/10.1016/j.fishres.2019.105467</v>
      </c>
      <c r="BG24" t="s">
        <v>74</v>
      </c>
      <c r="BH24" t="s">
        <v>74</v>
      </c>
      <c r="BI24">
        <v>8</v>
      </c>
      <c r="BJ24" t="s">
        <v>593</v>
      </c>
      <c r="BK24" t="s">
        <v>103</v>
      </c>
      <c r="BL24" t="s">
        <v>593</v>
      </c>
      <c r="BM24" t="s">
        <v>594</v>
      </c>
      <c r="BN24" t="s">
        <v>74</v>
      </c>
      <c r="BO24" t="s">
        <v>74</v>
      </c>
      <c r="BP24" t="s">
        <v>74</v>
      </c>
      <c r="BQ24" t="s">
        <v>74</v>
      </c>
      <c r="BR24" t="s">
        <v>106</v>
      </c>
      <c r="BS24" t="s">
        <v>595</v>
      </c>
      <c r="BT24" t="str">
        <f>HYPERLINK("https%3A%2F%2Fwww.webofscience.com%2Fwos%2Fwoscc%2Ffull-record%2FWOS:000514752000018","View Full Record in Web of Science")</f>
        <v>View Full Record in Web of Science</v>
      </c>
    </row>
    <row r="25" spans="1:72" x14ac:dyDescent="0.15">
      <c r="A25" t="s">
        <v>72</v>
      </c>
      <c r="B25" t="s">
        <v>596</v>
      </c>
      <c r="C25" t="s">
        <v>74</v>
      </c>
      <c r="D25" t="s">
        <v>74</v>
      </c>
      <c r="E25" t="s">
        <v>74</v>
      </c>
      <c r="F25" t="s">
        <v>597</v>
      </c>
      <c r="G25" t="s">
        <v>74</v>
      </c>
      <c r="H25" t="s">
        <v>74</v>
      </c>
      <c r="I25" t="s">
        <v>598</v>
      </c>
      <c r="J25" t="s">
        <v>599</v>
      </c>
      <c r="K25" t="s">
        <v>74</v>
      </c>
      <c r="L25" t="s">
        <v>74</v>
      </c>
      <c r="M25" t="s">
        <v>78</v>
      </c>
      <c r="N25" t="s">
        <v>79</v>
      </c>
      <c r="O25" t="s">
        <v>74</v>
      </c>
      <c r="P25" t="s">
        <v>74</v>
      </c>
      <c r="Q25" t="s">
        <v>74</v>
      </c>
      <c r="R25" t="s">
        <v>74</v>
      </c>
      <c r="S25" t="s">
        <v>74</v>
      </c>
      <c r="T25" t="s">
        <v>600</v>
      </c>
      <c r="U25" t="s">
        <v>601</v>
      </c>
      <c r="V25" t="s">
        <v>602</v>
      </c>
      <c r="W25" t="s">
        <v>603</v>
      </c>
      <c r="X25" t="s">
        <v>604</v>
      </c>
      <c r="Y25" t="s">
        <v>605</v>
      </c>
      <c r="Z25" t="s">
        <v>606</v>
      </c>
      <c r="AA25" t="s">
        <v>74</v>
      </c>
      <c r="AB25" t="s">
        <v>74</v>
      </c>
      <c r="AC25" t="s">
        <v>607</v>
      </c>
      <c r="AD25" t="s">
        <v>608</v>
      </c>
      <c r="AE25" t="s">
        <v>609</v>
      </c>
      <c r="AF25" t="s">
        <v>74</v>
      </c>
      <c r="AG25">
        <v>46</v>
      </c>
      <c r="AH25">
        <v>2</v>
      </c>
      <c r="AI25">
        <v>2</v>
      </c>
      <c r="AJ25">
        <v>1</v>
      </c>
      <c r="AK25">
        <v>14</v>
      </c>
      <c r="AL25" t="s">
        <v>434</v>
      </c>
      <c r="AM25" t="s">
        <v>435</v>
      </c>
      <c r="AN25" t="s">
        <v>436</v>
      </c>
      <c r="AO25" t="s">
        <v>610</v>
      </c>
      <c r="AP25" t="s">
        <v>74</v>
      </c>
      <c r="AQ25" t="s">
        <v>74</v>
      </c>
      <c r="AR25" t="s">
        <v>599</v>
      </c>
      <c r="AS25" t="s">
        <v>611</v>
      </c>
      <c r="AT25" t="s">
        <v>128</v>
      </c>
      <c r="AU25">
        <v>2020</v>
      </c>
      <c r="AV25">
        <v>131</v>
      </c>
      <c r="AW25" t="s">
        <v>74</v>
      </c>
      <c r="AX25" t="s">
        <v>74</v>
      </c>
      <c r="AY25" t="s">
        <v>74</v>
      </c>
      <c r="AZ25" t="s">
        <v>74</v>
      </c>
      <c r="BA25" t="s">
        <v>74</v>
      </c>
      <c r="BB25" t="s">
        <v>74</v>
      </c>
      <c r="BC25" t="s">
        <v>74</v>
      </c>
      <c r="BD25">
        <v>102818</v>
      </c>
      <c r="BE25" t="s">
        <v>612</v>
      </c>
      <c r="BF25" t="str">
        <f>HYPERLINK("http://dx.doi.org/10.1016/j.micron.2019.102818","http://dx.doi.org/10.1016/j.micron.2019.102818")</f>
        <v>http://dx.doi.org/10.1016/j.micron.2019.102818</v>
      </c>
      <c r="BG25" t="s">
        <v>74</v>
      </c>
      <c r="BH25" t="s">
        <v>74</v>
      </c>
      <c r="BI25">
        <v>9</v>
      </c>
      <c r="BJ25" t="s">
        <v>613</v>
      </c>
      <c r="BK25" t="s">
        <v>103</v>
      </c>
      <c r="BL25" t="s">
        <v>613</v>
      </c>
      <c r="BM25" t="s">
        <v>614</v>
      </c>
      <c r="BN25">
        <v>31968300</v>
      </c>
      <c r="BO25" t="s">
        <v>148</v>
      </c>
      <c r="BP25" t="s">
        <v>74</v>
      </c>
      <c r="BQ25" t="s">
        <v>74</v>
      </c>
      <c r="BR25" t="s">
        <v>106</v>
      </c>
      <c r="BS25" t="s">
        <v>615</v>
      </c>
      <c r="BT25" t="str">
        <f>HYPERLINK("https%3A%2F%2Fwww.webofscience.com%2Fwos%2Fwoscc%2Ffull-record%2FWOS:000515209100005","View Full Record in Web of Science")</f>
        <v>View Full Record in Web of Science</v>
      </c>
    </row>
    <row r="26" spans="1:72" x14ac:dyDescent="0.15">
      <c r="A26" t="s">
        <v>72</v>
      </c>
      <c r="B26" t="s">
        <v>616</v>
      </c>
      <c r="C26" t="s">
        <v>74</v>
      </c>
      <c r="D26" t="s">
        <v>74</v>
      </c>
      <c r="E26" t="s">
        <v>74</v>
      </c>
      <c r="F26" t="s">
        <v>617</v>
      </c>
      <c r="G26" t="s">
        <v>74</v>
      </c>
      <c r="H26" t="s">
        <v>74</v>
      </c>
      <c r="I26" t="s">
        <v>618</v>
      </c>
      <c r="J26" t="s">
        <v>619</v>
      </c>
      <c r="K26" t="s">
        <v>74</v>
      </c>
      <c r="L26" t="s">
        <v>74</v>
      </c>
      <c r="M26" t="s">
        <v>78</v>
      </c>
      <c r="N26" t="s">
        <v>79</v>
      </c>
      <c r="O26" t="s">
        <v>74</v>
      </c>
      <c r="P26" t="s">
        <v>74</v>
      </c>
      <c r="Q26" t="s">
        <v>74</v>
      </c>
      <c r="R26" t="s">
        <v>74</v>
      </c>
      <c r="S26" t="s">
        <v>74</v>
      </c>
      <c r="T26" t="s">
        <v>620</v>
      </c>
      <c r="U26" t="s">
        <v>621</v>
      </c>
      <c r="V26" t="s">
        <v>622</v>
      </c>
      <c r="W26" t="s">
        <v>623</v>
      </c>
      <c r="X26" t="s">
        <v>624</v>
      </c>
      <c r="Y26" t="s">
        <v>625</v>
      </c>
      <c r="Z26" t="s">
        <v>626</v>
      </c>
      <c r="AA26" t="s">
        <v>627</v>
      </c>
      <c r="AB26" t="s">
        <v>74</v>
      </c>
      <c r="AC26" t="s">
        <v>628</v>
      </c>
      <c r="AD26" t="s">
        <v>629</v>
      </c>
      <c r="AE26" t="s">
        <v>630</v>
      </c>
      <c r="AF26" t="s">
        <v>74</v>
      </c>
      <c r="AG26">
        <v>53</v>
      </c>
      <c r="AH26">
        <v>9</v>
      </c>
      <c r="AI26">
        <v>10</v>
      </c>
      <c r="AJ26">
        <v>1</v>
      </c>
      <c r="AK26">
        <v>11</v>
      </c>
      <c r="AL26" t="s">
        <v>631</v>
      </c>
      <c r="AM26" t="s">
        <v>632</v>
      </c>
      <c r="AN26" t="s">
        <v>633</v>
      </c>
      <c r="AO26" t="s">
        <v>634</v>
      </c>
      <c r="AP26" t="s">
        <v>635</v>
      </c>
      <c r="AQ26" t="s">
        <v>74</v>
      </c>
      <c r="AR26" t="s">
        <v>636</v>
      </c>
      <c r="AS26" t="s">
        <v>637</v>
      </c>
      <c r="AT26" t="s">
        <v>128</v>
      </c>
      <c r="AU26">
        <v>2020</v>
      </c>
      <c r="AV26">
        <v>19</v>
      </c>
      <c r="AW26">
        <v>2</v>
      </c>
      <c r="AX26" t="s">
        <v>74</v>
      </c>
      <c r="AY26" t="s">
        <v>74</v>
      </c>
      <c r="AZ26" t="s">
        <v>74</v>
      </c>
      <c r="BA26" t="s">
        <v>74</v>
      </c>
      <c r="BB26">
        <v>339</v>
      </c>
      <c r="BC26">
        <v>350</v>
      </c>
      <c r="BD26" t="s">
        <v>74</v>
      </c>
      <c r="BE26" t="s">
        <v>638</v>
      </c>
      <c r="BF26" t="str">
        <f>HYPERLINK("http://dx.doi.org/10.1007/s11802-020-4129-6","http://dx.doi.org/10.1007/s11802-020-4129-6")</f>
        <v>http://dx.doi.org/10.1007/s11802-020-4129-6</v>
      </c>
      <c r="BG26" t="s">
        <v>74</v>
      </c>
      <c r="BH26" t="s">
        <v>74</v>
      </c>
      <c r="BI26">
        <v>12</v>
      </c>
      <c r="BJ26" t="s">
        <v>639</v>
      </c>
      <c r="BK26" t="s">
        <v>103</v>
      </c>
      <c r="BL26" t="s">
        <v>639</v>
      </c>
      <c r="BM26" t="s">
        <v>640</v>
      </c>
      <c r="BN26" t="s">
        <v>74</v>
      </c>
      <c r="BO26" t="s">
        <v>74</v>
      </c>
      <c r="BP26" t="s">
        <v>74</v>
      </c>
      <c r="BQ26" t="s">
        <v>74</v>
      </c>
      <c r="BR26" t="s">
        <v>106</v>
      </c>
      <c r="BS26" t="s">
        <v>641</v>
      </c>
      <c r="BT26" t="str">
        <f>HYPERLINK("https%3A%2F%2Fwww.webofscience.com%2Fwos%2Fwoscc%2Ffull-record%2FWOS:000511935600009","View Full Record in Web of Science")</f>
        <v>View Full Record in Web of Science</v>
      </c>
    </row>
    <row r="27" spans="1:72" x14ac:dyDescent="0.15">
      <c r="A27" t="s">
        <v>72</v>
      </c>
      <c r="B27" t="s">
        <v>642</v>
      </c>
      <c r="C27" t="s">
        <v>74</v>
      </c>
      <c r="D27" t="s">
        <v>74</v>
      </c>
      <c r="E27" t="s">
        <v>74</v>
      </c>
      <c r="F27" t="s">
        <v>643</v>
      </c>
      <c r="G27" t="s">
        <v>74</v>
      </c>
      <c r="H27" t="s">
        <v>74</v>
      </c>
      <c r="I27" t="s">
        <v>644</v>
      </c>
      <c r="J27" t="s">
        <v>645</v>
      </c>
      <c r="K27" t="s">
        <v>74</v>
      </c>
      <c r="L27" t="s">
        <v>74</v>
      </c>
      <c r="M27" t="s">
        <v>78</v>
      </c>
      <c r="N27" t="s">
        <v>79</v>
      </c>
      <c r="O27" t="s">
        <v>74</v>
      </c>
      <c r="P27" t="s">
        <v>74</v>
      </c>
      <c r="Q27" t="s">
        <v>74</v>
      </c>
      <c r="R27" t="s">
        <v>74</v>
      </c>
      <c r="S27" t="s">
        <v>74</v>
      </c>
      <c r="T27" t="s">
        <v>646</v>
      </c>
      <c r="U27" t="s">
        <v>647</v>
      </c>
      <c r="V27" t="s">
        <v>648</v>
      </c>
      <c r="W27" t="s">
        <v>649</v>
      </c>
      <c r="X27" t="s">
        <v>650</v>
      </c>
      <c r="Y27" t="s">
        <v>651</v>
      </c>
      <c r="Z27" t="s">
        <v>652</v>
      </c>
      <c r="AA27" t="s">
        <v>653</v>
      </c>
      <c r="AB27" t="s">
        <v>654</v>
      </c>
      <c r="AC27" t="s">
        <v>655</v>
      </c>
      <c r="AD27" t="s">
        <v>656</v>
      </c>
      <c r="AE27" t="s">
        <v>657</v>
      </c>
      <c r="AF27" t="s">
        <v>74</v>
      </c>
      <c r="AG27">
        <v>62</v>
      </c>
      <c r="AH27">
        <v>3</v>
      </c>
      <c r="AI27">
        <v>3</v>
      </c>
      <c r="AJ27">
        <v>0</v>
      </c>
      <c r="AK27">
        <v>7</v>
      </c>
      <c r="AL27" t="s">
        <v>658</v>
      </c>
      <c r="AM27" t="s">
        <v>659</v>
      </c>
      <c r="AN27" t="s">
        <v>660</v>
      </c>
      <c r="AO27" t="s">
        <v>74</v>
      </c>
      <c r="AP27" t="s">
        <v>661</v>
      </c>
      <c r="AQ27" t="s">
        <v>74</v>
      </c>
      <c r="AR27" t="s">
        <v>662</v>
      </c>
      <c r="AS27" t="s">
        <v>663</v>
      </c>
      <c r="AT27" t="s">
        <v>664</v>
      </c>
      <c r="AU27">
        <v>2020</v>
      </c>
      <c r="AV27">
        <v>11</v>
      </c>
      <c r="AW27" t="s">
        <v>74</v>
      </c>
      <c r="AX27" t="s">
        <v>74</v>
      </c>
      <c r="AY27" t="s">
        <v>74</v>
      </c>
      <c r="AZ27" t="s">
        <v>74</v>
      </c>
      <c r="BA27" t="s">
        <v>74</v>
      </c>
      <c r="BB27" t="s">
        <v>74</v>
      </c>
      <c r="BC27" t="s">
        <v>74</v>
      </c>
      <c r="BD27">
        <v>525</v>
      </c>
      <c r="BE27" t="s">
        <v>665</v>
      </c>
      <c r="BF27" t="str">
        <f>HYPERLINK("http://dx.doi.org/10.3389/fmicb.2020.00525","http://dx.doi.org/10.3389/fmicb.2020.00525")</f>
        <v>http://dx.doi.org/10.3389/fmicb.2020.00525</v>
      </c>
      <c r="BG27" t="s">
        <v>74</v>
      </c>
      <c r="BH27" t="s">
        <v>74</v>
      </c>
      <c r="BI27">
        <v>15</v>
      </c>
      <c r="BJ27" t="s">
        <v>273</v>
      </c>
      <c r="BK27" t="s">
        <v>103</v>
      </c>
      <c r="BL27" t="s">
        <v>273</v>
      </c>
      <c r="BM27" t="s">
        <v>666</v>
      </c>
      <c r="BN27">
        <v>32296408</v>
      </c>
      <c r="BO27" t="s">
        <v>667</v>
      </c>
      <c r="BP27" t="s">
        <v>74</v>
      </c>
      <c r="BQ27" t="s">
        <v>74</v>
      </c>
      <c r="BR27" t="s">
        <v>106</v>
      </c>
      <c r="BS27" t="s">
        <v>668</v>
      </c>
      <c r="BT27" t="str">
        <f>HYPERLINK("https%3A%2F%2Fwww.webofscience.com%2Fwos%2Fwoscc%2Ffull-record%2FWOS:000526935300001","View Full Record in Web of Science")</f>
        <v>View Full Record in Web of Science</v>
      </c>
    </row>
    <row r="28" spans="1:72" x14ac:dyDescent="0.15">
      <c r="A28" t="s">
        <v>72</v>
      </c>
      <c r="B28" t="s">
        <v>669</v>
      </c>
      <c r="C28" t="s">
        <v>74</v>
      </c>
      <c r="D28" t="s">
        <v>74</v>
      </c>
      <c r="E28" t="s">
        <v>74</v>
      </c>
      <c r="F28" t="s">
        <v>670</v>
      </c>
      <c r="G28" t="s">
        <v>74</v>
      </c>
      <c r="H28" t="s">
        <v>74</v>
      </c>
      <c r="I28" t="s">
        <v>671</v>
      </c>
      <c r="J28" t="s">
        <v>672</v>
      </c>
      <c r="K28" t="s">
        <v>74</v>
      </c>
      <c r="L28" t="s">
        <v>74</v>
      </c>
      <c r="M28" t="s">
        <v>78</v>
      </c>
      <c r="N28" t="s">
        <v>79</v>
      </c>
      <c r="O28" t="s">
        <v>74</v>
      </c>
      <c r="P28" t="s">
        <v>74</v>
      </c>
      <c r="Q28" t="s">
        <v>74</v>
      </c>
      <c r="R28" t="s">
        <v>74</v>
      </c>
      <c r="S28" t="s">
        <v>74</v>
      </c>
      <c r="T28" t="s">
        <v>673</v>
      </c>
      <c r="U28" t="s">
        <v>674</v>
      </c>
      <c r="V28" t="s">
        <v>675</v>
      </c>
      <c r="W28" t="s">
        <v>676</v>
      </c>
      <c r="X28" t="s">
        <v>677</v>
      </c>
      <c r="Y28" t="s">
        <v>678</v>
      </c>
      <c r="Z28" t="s">
        <v>679</v>
      </c>
      <c r="AA28" t="s">
        <v>680</v>
      </c>
      <c r="AB28" t="s">
        <v>681</v>
      </c>
      <c r="AC28" t="s">
        <v>682</v>
      </c>
      <c r="AD28" t="s">
        <v>683</v>
      </c>
      <c r="AE28" t="s">
        <v>684</v>
      </c>
      <c r="AF28" t="s">
        <v>74</v>
      </c>
      <c r="AG28">
        <v>71</v>
      </c>
      <c r="AH28">
        <v>3</v>
      </c>
      <c r="AI28">
        <v>4</v>
      </c>
      <c r="AJ28">
        <v>0</v>
      </c>
      <c r="AK28">
        <v>10</v>
      </c>
      <c r="AL28" t="s">
        <v>121</v>
      </c>
      <c r="AM28" t="s">
        <v>166</v>
      </c>
      <c r="AN28" t="s">
        <v>685</v>
      </c>
      <c r="AO28" t="s">
        <v>686</v>
      </c>
      <c r="AP28" t="s">
        <v>687</v>
      </c>
      <c r="AQ28" t="s">
        <v>74</v>
      </c>
      <c r="AR28" t="s">
        <v>688</v>
      </c>
      <c r="AS28" t="s">
        <v>689</v>
      </c>
      <c r="AT28" t="s">
        <v>690</v>
      </c>
      <c r="AU28">
        <v>2020</v>
      </c>
      <c r="AV28">
        <v>43</v>
      </c>
      <c r="AW28">
        <v>5</v>
      </c>
      <c r="AX28" t="s">
        <v>74</v>
      </c>
      <c r="AY28" t="s">
        <v>74</v>
      </c>
      <c r="AZ28" t="s">
        <v>74</v>
      </c>
      <c r="BA28" t="s">
        <v>74</v>
      </c>
      <c r="BB28">
        <v>523</v>
      </c>
      <c r="BC28">
        <v>533</v>
      </c>
      <c r="BD28" t="s">
        <v>74</v>
      </c>
      <c r="BE28" t="s">
        <v>691</v>
      </c>
      <c r="BF28" t="str">
        <f>HYPERLINK("http://dx.doi.org/10.1007/s00300-020-02654-x","http://dx.doi.org/10.1007/s00300-020-02654-x")</f>
        <v>http://dx.doi.org/10.1007/s00300-020-02654-x</v>
      </c>
      <c r="BG28" t="s">
        <v>74</v>
      </c>
      <c r="BH28" t="s">
        <v>692</v>
      </c>
      <c r="BI28">
        <v>11</v>
      </c>
      <c r="BJ28" t="s">
        <v>130</v>
      </c>
      <c r="BK28" t="s">
        <v>103</v>
      </c>
      <c r="BL28" t="s">
        <v>131</v>
      </c>
      <c r="BM28" t="s">
        <v>693</v>
      </c>
      <c r="BN28" t="s">
        <v>74</v>
      </c>
      <c r="BO28" t="s">
        <v>694</v>
      </c>
      <c r="BP28" t="s">
        <v>74</v>
      </c>
      <c r="BQ28" t="s">
        <v>74</v>
      </c>
      <c r="BR28" t="s">
        <v>106</v>
      </c>
      <c r="BS28" t="s">
        <v>695</v>
      </c>
      <c r="BT28" t="str">
        <f>HYPERLINK("https%3A%2F%2Fwww.webofscience.com%2Fwos%2Fwoscc%2Ffull-record%2FWOS:000522724600002","View Full Record in Web of Science")</f>
        <v>View Full Record in Web of Science</v>
      </c>
    </row>
    <row r="29" spans="1:72" x14ac:dyDescent="0.15">
      <c r="A29" t="s">
        <v>72</v>
      </c>
      <c r="B29" t="s">
        <v>696</v>
      </c>
      <c r="C29" t="s">
        <v>74</v>
      </c>
      <c r="D29" t="s">
        <v>74</v>
      </c>
      <c r="E29" t="s">
        <v>74</v>
      </c>
      <c r="F29" t="s">
        <v>697</v>
      </c>
      <c r="G29" t="s">
        <v>74</v>
      </c>
      <c r="H29" t="s">
        <v>74</v>
      </c>
      <c r="I29" t="s">
        <v>698</v>
      </c>
      <c r="J29" t="s">
        <v>672</v>
      </c>
      <c r="K29" t="s">
        <v>74</v>
      </c>
      <c r="L29" t="s">
        <v>74</v>
      </c>
      <c r="M29" t="s">
        <v>78</v>
      </c>
      <c r="N29" t="s">
        <v>79</v>
      </c>
      <c r="O29" t="s">
        <v>74</v>
      </c>
      <c r="P29" t="s">
        <v>74</v>
      </c>
      <c r="Q29" t="s">
        <v>74</v>
      </c>
      <c r="R29" t="s">
        <v>74</v>
      </c>
      <c r="S29" t="s">
        <v>74</v>
      </c>
      <c r="T29" t="s">
        <v>699</v>
      </c>
      <c r="U29" t="s">
        <v>700</v>
      </c>
      <c r="V29" t="s">
        <v>701</v>
      </c>
      <c r="W29" t="s">
        <v>702</v>
      </c>
      <c r="X29" t="s">
        <v>703</v>
      </c>
      <c r="Y29" t="s">
        <v>704</v>
      </c>
      <c r="Z29" t="s">
        <v>705</v>
      </c>
      <c r="AA29" t="s">
        <v>706</v>
      </c>
      <c r="AB29" t="s">
        <v>707</v>
      </c>
      <c r="AC29" t="s">
        <v>708</v>
      </c>
      <c r="AD29" t="s">
        <v>709</v>
      </c>
      <c r="AE29" t="s">
        <v>710</v>
      </c>
      <c r="AF29" t="s">
        <v>74</v>
      </c>
      <c r="AG29">
        <v>62</v>
      </c>
      <c r="AH29">
        <v>5</v>
      </c>
      <c r="AI29">
        <v>5</v>
      </c>
      <c r="AJ29">
        <v>0</v>
      </c>
      <c r="AK29">
        <v>11</v>
      </c>
      <c r="AL29" t="s">
        <v>121</v>
      </c>
      <c r="AM29" t="s">
        <v>166</v>
      </c>
      <c r="AN29" t="s">
        <v>685</v>
      </c>
      <c r="AO29" t="s">
        <v>686</v>
      </c>
      <c r="AP29" t="s">
        <v>687</v>
      </c>
      <c r="AQ29" t="s">
        <v>74</v>
      </c>
      <c r="AR29" t="s">
        <v>688</v>
      </c>
      <c r="AS29" t="s">
        <v>689</v>
      </c>
      <c r="AT29" t="s">
        <v>690</v>
      </c>
      <c r="AU29">
        <v>2020</v>
      </c>
      <c r="AV29">
        <v>43</v>
      </c>
      <c r="AW29">
        <v>5</v>
      </c>
      <c r="AX29" t="s">
        <v>74</v>
      </c>
      <c r="AY29" t="s">
        <v>74</v>
      </c>
      <c r="AZ29" t="s">
        <v>74</v>
      </c>
      <c r="BA29" t="s">
        <v>74</v>
      </c>
      <c r="BB29">
        <v>535</v>
      </c>
      <c r="BC29">
        <v>544</v>
      </c>
      <c r="BD29" t="s">
        <v>74</v>
      </c>
      <c r="BE29" t="s">
        <v>711</v>
      </c>
      <c r="BF29" t="str">
        <f>HYPERLINK("http://dx.doi.org/10.1007/s00300-020-02655-w","http://dx.doi.org/10.1007/s00300-020-02655-w")</f>
        <v>http://dx.doi.org/10.1007/s00300-020-02655-w</v>
      </c>
      <c r="BG29" t="s">
        <v>74</v>
      </c>
      <c r="BH29" t="s">
        <v>692</v>
      </c>
      <c r="BI29">
        <v>10</v>
      </c>
      <c r="BJ29" t="s">
        <v>130</v>
      </c>
      <c r="BK29" t="s">
        <v>103</v>
      </c>
      <c r="BL29" t="s">
        <v>131</v>
      </c>
      <c r="BM29" t="s">
        <v>693</v>
      </c>
      <c r="BN29" t="s">
        <v>74</v>
      </c>
      <c r="BO29" t="s">
        <v>694</v>
      </c>
      <c r="BP29" t="s">
        <v>74</v>
      </c>
      <c r="BQ29" t="s">
        <v>74</v>
      </c>
      <c r="BR29" t="s">
        <v>106</v>
      </c>
      <c r="BS29" t="s">
        <v>712</v>
      </c>
      <c r="BT29" t="str">
        <f>HYPERLINK("https%3A%2F%2Fwww.webofscience.com%2Fwos%2Fwoscc%2Ffull-record%2FWOS:000522724600001","View Full Record in Web of Science")</f>
        <v>View Full Record in Web of Science</v>
      </c>
    </row>
    <row r="30" spans="1:72" x14ac:dyDescent="0.15">
      <c r="A30" t="s">
        <v>72</v>
      </c>
      <c r="B30" t="s">
        <v>713</v>
      </c>
      <c r="C30" t="s">
        <v>74</v>
      </c>
      <c r="D30" t="s">
        <v>74</v>
      </c>
      <c r="E30" t="s">
        <v>74</v>
      </c>
      <c r="F30" t="s">
        <v>714</v>
      </c>
      <c r="G30" t="s">
        <v>74</v>
      </c>
      <c r="H30" t="s">
        <v>74</v>
      </c>
      <c r="I30" t="s">
        <v>715</v>
      </c>
      <c r="J30" t="s">
        <v>716</v>
      </c>
      <c r="K30" t="s">
        <v>74</v>
      </c>
      <c r="L30" t="s">
        <v>74</v>
      </c>
      <c r="M30" t="s">
        <v>78</v>
      </c>
      <c r="N30" t="s">
        <v>79</v>
      </c>
      <c r="O30" t="s">
        <v>74</v>
      </c>
      <c r="P30" t="s">
        <v>74</v>
      </c>
      <c r="Q30" t="s">
        <v>74</v>
      </c>
      <c r="R30" t="s">
        <v>74</v>
      </c>
      <c r="S30" t="s">
        <v>74</v>
      </c>
      <c r="T30" t="s">
        <v>717</v>
      </c>
      <c r="U30" t="s">
        <v>718</v>
      </c>
      <c r="V30" t="s">
        <v>719</v>
      </c>
      <c r="W30" t="s">
        <v>720</v>
      </c>
      <c r="X30" t="s">
        <v>721</v>
      </c>
      <c r="Y30" t="s">
        <v>722</v>
      </c>
      <c r="Z30" t="s">
        <v>723</v>
      </c>
      <c r="AA30" t="s">
        <v>724</v>
      </c>
      <c r="AB30" t="s">
        <v>725</v>
      </c>
      <c r="AC30" t="s">
        <v>726</v>
      </c>
      <c r="AD30" t="s">
        <v>727</v>
      </c>
      <c r="AE30" t="s">
        <v>728</v>
      </c>
      <c r="AF30" t="s">
        <v>74</v>
      </c>
      <c r="AG30">
        <v>26</v>
      </c>
      <c r="AH30">
        <v>11</v>
      </c>
      <c r="AI30">
        <v>12</v>
      </c>
      <c r="AJ30">
        <v>0</v>
      </c>
      <c r="AK30">
        <v>15</v>
      </c>
      <c r="AL30" t="s">
        <v>211</v>
      </c>
      <c r="AM30" t="s">
        <v>212</v>
      </c>
      <c r="AN30" t="s">
        <v>213</v>
      </c>
      <c r="AO30" t="s">
        <v>729</v>
      </c>
      <c r="AP30" t="s">
        <v>730</v>
      </c>
      <c r="AQ30" t="s">
        <v>74</v>
      </c>
      <c r="AR30" t="s">
        <v>731</v>
      </c>
      <c r="AS30" t="s">
        <v>732</v>
      </c>
      <c r="AT30" t="s">
        <v>733</v>
      </c>
      <c r="AU30">
        <v>2020</v>
      </c>
      <c r="AV30">
        <v>96</v>
      </c>
      <c r="AW30">
        <v>6</v>
      </c>
      <c r="AX30" t="s">
        <v>74</v>
      </c>
      <c r="AY30" t="s">
        <v>74</v>
      </c>
      <c r="AZ30" t="s">
        <v>74</v>
      </c>
      <c r="BA30" t="s">
        <v>74</v>
      </c>
      <c r="BB30">
        <v>1495</v>
      </c>
      <c r="BC30">
        <v>1500</v>
      </c>
      <c r="BD30" t="s">
        <v>74</v>
      </c>
      <c r="BE30" t="s">
        <v>734</v>
      </c>
      <c r="BF30" t="str">
        <f>HYPERLINK("http://dx.doi.org/10.1111/jfb.14309","http://dx.doi.org/10.1111/jfb.14309")</f>
        <v>http://dx.doi.org/10.1111/jfb.14309</v>
      </c>
      <c r="BG30" t="s">
        <v>74</v>
      </c>
      <c r="BH30" t="s">
        <v>692</v>
      </c>
      <c r="BI30">
        <v>6</v>
      </c>
      <c r="BJ30" t="s">
        <v>735</v>
      </c>
      <c r="BK30" t="s">
        <v>103</v>
      </c>
      <c r="BL30" t="s">
        <v>735</v>
      </c>
      <c r="BM30" t="s">
        <v>736</v>
      </c>
      <c r="BN30">
        <v>32187706</v>
      </c>
      <c r="BO30" t="s">
        <v>74</v>
      </c>
      <c r="BP30" t="s">
        <v>74</v>
      </c>
      <c r="BQ30" t="s">
        <v>74</v>
      </c>
      <c r="BR30" t="s">
        <v>106</v>
      </c>
      <c r="BS30" t="s">
        <v>737</v>
      </c>
      <c r="BT30" t="str">
        <f>HYPERLINK("https%3A%2F%2Fwww.webofscience.com%2Fwos%2Fwoscc%2Ffull-record%2FWOS:000522311600001","View Full Record in Web of Science")</f>
        <v>View Full Record in Web of Science</v>
      </c>
    </row>
    <row r="31" spans="1:72" x14ac:dyDescent="0.15">
      <c r="A31" t="s">
        <v>72</v>
      </c>
      <c r="B31" t="s">
        <v>738</v>
      </c>
      <c r="C31" t="s">
        <v>74</v>
      </c>
      <c r="D31" t="s">
        <v>74</v>
      </c>
      <c r="E31" t="s">
        <v>74</v>
      </c>
      <c r="F31" t="s">
        <v>739</v>
      </c>
      <c r="G31" t="s">
        <v>74</v>
      </c>
      <c r="H31" t="s">
        <v>74</v>
      </c>
      <c r="I31" t="s">
        <v>740</v>
      </c>
      <c r="J31" t="s">
        <v>741</v>
      </c>
      <c r="K31" t="s">
        <v>74</v>
      </c>
      <c r="L31" t="s">
        <v>74</v>
      </c>
      <c r="M31" t="s">
        <v>78</v>
      </c>
      <c r="N31" t="s">
        <v>79</v>
      </c>
      <c r="O31" t="s">
        <v>74</v>
      </c>
      <c r="P31" t="s">
        <v>74</v>
      </c>
      <c r="Q31" t="s">
        <v>74</v>
      </c>
      <c r="R31" t="s">
        <v>74</v>
      </c>
      <c r="S31" t="s">
        <v>74</v>
      </c>
      <c r="T31" t="s">
        <v>74</v>
      </c>
      <c r="U31" t="s">
        <v>742</v>
      </c>
      <c r="V31" t="s">
        <v>743</v>
      </c>
      <c r="W31" t="s">
        <v>744</v>
      </c>
      <c r="X31" t="s">
        <v>745</v>
      </c>
      <c r="Y31" t="s">
        <v>746</v>
      </c>
      <c r="Z31" t="s">
        <v>747</v>
      </c>
      <c r="AA31" t="s">
        <v>748</v>
      </c>
      <c r="AB31" t="s">
        <v>749</v>
      </c>
      <c r="AC31" t="s">
        <v>750</v>
      </c>
      <c r="AD31" t="s">
        <v>751</v>
      </c>
      <c r="AE31" t="s">
        <v>752</v>
      </c>
      <c r="AF31" t="s">
        <v>74</v>
      </c>
      <c r="AG31">
        <v>62</v>
      </c>
      <c r="AH31">
        <v>42</v>
      </c>
      <c r="AI31">
        <v>48</v>
      </c>
      <c r="AJ31">
        <v>0</v>
      </c>
      <c r="AK31">
        <v>35</v>
      </c>
      <c r="AL31" t="s">
        <v>753</v>
      </c>
      <c r="AM31" t="s">
        <v>166</v>
      </c>
      <c r="AN31" t="s">
        <v>754</v>
      </c>
      <c r="AO31" t="s">
        <v>755</v>
      </c>
      <c r="AP31" t="s">
        <v>756</v>
      </c>
      <c r="AQ31" t="s">
        <v>74</v>
      </c>
      <c r="AR31" t="s">
        <v>757</v>
      </c>
      <c r="AS31" t="s">
        <v>758</v>
      </c>
      <c r="AT31" t="s">
        <v>128</v>
      </c>
      <c r="AU31">
        <v>2020</v>
      </c>
      <c r="AV31">
        <v>13</v>
      </c>
      <c r="AW31">
        <v>4</v>
      </c>
      <c r="AX31" t="s">
        <v>74</v>
      </c>
      <c r="AY31" t="s">
        <v>74</v>
      </c>
      <c r="AZ31" t="s">
        <v>74</v>
      </c>
      <c r="BA31" t="s">
        <v>74</v>
      </c>
      <c r="BB31">
        <v>260</v>
      </c>
      <c r="BC31" t="s">
        <v>759</v>
      </c>
      <c r="BD31" t="s">
        <v>74</v>
      </c>
      <c r="BE31" t="s">
        <v>760</v>
      </c>
      <c r="BF31" t="str">
        <f>HYPERLINK("http://dx.doi.org/10.1038/s41561-020-0552-y","http://dx.doi.org/10.1038/s41561-020-0552-y")</f>
        <v>http://dx.doi.org/10.1038/s41561-020-0552-y</v>
      </c>
      <c r="BG31" t="s">
        <v>74</v>
      </c>
      <c r="BH31" t="s">
        <v>692</v>
      </c>
      <c r="BI31">
        <v>9</v>
      </c>
      <c r="BJ31" t="s">
        <v>246</v>
      </c>
      <c r="BK31" t="s">
        <v>103</v>
      </c>
      <c r="BL31" t="s">
        <v>247</v>
      </c>
      <c r="BM31" t="s">
        <v>761</v>
      </c>
      <c r="BN31">
        <v>32523614</v>
      </c>
      <c r="BO31" t="s">
        <v>298</v>
      </c>
      <c r="BP31" t="s">
        <v>74</v>
      </c>
      <c r="BQ31" t="s">
        <v>74</v>
      </c>
      <c r="BR31" t="s">
        <v>106</v>
      </c>
      <c r="BS31" t="s">
        <v>762</v>
      </c>
      <c r="BT31" t="str">
        <f>HYPERLINK("https%3A%2F%2Fwww.webofscience.com%2Fwos%2Fwoscc%2Ffull-record%2FWOS:000522379900001","View Full Record in Web of Science")</f>
        <v>View Full Record in Web of Science</v>
      </c>
    </row>
    <row r="32" spans="1:72" x14ac:dyDescent="0.15">
      <c r="A32" t="s">
        <v>72</v>
      </c>
      <c r="B32" t="s">
        <v>763</v>
      </c>
      <c r="C32" t="s">
        <v>74</v>
      </c>
      <c r="D32" t="s">
        <v>74</v>
      </c>
      <c r="E32" t="s">
        <v>74</v>
      </c>
      <c r="F32" t="s">
        <v>764</v>
      </c>
      <c r="G32" t="s">
        <v>74</v>
      </c>
      <c r="H32" t="s">
        <v>74</v>
      </c>
      <c r="I32" t="s">
        <v>765</v>
      </c>
      <c r="J32" t="s">
        <v>766</v>
      </c>
      <c r="K32" t="s">
        <v>74</v>
      </c>
      <c r="L32" t="s">
        <v>74</v>
      </c>
      <c r="M32" t="s">
        <v>78</v>
      </c>
      <c r="N32" t="s">
        <v>767</v>
      </c>
      <c r="O32" t="s">
        <v>74</v>
      </c>
      <c r="P32" t="s">
        <v>74</v>
      </c>
      <c r="Q32" t="s">
        <v>74</v>
      </c>
      <c r="R32" t="s">
        <v>74</v>
      </c>
      <c r="S32" t="s">
        <v>74</v>
      </c>
      <c r="T32" t="s">
        <v>74</v>
      </c>
      <c r="U32" t="s">
        <v>768</v>
      </c>
      <c r="V32" t="s">
        <v>769</v>
      </c>
      <c r="W32" t="s">
        <v>770</v>
      </c>
      <c r="X32" t="s">
        <v>771</v>
      </c>
      <c r="Y32" t="s">
        <v>772</v>
      </c>
      <c r="Z32" t="s">
        <v>773</v>
      </c>
      <c r="AA32" t="s">
        <v>774</v>
      </c>
      <c r="AB32" t="s">
        <v>775</v>
      </c>
      <c r="AC32" t="s">
        <v>776</v>
      </c>
      <c r="AD32" t="s">
        <v>777</v>
      </c>
      <c r="AE32" t="s">
        <v>778</v>
      </c>
      <c r="AF32" t="s">
        <v>74</v>
      </c>
      <c r="AG32">
        <v>14</v>
      </c>
      <c r="AH32">
        <v>62</v>
      </c>
      <c r="AI32">
        <v>68</v>
      </c>
      <c r="AJ32">
        <v>3</v>
      </c>
      <c r="AK32">
        <v>31</v>
      </c>
      <c r="AL32" t="s">
        <v>211</v>
      </c>
      <c r="AM32" t="s">
        <v>212</v>
      </c>
      <c r="AN32" t="s">
        <v>213</v>
      </c>
      <c r="AO32" t="s">
        <v>779</v>
      </c>
      <c r="AP32" t="s">
        <v>780</v>
      </c>
      <c r="AQ32" t="s">
        <v>74</v>
      </c>
      <c r="AR32" t="s">
        <v>781</v>
      </c>
      <c r="AS32" t="s">
        <v>782</v>
      </c>
      <c r="AT32" t="s">
        <v>733</v>
      </c>
      <c r="AU32">
        <v>2020</v>
      </c>
      <c r="AV32">
        <v>26</v>
      </c>
      <c r="AW32">
        <v>6</v>
      </c>
      <c r="AX32" t="s">
        <v>74</v>
      </c>
      <c r="AY32" t="s">
        <v>74</v>
      </c>
      <c r="AZ32" t="s">
        <v>74</v>
      </c>
      <c r="BA32" t="s">
        <v>74</v>
      </c>
      <c r="BB32">
        <v>3178</v>
      </c>
      <c r="BC32">
        <v>3180</v>
      </c>
      <c r="BD32" t="s">
        <v>74</v>
      </c>
      <c r="BE32" t="s">
        <v>783</v>
      </c>
      <c r="BF32" t="str">
        <f>HYPERLINK("http://dx.doi.org/10.1111/gcb.15083","http://dx.doi.org/10.1111/gcb.15083")</f>
        <v>http://dx.doi.org/10.1111/gcb.15083</v>
      </c>
      <c r="BG32" t="s">
        <v>74</v>
      </c>
      <c r="BH32" t="s">
        <v>692</v>
      </c>
      <c r="BI32">
        <v>3</v>
      </c>
      <c r="BJ32" t="s">
        <v>784</v>
      </c>
      <c r="BK32" t="s">
        <v>103</v>
      </c>
      <c r="BL32" t="s">
        <v>131</v>
      </c>
      <c r="BM32" t="s">
        <v>785</v>
      </c>
      <c r="BN32">
        <v>32227664</v>
      </c>
      <c r="BO32" t="s">
        <v>517</v>
      </c>
      <c r="BP32" t="s">
        <v>74</v>
      </c>
      <c r="BQ32" t="s">
        <v>74</v>
      </c>
      <c r="BR32" t="s">
        <v>106</v>
      </c>
      <c r="BS32" t="s">
        <v>786</v>
      </c>
      <c r="BT32" t="str">
        <f>HYPERLINK("https%3A%2F%2Fwww.webofscience.com%2Fwos%2Fwoscc%2Ffull-record%2FWOS:000522276500001","View Full Record in Web of Science")</f>
        <v>View Full Record in Web of Science</v>
      </c>
    </row>
    <row r="33" spans="1:72" x14ac:dyDescent="0.15">
      <c r="A33" t="s">
        <v>72</v>
      </c>
      <c r="B33" t="s">
        <v>787</v>
      </c>
      <c r="C33" t="s">
        <v>74</v>
      </c>
      <c r="D33" t="s">
        <v>74</v>
      </c>
      <c r="E33" t="s">
        <v>74</v>
      </c>
      <c r="F33" t="s">
        <v>788</v>
      </c>
      <c r="G33" t="s">
        <v>74</v>
      </c>
      <c r="H33" t="s">
        <v>74</v>
      </c>
      <c r="I33" t="s">
        <v>789</v>
      </c>
      <c r="J33" t="s">
        <v>790</v>
      </c>
      <c r="K33" t="s">
        <v>74</v>
      </c>
      <c r="L33" t="s">
        <v>74</v>
      </c>
      <c r="M33" t="s">
        <v>78</v>
      </c>
      <c r="N33" t="s">
        <v>79</v>
      </c>
      <c r="O33" t="s">
        <v>74</v>
      </c>
      <c r="P33" t="s">
        <v>74</v>
      </c>
      <c r="Q33" t="s">
        <v>74</v>
      </c>
      <c r="R33" t="s">
        <v>74</v>
      </c>
      <c r="S33" t="s">
        <v>74</v>
      </c>
      <c r="T33" t="s">
        <v>791</v>
      </c>
      <c r="U33" t="s">
        <v>792</v>
      </c>
      <c r="V33" t="s">
        <v>793</v>
      </c>
      <c r="W33" t="s">
        <v>794</v>
      </c>
      <c r="X33" t="s">
        <v>795</v>
      </c>
      <c r="Y33" t="s">
        <v>796</v>
      </c>
      <c r="Z33" t="s">
        <v>797</v>
      </c>
      <c r="AA33" t="s">
        <v>798</v>
      </c>
      <c r="AB33" t="s">
        <v>799</v>
      </c>
      <c r="AC33" t="s">
        <v>74</v>
      </c>
      <c r="AD33" t="s">
        <v>74</v>
      </c>
      <c r="AE33" t="s">
        <v>74</v>
      </c>
      <c r="AF33" t="s">
        <v>74</v>
      </c>
      <c r="AG33">
        <v>70</v>
      </c>
      <c r="AH33">
        <v>5</v>
      </c>
      <c r="AI33">
        <v>5</v>
      </c>
      <c r="AJ33">
        <v>0</v>
      </c>
      <c r="AK33">
        <v>9</v>
      </c>
      <c r="AL33" t="s">
        <v>211</v>
      </c>
      <c r="AM33" t="s">
        <v>212</v>
      </c>
      <c r="AN33" t="s">
        <v>213</v>
      </c>
      <c r="AO33" t="s">
        <v>800</v>
      </c>
      <c r="AP33" t="s">
        <v>801</v>
      </c>
      <c r="AQ33" t="s">
        <v>74</v>
      </c>
      <c r="AR33" t="s">
        <v>790</v>
      </c>
      <c r="AS33" t="s">
        <v>802</v>
      </c>
      <c r="AT33" t="s">
        <v>803</v>
      </c>
      <c r="AU33">
        <v>2020</v>
      </c>
      <c r="AV33">
        <v>69</v>
      </c>
      <c r="AW33">
        <v>1</v>
      </c>
      <c r="AX33" t="s">
        <v>74</v>
      </c>
      <c r="AY33" t="s">
        <v>74</v>
      </c>
      <c r="AZ33" t="s">
        <v>74</v>
      </c>
      <c r="BA33" t="s">
        <v>74</v>
      </c>
      <c r="BB33">
        <v>87</v>
      </c>
      <c r="BC33">
        <v>99</v>
      </c>
      <c r="BD33" t="s">
        <v>74</v>
      </c>
      <c r="BE33" t="s">
        <v>804</v>
      </c>
      <c r="BF33" t="str">
        <f>HYPERLINK("http://dx.doi.org/10.1002/tax.12203","http://dx.doi.org/10.1002/tax.12203")</f>
        <v>http://dx.doi.org/10.1002/tax.12203</v>
      </c>
      <c r="BG33" t="s">
        <v>74</v>
      </c>
      <c r="BH33" t="s">
        <v>692</v>
      </c>
      <c r="BI33">
        <v>13</v>
      </c>
      <c r="BJ33" t="s">
        <v>805</v>
      </c>
      <c r="BK33" t="s">
        <v>103</v>
      </c>
      <c r="BL33" t="s">
        <v>805</v>
      </c>
      <c r="BM33" t="s">
        <v>806</v>
      </c>
      <c r="BN33" t="s">
        <v>74</v>
      </c>
      <c r="BO33" t="s">
        <v>461</v>
      </c>
      <c r="BP33" t="s">
        <v>74</v>
      </c>
      <c r="BQ33" t="s">
        <v>74</v>
      </c>
      <c r="BR33" t="s">
        <v>106</v>
      </c>
      <c r="BS33" t="s">
        <v>807</v>
      </c>
      <c r="BT33" t="str">
        <f>HYPERLINK("https%3A%2F%2Fwww.webofscience.com%2Fwos%2Fwoscc%2Ffull-record%2FWOS:000522486400001","View Full Record in Web of Science")</f>
        <v>View Full Record in Web of Science</v>
      </c>
    </row>
    <row r="34" spans="1:72" x14ac:dyDescent="0.15">
      <c r="A34" t="s">
        <v>72</v>
      </c>
      <c r="B34" t="s">
        <v>808</v>
      </c>
      <c r="C34" t="s">
        <v>74</v>
      </c>
      <c r="D34" t="s">
        <v>74</v>
      </c>
      <c r="E34" t="s">
        <v>74</v>
      </c>
      <c r="F34" t="s">
        <v>809</v>
      </c>
      <c r="G34" t="s">
        <v>74</v>
      </c>
      <c r="H34" t="s">
        <v>74</v>
      </c>
      <c r="I34" t="s">
        <v>810</v>
      </c>
      <c r="J34" t="s">
        <v>672</v>
      </c>
      <c r="K34" t="s">
        <v>74</v>
      </c>
      <c r="L34" t="s">
        <v>74</v>
      </c>
      <c r="M34" t="s">
        <v>78</v>
      </c>
      <c r="N34" t="s">
        <v>79</v>
      </c>
      <c r="O34" t="s">
        <v>74</v>
      </c>
      <c r="P34" t="s">
        <v>74</v>
      </c>
      <c r="Q34" t="s">
        <v>74</v>
      </c>
      <c r="R34" t="s">
        <v>74</v>
      </c>
      <c r="S34" t="s">
        <v>74</v>
      </c>
      <c r="T34" t="s">
        <v>811</v>
      </c>
      <c r="U34" t="s">
        <v>812</v>
      </c>
      <c r="V34" t="s">
        <v>813</v>
      </c>
      <c r="W34" t="s">
        <v>814</v>
      </c>
      <c r="X34" t="s">
        <v>815</v>
      </c>
      <c r="Y34" t="s">
        <v>816</v>
      </c>
      <c r="Z34" t="s">
        <v>817</v>
      </c>
      <c r="AA34" t="s">
        <v>818</v>
      </c>
      <c r="AB34" t="s">
        <v>819</v>
      </c>
      <c r="AC34" t="s">
        <v>74</v>
      </c>
      <c r="AD34" t="s">
        <v>74</v>
      </c>
      <c r="AE34" t="s">
        <v>74</v>
      </c>
      <c r="AF34" t="s">
        <v>74</v>
      </c>
      <c r="AG34">
        <v>69</v>
      </c>
      <c r="AH34">
        <v>6</v>
      </c>
      <c r="AI34">
        <v>6</v>
      </c>
      <c r="AJ34">
        <v>0</v>
      </c>
      <c r="AK34">
        <v>17</v>
      </c>
      <c r="AL34" t="s">
        <v>121</v>
      </c>
      <c r="AM34" t="s">
        <v>166</v>
      </c>
      <c r="AN34" t="s">
        <v>685</v>
      </c>
      <c r="AO34" t="s">
        <v>686</v>
      </c>
      <c r="AP34" t="s">
        <v>687</v>
      </c>
      <c r="AQ34" t="s">
        <v>74</v>
      </c>
      <c r="AR34" t="s">
        <v>688</v>
      </c>
      <c r="AS34" t="s">
        <v>689</v>
      </c>
      <c r="AT34" t="s">
        <v>690</v>
      </c>
      <c r="AU34">
        <v>2020</v>
      </c>
      <c r="AV34">
        <v>43</v>
      </c>
      <c r="AW34">
        <v>5</v>
      </c>
      <c r="AX34" t="s">
        <v>74</v>
      </c>
      <c r="AY34" t="s">
        <v>74</v>
      </c>
      <c r="AZ34" t="s">
        <v>74</v>
      </c>
      <c r="BA34" t="s">
        <v>74</v>
      </c>
      <c r="BB34">
        <v>467</v>
      </c>
      <c r="BC34">
        <v>482</v>
      </c>
      <c r="BD34" t="s">
        <v>74</v>
      </c>
      <c r="BE34" t="s">
        <v>820</v>
      </c>
      <c r="BF34" t="str">
        <f>HYPERLINK("http://dx.doi.org/10.1007/s00300-020-02649-8","http://dx.doi.org/10.1007/s00300-020-02649-8")</f>
        <v>http://dx.doi.org/10.1007/s00300-020-02649-8</v>
      </c>
      <c r="BG34" t="s">
        <v>74</v>
      </c>
      <c r="BH34" t="s">
        <v>692</v>
      </c>
      <c r="BI34">
        <v>16</v>
      </c>
      <c r="BJ34" t="s">
        <v>130</v>
      </c>
      <c r="BK34" t="s">
        <v>103</v>
      </c>
      <c r="BL34" t="s">
        <v>131</v>
      </c>
      <c r="BM34" t="s">
        <v>693</v>
      </c>
      <c r="BN34" t="s">
        <v>74</v>
      </c>
      <c r="BO34" t="s">
        <v>74</v>
      </c>
      <c r="BP34" t="s">
        <v>74</v>
      </c>
      <c r="BQ34" t="s">
        <v>74</v>
      </c>
      <c r="BR34" t="s">
        <v>106</v>
      </c>
      <c r="BS34" t="s">
        <v>821</v>
      </c>
      <c r="BT34" t="str">
        <f>HYPERLINK("https%3A%2F%2Fwww.webofscience.com%2Fwos%2Fwoscc%2Ffull-record%2FWOS:000522177400001","View Full Record in Web of Science")</f>
        <v>View Full Record in Web of Science</v>
      </c>
    </row>
    <row r="35" spans="1:72" x14ac:dyDescent="0.15">
      <c r="A35" t="s">
        <v>72</v>
      </c>
      <c r="B35" t="s">
        <v>822</v>
      </c>
      <c r="C35" t="s">
        <v>74</v>
      </c>
      <c r="D35" t="s">
        <v>74</v>
      </c>
      <c r="E35" t="s">
        <v>74</v>
      </c>
      <c r="F35" t="s">
        <v>823</v>
      </c>
      <c r="G35" t="s">
        <v>74</v>
      </c>
      <c r="H35" t="s">
        <v>74</v>
      </c>
      <c r="I35" t="s">
        <v>824</v>
      </c>
      <c r="J35" t="s">
        <v>672</v>
      </c>
      <c r="K35" t="s">
        <v>74</v>
      </c>
      <c r="L35" t="s">
        <v>74</v>
      </c>
      <c r="M35" t="s">
        <v>78</v>
      </c>
      <c r="N35" t="s">
        <v>79</v>
      </c>
      <c r="O35" t="s">
        <v>74</v>
      </c>
      <c r="P35" t="s">
        <v>74</v>
      </c>
      <c r="Q35" t="s">
        <v>74</v>
      </c>
      <c r="R35" t="s">
        <v>74</v>
      </c>
      <c r="S35" t="s">
        <v>74</v>
      </c>
      <c r="T35" t="s">
        <v>825</v>
      </c>
      <c r="U35" t="s">
        <v>826</v>
      </c>
      <c r="V35" t="s">
        <v>827</v>
      </c>
      <c r="W35" t="s">
        <v>828</v>
      </c>
      <c r="X35" t="s">
        <v>829</v>
      </c>
      <c r="Y35" t="s">
        <v>830</v>
      </c>
      <c r="Z35" t="s">
        <v>831</v>
      </c>
      <c r="AA35" t="s">
        <v>832</v>
      </c>
      <c r="AB35" t="s">
        <v>833</v>
      </c>
      <c r="AC35" t="s">
        <v>834</v>
      </c>
      <c r="AD35" t="s">
        <v>834</v>
      </c>
      <c r="AE35" t="s">
        <v>835</v>
      </c>
      <c r="AF35" t="s">
        <v>74</v>
      </c>
      <c r="AG35">
        <v>55</v>
      </c>
      <c r="AH35">
        <v>4</v>
      </c>
      <c r="AI35">
        <v>5</v>
      </c>
      <c r="AJ35">
        <v>0</v>
      </c>
      <c r="AK35">
        <v>11</v>
      </c>
      <c r="AL35" t="s">
        <v>121</v>
      </c>
      <c r="AM35" t="s">
        <v>166</v>
      </c>
      <c r="AN35" t="s">
        <v>685</v>
      </c>
      <c r="AO35" t="s">
        <v>686</v>
      </c>
      <c r="AP35" t="s">
        <v>687</v>
      </c>
      <c r="AQ35" t="s">
        <v>74</v>
      </c>
      <c r="AR35" t="s">
        <v>688</v>
      </c>
      <c r="AS35" t="s">
        <v>689</v>
      </c>
      <c r="AT35" t="s">
        <v>690</v>
      </c>
      <c r="AU35">
        <v>2020</v>
      </c>
      <c r="AV35">
        <v>43</v>
      </c>
      <c r="AW35">
        <v>5</v>
      </c>
      <c r="AX35" t="s">
        <v>74</v>
      </c>
      <c r="AY35" t="s">
        <v>74</v>
      </c>
      <c r="AZ35" t="s">
        <v>74</v>
      </c>
      <c r="BA35" t="s">
        <v>74</v>
      </c>
      <c r="BB35">
        <v>607</v>
      </c>
      <c r="BC35">
        <v>615</v>
      </c>
      <c r="BD35" t="s">
        <v>74</v>
      </c>
      <c r="BE35" t="s">
        <v>836</v>
      </c>
      <c r="BF35" t="str">
        <f>HYPERLINK("http://dx.doi.org/10.1007/s00300-020-02650-1","http://dx.doi.org/10.1007/s00300-020-02650-1")</f>
        <v>http://dx.doi.org/10.1007/s00300-020-02650-1</v>
      </c>
      <c r="BG35" t="s">
        <v>74</v>
      </c>
      <c r="BH35" t="s">
        <v>692</v>
      </c>
      <c r="BI35">
        <v>9</v>
      </c>
      <c r="BJ35" t="s">
        <v>130</v>
      </c>
      <c r="BK35" t="s">
        <v>103</v>
      </c>
      <c r="BL35" t="s">
        <v>131</v>
      </c>
      <c r="BM35" t="s">
        <v>693</v>
      </c>
      <c r="BN35" t="s">
        <v>74</v>
      </c>
      <c r="BO35" t="s">
        <v>837</v>
      </c>
      <c r="BP35" t="s">
        <v>74</v>
      </c>
      <c r="BQ35" t="s">
        <v>74</v>
      </c>
      <c r="BR35" t="s">
        <v>106</v>
      </c>
      <c r="BS35" t="s">
        <v>838</v>
      </c>
      <c r="BT35" t="str">
        <f>HYPERLINK("https%3A%2F%2Fwww.webofscience.com%2Fwos%2Fwoscc%2Ffull-record%2FWOS:000522177400002","View Full Record in Web of Science")</f>
        <v>View Full Record in Web of Science</v>
      </c>
    </row>
    <row r="36" spans="1:72" x14ac:dyDescent="0.15">
      <c r="A36" t="s">
        <v>72</v>
      </c>
      <c r="B36" t="s">
        <v>839</v>
      </c>
      <c r="C36" t="s">
        <v>74</v>
      </c>
      <c r="D36" t="s">
        <v>74</v>
      </c>
      <c r="E36" t="s">
        <v>74</v>
      </c>
      <c r="F36" t="s">
        <v>840</v>
      </c>
      <c r="G36" t="s">
        <v>74</v>
      </c>
      <c r="H36" t="s">
        <v>74</v>
      </c>
      <c r="I36" t="s">
        <v>841</v>
      </c>
      <c r="J36" t="s">
        <v>842</v>
      </c>
      <c r="K36" t="s">
        <v>74</v>
      </c>
      <c r="L36" t="s">
        <v>74</v>
      </c>
      <c r="M36" t="s">
        <v>78</v>
      </c>
      <c r="N36" t="s">
        <v>79</v>
      </c>
      <c r="O36" t="s">
        <v>74</v>
      </c>
      <c r="P36" t="s">
        <v>74</v>
      </c>
      <c r="Q36" t="s">
        <v>74</v>
      </c>
      <c r="R36" t="s">
        <v>74</v>
      </c>
      <c r="S36" t="s">
        <v>74</v>
      </c>
      <c r="T36" t="s">
        <v>843</v>
      </c>
      <c r="U36" t="s">
        <v>844</v>
      </c>
      <c r="V36" t="s">
        <v>845</v>
      </c>
      <c r="W36" t="s">
        <v>846</v>
      </c>
      <c r="X36" t="s">
        <v>847</v>
      </c>
      <c r="Y36" t="s">
        <v>848</v>
      </c>
      <c r="Z36" t="s">
        <v>849</v>
      </c>
      <c r="AA36" t="s">
        <v>850</v>
      </c>
      <c r="AB36" t="s">
        <v>851</v>
      </c>
      <c r="AC36" t="s">
        <v>852</v>
      </c>
      <c r="AD36" t="s">
        <v>853</v>
      </c>
      <c r="AE36" t="s">
        <v>854</v>
      </c>
      <c r="AF36" t="s">
        <v>74</v>
      </c>
      <c r="AG36">
        <v>66</v>
      </c>
      <c r="AH36">
        <v>18</v>
      </c>
      <c r="AI36">
        <v>18</v>
      </c>
      <c r="AJ36">
        <v>1</v>
      </c>
      <c r="AK36">
        <v>7</v>
      </c>
      <c r="AL36" t="s">
        <v>855</v>
      </c>
      <c r="AM36" t="s">
        <v>266</v>
      </c>
      <c r="AN36" t="s">
        <v>856</v>
      </c>
      <c r="AO36" t="s">
        <v>857</v>
      </c>
      <c r="AP36" t="s">
        <v>858</v>
      </c>
      <c r="AQ36" t="s">
        <v>74</v>
      </c>
      <c r="AR36" t="s">
        <v>859</v>
      </c>
      <c r="AS36" t="s">
        <v>860</v>
      </c>
      <c r="AT36" t="s">
        <v>861</v>
      </c>
      <c r="AU36">
        <v>2020</v>
      </c>
      <c r="AV36">
        <v>47</v>
      </c>
      <c r="AW36">
        <v>6</v>
      </c>
      <c r="AX36" t="s">
        <v>74</v>
      </c>
      <c r="AY36" t="s">
        <v>74</v>
      </c>
      <c r="AZ36" t="s">
        <v>74</v>
      </c>
      <c r="BA36" t="s">
        <v>74</v>
      </c>
      <c r="BB36" t="s">
        <v>74</v>
      </c>
      <c r="BC36" t="s">
        <v>74</v>
      </c>
      <c r="BD36" t="s">
        <v>862</v>
      </c>
      <c r="BE36" t="s">
        <v>863</v>
      </c>
      <c r="BF36" t="str">
        <f>HYPERLINK("http://dx.doi.org/10.1029/2019GL086663","http://dx.doi.org/10.1029/2019GL086663")</f>
        <v>http://dx.doi.org/10.1029/2019GL086663</v>
      </c>
      <c r="BG36" t="s">
        <v>74</v>
      </c>
      <c r="BH36" t="s">
        <v>74</v>
      </c>
      <c r="BI36">
        <v>11</v>
      </c>
      <c r="BJ36" t="s">
        <v>246</v>
      </c>
      <c r="BK36" t="s">
        <v>103</v>
      </c>
      <c r="BL36" t="s">
        <v>247</v>
      </c>
      <c r="BM36" t="s">
        <v>864</v>
      </c>
      <c r="BN36" t="s">
        <v>74</v>
      </c>
      <c r="BO36" t="s">
        <v>865</v>
      </c>
      <c r="BP36" t="s">
        <v>74</v>
      </c>
      <c r="BQ36" t="s">
        <v>74</v>
      </c>
      <c r="BR36" t="s">
        <v>106</v>
      </c>
      <c r="BS36" t="s">
        <v>866</v>
      </c>
      <c r="BT36" t="str">
        <f>HYPERLINK("https%3A%2F%2Fwww.webofscience.com%2Fwos%2Fwoscc%2Ffull-record%2FWOS:000529097700028","View Full Record in Web of Science")</f>
        <v>View Full Record in Web of Science</v>
      </c>
    </row>
    <row r="37" spans="1:72" x14ac:dyDescent="0.15">
      <c r="A37" t="s">
        <v>72</v>
      </c>
      <c r="B37" t="s">
        <v>867</v>
      </c>
      <c r="C37" t="s">
        <v>74</v>
      </c>
      <c r="D37" t="s">
        <v>74</v>
      </c>
      <c r="E37" t="s">
        <v>74</v>
      </c>
      <c r="F37" t="s">
        <v>868</v>
      </c>
      <c r="G37" t="s">
        <v>74</v>
      </c>
      <c r="H37" t="s">
        <v>74</v>
      </c>
      <c r="I37" t="s">
        <v>869</v>
      </c>
      <c r="J37" t="s">
        <v>842</v>
      </c>
      <c r="K37" t="s">
        <v>74</v>
      </c>
      <c r="L37" t="s">
        <v>74</v>
      </c>
      <c r="M37" t="s">
        <v>78</v>
      </c>
      <c r="N37" t="s">
        <v>79</v>
      </c>
      <c r="O37" t="s">
        <v>74</v>
      </c>
      <c r="P37" t="s">
        <v>74</v>
      </c>
      <c r="Q37" t="s">
        <v>74</v>
      </c>
      <c r="R37" t="s">
        <v>74</v>
      </c>
      <c r="S37" t="s">
        <v>74</v>
      </c>
      <c r="T37" t="s">
        <v>870</v>
      </c>
      <c r="U37" t="s">
        <v>871</v>
      </c>
      <c r="V37" t="s">
        <v>872</v>
      </c>
      <c r="W37" t="s">
        <v>873</v>
      </c>
      <c r="X37" t="s">
        <v>874</v>
      </c>
      <c r="Y37" t="s">
        <v>875</v>
      </c>
      <c r="Z37" t="s">
        <v>876</v>
      </c>
      <c r="AA37" t="s">
        <v>877</v>
      </c>
      <c r="AB37" t="s">
        <v>878</v>
      </c>
      <c r="AC37" t="s">
        <v>879</v>
      </c>
      <c r="AD37" t="s">
        <v>880</v>
      </c>
      <c r="AE37" t="s">
        <v>881</v>
      </c>
      <c r="AF37" t="s">
        <v>74</v>
      </c>
      <c r="AG37">
        <v>44</v>
      </c>
      <c r="AH37">
        <v>23</v>
      </c>
      <c r="AI37">
        <v>25</v>
      </c>
      <c r="AJ37">
        <v>2</v>
      </c>
      <c r="AK37">
        <v>26</v>
      </c>
      <c r="AL37" t="s">
        <v>855</v>
      </c>
      <c r="AM37" t="s">
        <v>266</v>
      </c>
      <c r="AN37" t="s">
        <v>856</v>
      </c>
      <c r="AO37" t="s">
        <v>857</v>
      </c>
      <c r="AP37" t="s">
        <v>858</v>
      </c>
      <c r="AQ37" t="s">
        <v>74</v>
      </c>
      <c r="AR37" t="s">
        <v>859</v>
      </c>
      <c r="AS37" t="s">
        <v>860</v>
      </c>
      <c r="AT37" t="s">
        <v>861</v>
      </c>
      <c r="AU37">
        <v>2020</v>
      </c>
      <c r="AV37">
        <v>47</v>
      </c>
      <c r="AW37">
        <v>6</v>
      </c>
      <c r="AX37" t="s">
        <v>74</v>
      </c>
      <c r="AY37" t="s">
        <v>74</v>
      </c>
      <c r="AZ37" t="s">
        <v>74</v>
      </c>
      <c r="BA37" t="s">
        <v>74</v>
      </c>
      <c r="BB37" t="s">
        <v>74</v>
      </c>
      <c r="BC37" t="s">
        <v>74</v>
      </c>
      <c r="BD37" t="s">
        <v>882</v>
      </c>
      <c r="BE37" t="s">
        <v>883</v>
      </c>
      <c r="BF37" t="str">
        <f>HYPERLINK("http://dx.doi.org/10.1029/2019GL086649","http://dx.doi.org/10.1029/2019GL086649")</f>
        <v>http://dx.doi.org/10.1029/2019GL086649</v>
      </c>
      <c r="BG37" t="s">
        <v>74</v>
      </c>
      <c r="BH37" t="s">
        <v>74</v>
      </c>
      <c r="BI37">
        <v>10</v>
      </c>
      <c r="BJ37" t="s">
        <v>246</v>
      </c>
      <c r="BK37" t="s">
        <v>103</v>
      </c>
      <c r="BL37" t="s">
        <v>247</v>
      </c>
      <c r="BM37" t="s">
        <v>864</v>
      </c>
      <c r="BN37" t="s">
        <v>74</v>
      </c>
      <c r="BO37" t="s">
        <v>175</v>
      </c>
      <c r="BP37" t="s">
        <v>74</v>
      </c>
      <c r="BQ37" t="s">
        <v>74</v>
      </c>
      <c r="BR37" t="s">
        <v>106</v>
      </c>
      <c r="BS37" t="s">
        <v>884</v>
      </c>
      <c r="BT37" t="str">
        <f>HYPERLINK("https%3A%2F%2Fwww.webofscience.com%2Fwos%2Fwoscc%2Ffull-record%2FWOS:000529097700038","View Full Record in Web of Science")</f>
        <v>View Full Record in Web of Science</v>
      </c>
    </row>
    <row r="38" spans="1:72" x14ac:dyDescent="0.15">
      <c r="A38" t="s">
        <v>72</v>
      </c>
      <c r="B38" t="s">
        <v>885</v>
      </c>
      <c r="C38" t="s">
        <v>74</v>
      </c>
      <c r="D38" t="s">
        <v>74</v>
      </c>
      <c r="E38" t="s">
        <v>74</v>
      </c>
      <c r="F38" t="s">
        <v>886</v>
      </c>
      <c r="G38" t="s">
        <v>74</v>
      </c>
      <c r="H38" t="s">
        <v>74</v>
      </c>
      <c r="I38" t="s">
        <v>887</v>
      </c>
      <c r="J38" t="s">
        <v>888</v>
      </c>
      <c r="K38" t="s">
        <v>74</v>
      </c>
      <c r="L38" t="s">
        <v>74</v>
      </c>
      <c r="M38" t="s">
        <v>78</v>
      </c>
      <c r="N38" t="s">
        <v>79</v>
      </c>
      <c r="O38" t="s">
        <v>74</v>
      </c>
      <c r="P38" t="s">
        <v>74</v>
      </c>
      <c r="Q38" t="s">
        <v>74</v>
      </c>
      <c r="R38" t="s">
        <v>74</v>
      </c>
      <c r="S38" t="s">
        <v>74</v>
      </c>
      <c r="T38" t="s">
        <v>74</v>
      </c>
      <c r="U38" t="s">
        <v>889</v>
      </c>
      <c r="V38" t="s">
        <v>890</v>
      </c>
      <c r="W38" t="s">
        <v>891</v>
      </c>
      <c r="X38" t="s">
        <v>892</v>
      </c>
      <c r="Y38" t="s">
        <v>893</v>
      </c>
      <c r="Z38" t="s">
        <v>894</v>
      </c>
      <c r="AA38" t="s">
        <v>895</v>
      </c>
      <c r="AB38" t="s">
        <v>896</v>
      </c>
      <c r="AC38" t="s">
        <v>897</v>
      </c>
      <c r="AD38" t="s">
        <v>898</v>
      </c>
      <c r="AE38" t="s">
        <v>899</v>
      </c>
      <c r="AF38" t="s">
        <v>74</v>
      </c>
      <c r="AG38">
        <v>78</v>
      </c>
      <c r="AH38">
        <v>27</v>
      </c>
      <c r="AI38">
        <v>27</v>
      </c>
      <c r="AJ38">
        <v>1</v>
      </c>
      <c r="AK38">
        <v>15</v>
      </c>
      <c r="AL38" t="s">
        <v>855</v>
      </c>
      <c r="AM38" t="s">
        <v>266</v>
      </c>
      <c r="AN38" t="s">
        <v>856</v>
      </c>
      <c r="AO38" t="s">
        <v>900</v>
      </c>
      <c r="AP38" t="s">
        <v>901</v>
      </c>
      <c r="AQ38" t="s">
        <v>74</v>
      </c>
      <c r="AR38" t="s">
        <v>902</v>
      </c>
      <c r="AS38" t="s">
        <v>903</v>
      </c>
      <c r="AT38" t="s">
        <v>904</v>
      </c>
      <c r="AU38">
        <v>2020</v>
      </c>
      <c r="AV38">
        <v>125</v>
      </c>
      <c r="AW38">
        <v>6</v>
      </c>
      <c r="AX38" t="s">
        <v>74</v>
      </c>
      <c r="AY38" t="s">
        <v>74</v>
      </c>
      <c r="AZ38" t="s">
        <v>74</v>
      </c>
      <c r="BA38" t="s">
        <v>74</v>
      </c>
      <c r="BB38" t="s">
        <v>74</v>
      </c>
      <c r="BC38" t="s">
        <v>74</v>
      </c>
      <c r="BD38" t="s">
        <v>905</v>
      </c>
      <c r="BE38" t="s">
        <v>906</v>
      </c>
      <c r="BF38" t="str">
        <f>HYPERLINK("http://dx.doi.org/10.1029/2019JD031783","http://dx.doi.org/10.1029/2019JD031783")</f>
        <v>http://dx.doi.org/10.1029/2019JD031783</v>
      </c>
      <c r="BG38" t="s">
        <v>74</v>
      </c>
      <c r="BH38" t="s">
        <v>74</v>
      </c>
      <c r="BI38">
        <v>29</v>
      </c>
      <c r="BJ38" t="s">
        <v>907</v>
      </c>
      <c r="BK38" t="s">
        <v>103</v>
      </c>
      <c r="BL38" t="s">
        <v>907</v>
      </c>
      <c r="BM38" t="s">
        <v>908</v>
      </c>
      <c r="BN38" t="s">
        <v>74</v>
      </c>
      <c r="BO38" t="s">
        <v>298</v>
      </c>
      <c r="BP38" t="s">
        <v>74</v>
      </c>
      <c r="BQ38" t="s">
        <v>74</v>
      </c>
      <c r="BR38" t="s">
        <v>106</v>
      </c>
      <c r="BS38" t="s">
        <v>909</v>
      </c>
      <c r="BT38" t="str">
        <f>HYPERLINK("https%3A%2F%2Fwww.webofscience.com%2Fwos%2Fwoscc%2Ffull-record%2FWOS:000529111600040","View Full Record in Web of Science")</f>
        <v>View Full Record in Web of Science</v>
      </c>
    </row>
    <row r="39" spans="1:72" x14ac:dyDescent="0.15">
      <c r="A39" t="s">
        <v>72</v>
      </c>
      <c r="B39" t="s">
        <v>910</v>
      </c>
      <c r="C39" t="s">
        <v>74</v>
      </c>
      <c r="D39" t="s">
        <v>74</v>
      </c>
      <c r="E39" t="s">
        <v>74</v>
      </c>
      <c r="F39" t="s">
        <v>911</v>
      </c>
      <c r="G39" t="s">
        <v>74</v>
      </c>
      <c r="H39" t="s">
        <v>74</v>
      </c>
      <c r="I39" t="s">
        <v>912</v>
      </c>
      <c r="J39" t="s">
        <v>913</v>
      </c>
      <c r="K39" t="s">
        <v>74</v>
      </c>
      <c r="L39" t="s">
        <v>74</v>
      </c>
      <c r="M39" t="s">
        <v>78</v>
      </c>
      <c r="N39" t="s">
        <v>79</v>
      </c>
      <c r="O39" t="s">
        <v>74</v>
      </c>
      <c r="P39" t="s">
        <v>74</v>
      </c>
      <c r="Q39" t="s">
        <v>74</v>
      </c>
      <c r="R39" t="s">
        <v>74</v>
      </c>
      <c r="S39" t="s">
        <v>74</v>
      </c>
      <c r="T39" t="s">
        <v>74</v>
      </c>
      <c r="U39" t="s">
        <v>914</v>
      </c>
      <c r="V39" t="s">
        <v>915</v>
      </c>
      <c r="W39" t="s">
        <v>916</v>
      </c>
      <c r="X39" t="s">
        <v>917</v>
      </c>
      <c r="Y39" t="s">
        <v>918</v>
      </c>
      <c r="Z39" t="s">
        <v>919</v>
      </c>
      <c r="AA39" t="s">
        <v>920</v>
      </c>
      <c r="AB39" t="s">
        <v>921</v>
      </c>
      <c r="AC39" t="s">
        <v>922</v>
      </c>
      <c r="AD39" t="s">
        <v>923</v>
      </c>
      <c r="AE39" t="s">
        <v>924</v>
      </c>
      <c r="AF39" t="s">
        <v>74</v>
      </c>
      <c r="AG39">
        <v>26</v>
      </c>
      <c r="AH39">
        <v>15</v>
      </c>
      <c r="AI39">
        <v>18</v>
      </c>
      <c r="AJ39">
        <v>2</v>
      </c>
      <c r="AK39">
        <v>21</v>
      </c>
      <c r="AL39" t="s">
        <v>925</v>
      </c>
      <c r="AM39" t="s">
        <v>266</v>
      </c>
      <c r="AN39" t="s">
        <v>926</v>
      </c>
      <c r="AO39" t="s">
        <v>927</v>
      </c>
      <c r="AP39" t="s">
        <v>928</v>
      </c>
      <c r="AQ39" t="s">
        <v>74</v>
      </c>
      <c r="AR39" t="s">
        <v>929</v>
      </c>
      <c r="AS39" t="s">
        <v>930</v>
      </c>
      <c r="AT39" t="s">
        <v>904</v>
      </c>
      <c r="AU39">
        <v>2020</v>
      </c>
      <c r="AV39">
        <v>83</v>
      </c>
      <c r="AW39">
        <v>3</v>
      </c>
      <c r="AX39" t="s">
        <v>74</v>
      </c>
      <c r="AY39" t="s">
        <v>74</v>
      </c>
      <c r="AZ39" t="s">
        <v>342</v>
      </c>
      <c r="BA39" t="s">
        <v>74</v>
      </c>
      <c r="BB39">
        <v>706</v>
      </c>
      <c r="BC39">
        <v>713</v>
      </c>
      <c r="BD39" t="s">
        <v>74</v>
      </c>
      <c r="BE39" t="s">
        <v>931</v>
      </c>
      <c r="BF39" t="str">
        <f>HYPERLINK("http://dx.doi.org/10.1021/acs.jnatprod.0c00023","http://dx.doi.org/10.1021/acs.jnatprod.0c00023")</f>
        <v>http://dx.doi.org/10.1021/acs.jnatprod.0c00023</v>
      </c>
      <c r="BG39" t="s">
        <v>74</v>
      </c>
      <c r="BH39" t="s">
        <v>74</v>
      </c>
      <c r="BI39">
        <v>8</v>
      </c>
      <c r="BJ39" t="s">
        <v>932</v>
      </c>
      <c r="BK39" t="s">
        <v>933</v>
      </c>
      <c r="BL39" t="s">
        <v>934</v>
      </c>
      <c r="BM39" t="s">
        <v>935</v>
      </c>
      <c r="BN39">
        <v>32105471</v>
      </c>
      <c r="BO39" t="s">
        <v>74</v>
      </c>
      <c r="BP39" t="s">
        <v>74</v>
      </c>
      <c r="BQ39" t="s">
        <v>74</v>
      </c>
      <c r="BR39" t="s">
        <v>106</v>
      </c>
      <c r="BS39" t="s">
        <v>936</v>
      </c>
      <c r="BT39" t="str">
        <f>HYPERLINK("https%3A%2F%2Fwww.webofscience.com%2Fwos%2Fwoscc%2Ffull-record%2FWOS:000526306000017","View Full Record in Web of Science")</f>
        <v>View Full Record in Web of Science</v>
      </c>
    </row>
    <row r="40" spans="1:72" x14ac:dyDescent="0.15">
      <c r="A40" t="s">
        <v>72</v>
      </c>
      <c r="B40" t="s">
        <v>937</v>
      </c>
      <c r="C40" t="s">
        <v>74</v>
      </c>
      <c r="D40" t="s">
        <v>74</v>
      </c>
      <c r="E40" t="s">
        <v>74</v>
      </c>
      <c r="F40" t="s">
        <v>938</v>
      </c>
      <c r="G40" t="s">
        <v>74</v>
      </c>
      <c r="H40" t="s">
        <v>74</v>
      </c>
      <c r="I40" t="s">
        <v>939</v>
      </c>
      <c r="J40" t="s">
        <v>940</v>
      </c>
      <c r="K40" t="s">
        <v>74</v>
      </c>
      <c r="L40" t="s">
        <v>74</v>
      </c>
      <c r="M40" t="s">
        <v>78</v>
      </c>
      <c r="N40" t="s">
        <v>79</v>
      </c>
      <c r="O40" t="s">
        <v>74</v>
      </c>
      <c r="P40" t="s">
        <v>74</v>
      </c>
      <c r="Q40" t="s">
        <v>74</v>
      </c>
      <c r="R40" t="s">
        <v>74</v>
      </c>
      <c r="S40" t="s">
        <v>74</v>
      </c>
      <c r="T40" t="s">
        <v>74</v>
      </c>
      <c r="U40" t="s">
        <v>941</v>
      </c>
      <c r="V40" t="s">
        <v>942</v>
      </c>
      <c r="W40" t="s">
        <v>943</v>
      </c>
      <c r="X40" t="s">
        <v>74</v>
      </c>
      <c r="Y40" t="s">
        <v>944</v>
      </c>
      <c r="Z40" t="s">
        <v>945</v>
      </c>
      <c r="AA40" t="s">
        <v>946</v>
      </c>
      <c r="AB40" t="s">
        <v>947</v>
      </c>
      <c r="AC40" t="s">
        <v>948</v>
      </c>
      <c r="AD40" t="s">
        <v>949</v>
      </c>
      <c r="AE40" t="s">
        <v>950</v>
      </c>
      <c r="AF40" t="s">
        <v>74</v>
      </c>
      <c r="AG40">
        <v>43</v>
      </c>
      <c r="AH40">
        <v>5</v>
      </c>
      <c r="AI40">
        <v>5</v>
      </c>
      <c r="AJ40">
        <v>0</v>
      </c>
      <c r="AK40">
        <v>12</v>
      </c>
      <c r="AL40" t="s">
        <v>951</v>
      </c>
      <c r="AM40" t="s">
        <v>952</v>
      </c>
      <c r="AN40" t="s">
        <v>953</v>
      </c>
      <c r="AO40" t="s">
        <v>954</v>
      </c>
      <c r="AP40" t="s">
        <v>74</v>
      </c>
      <c r="AQ40" t="s">
        <v>74</v>
      </c>
      <c r="AR40" t="s">
        <v>955</v>
      </c>
      <c r="AS40" t="s">
        <v>956</v>
      </c>
      <c r="AT40" t="s">
        <v>957</v>
      </c>
      <c r="AU40">
        <v>2020</v>
      </c>
      <c r="AV40">
        <v>10</v>
      </c>
      <c r="AW40">
        <v>1</v>
      </c>
      <c r="AX40" t="s">
        <v>74</v>
      </c>
      <c r="AY40" t="s">
        <v>74</v>
      </c>
      <c r="AZ40" t="s">
        <v>74</v>
      </c>
      <c r="BA40" t="s">
        <v>74</v>
      </c>
      <c r="BB40" t="s">
        <v>74</v>
      </c>
      <c r="BC40" t="s">
        <v>74</v>
      </c>
      <c r="BD40">
        <v>5483</v>
      </c>
      <c r="BE40" t="s">
        <v>958</v>
      </c>
      <c r="BF40" t="str">
        <f>HYPERLINK("http://dx.doi.org/10.1038/s41598-020-62132-6","http://dx.doi.org/10.1038/s41598-020-62132-6")</f>
        <v>http://dx.doi.org/10.1038/s41598-020-62132-6</v>
      </c>
      <c r="BG40" t="s">
        <v>74</v>
      </c>
      <c r="BH40" t="s">
        <v>74</v>
      </c>
      <c r="BI40">
        <v>7</v>
      </c>
      <c r="BJ40" t="s">
        <v>322</v>
      </c>
      <c r="BK40" t="s">
        <v>103</v>
      </c>
      <c r="BL40" t="s">
        <v>323</v>
      </c>
      <c r="BM40" t="s">
        <v>959</v>
      </c>
      <c r="BN40">
        <v>32218483</v>
      </c>
      <c r="BO40" t="s">
        <v>276</v>
      </c>
      <c r="BP40" t="s">
        <v>74</v>
      </c>
      <c r="BQ40" t="s">
        <v>74</v>
      </c>
      <c r="BR40" t="s">
        <v>106</v>
      </c>
      <c r="BS40" t="s">
        <v>960</v>
      </c>
      <c r="BT40" t="str">
        <f>HYPERLINK("https%3A%2F%2Fwww.webofscience.com%2Fwos%2Fwoscc%2Ffull-record%2FWOS:000563332000001","View Full Record in Web of Science")</f>
        <v>View Full Record in Web of Science</v>
      </c>
    </row>
    <row r="41" spans="1:72" x14ac:dyDescent="0.15">
      <c r="A41" t="s">
        <v>72</v>
      </c>
      <c r="B41" t="s">
        <v>961</v>
      </c>
      <c r="C41" t="s">
        <v>74</v>
      </c>
      <c r="D41" t="s">
        <v>74</v>
      </c>
      <c r="E41" t="s">
        <v>74</v>
      </c>
      <c r="F41" t="s">
        <v>962</v>
      </c>
      <c r="G41" t="s">
        <v>74</v>
      </c>
      <c r="H41" t="s">
        <v>74</v>
      </c>
      <c r="I41" t="s">
        <v>963</v>
      </c>
      <c r="J41" t="s">
        <v>964</v>
      </c>
      <c r="K41" t="s">
        <v>74</v>
      </c>
      <c r="L41" t="s">
        <v>74</v>
      </c>
      <c r="M41" t="s">
        <v>78</v>
      </c>
      <c r="N41" t="s">
        <v>79</v>
      </c>
      <c r="O41" t="s">
        <v>74</v>
      </c>
      <c r="P41" t="s">
        <v>74</v>
      </c>
      <c r="Q41" t="s">
        <v>74</v>
      </c>
      <c r="R41" t="s">
        <v>74</v>
      </c>
      <c r="S41" t="s">
        <v>74</v>
      </c>
      <c r="T41" t="s">
        <v>74</v>
      </c>
      <c r="U41" t="s">
        <v>965</v>
      </c>
      <c r="V41" t="s">
        <v>966</v>
      </c>
      <c r="W41" t="s">
        <v>967</v>
      </c>
      <c r="X41" t="s">
        <v>968</v>
      </c>
      <c r="Y41" t="s">
        <v>969</v>
      </c>
      <c r="Z41" t="s">
        <v>970</v>
      </c>
      <c r="AA41" t="s">
        <v>971</v>
      </c>
      <c r="AB41" t="s">
        <v>972</v>
      </c>
      <c r="AC41" t="s">
        <v>973</v>
      </c>
      <c r="AD41" t="s">
        <v>974</v>
      </c>
      <c r="AE41" t="s">
        <v>975</v>
      </c>
      <c r="AF41" t="s">
        <v>74</v>
      </c>
      <c r="AG41">
        <v>22</v>
      </c>
      <c r="AH41">
        <v>0</v>
      </c>
      <c r="AI41">
        <v>0</v>
      </c>
      <c r="AJ41">
        <v>0</v>
      </c>
      <c r="AK41">
        <v>0</v>
      </c>
      <c r="AL41" t="s">
        <v>976</v>
      </c>
      <c r="AM41" t="s">
        <v>977</v>
      </c>
      <c r="AN41" t="s">
        <v>978</v>
      </c>
      <c r="AO41" t="s">
        <v>979</v>
      </c>
      <c r="AP41" t="s">
        <v>980</v>
      </c>
      <c r="AQ41" t="s">
        <v>74</v>
      </c>
      <c r="AR41" t="s">
        <v>981</v>
      </c>
      <c r="AS41" t="s">
        <v>982</v>
      </c>
      <c r="AT41" t="s">
        <v>957</v>
      </c>
      <c r="AU41">
        <v>2020</v>
      </c>
      <c r="AV41">
        <v>20</v>
      </c>
      <c r="AW41">
        <v>6</v>
      </c>
      <c r="AX41" t="s">
        <v>74</v>
      </c>
      <c r="AY41" t="s">
        <v>74</v>
      </c>
      <c r="AZ41" t="s">
        <v>74</v>
      </c>
      <c r="BA41" t="s">
        <v>74</v>
      </c>
      <c r="BB41">
        <v>3663</v>
      </c>
      <c r="BC41">
        <v>3668</v>
      </c>
      <c r="BD41" t="s">
        <v>74</v>
      </c>
      <c r="BE41" t="s">
        <v>983</v>
      </c>
      <c r="BF41" t="str">
        <f>HYPERLINK("http://dx.doi.org/10.5194/acp-20-3663-2020","http://dx.doi.org/10.5194/acp-20-3663-2020")</f>
        <v>http://dx.doi.org/10.5194/acp-20-3663-2020</v>
      </c>
      <c r="BG41" t="s">
        <v>74</v>
      </c>
      <c r="BH41" t="s">
        <v>74</v>
      </c>
      <c r="BI41">
        <v>6</v>
      </c>
      <c r="BJ41" t="s">
        <v>984</v>
      </c>
      <c r="BK41" t="s">
        <v>103</v>
      </c>
      <c r="BL41" t="s">
        <v>985</v>
      </c>
      <c r="BM41" t="s">
        <v>986</v>
      </c>
      <c r="BN41" t="s">
        <v>74</v>
      </c>
      <c r="BO41" t="s">
        <v>987</v>
      </c>
      <c r="BP41" t="s">
        <v>74</v>
      </c>
      <c r="BQ41" t="s">
        <v>74</v>
      </c>
      <c r="BR41" t="s">
        <v>106</v>
      </c>
      <c r="BS41" t="s">
        <v>988</v>
      </c>
      <c r="BT41" t="str">
        <f>HYPERLINK("https%3A%2F%2Fwww.webofscience.com%2Fwos%2Fwoscc%2Ffull-record%2FWOS:000522156100004","View Full Record in Web of Science")</f>
        <v>View Full Record in Web of Science</v>
      </c>
    </row>
    <row r="42" spans="1:72" x14ac:dyDescent="0.15">
      <c r="A42" t="s">
        <v>72</v>
      </c>
      <c r="B42" t="s">
        <v>989</v>
      </c>
      <c r="C42" t="s">
        <v>74</v>
      </c>
      <c r="D42" t="s">
        <v>74</v>
      </c>
      <c r="E42" t="s">
        <v>74</v>
      </c>
      <c r="F42" t="s">
        <v>990</v>
      </c>
      <c r="G42" t="s">
        <v>74</v>
      </c>
      <c r="H42" t="s">
        <v>74</v>
      </c>
      <c r="I42" t="s">
        <v>991</v>
      </c>
      <c r="J42" t="s">
        <v>992</v>
      </c>
      <c r="K42" t="s">
        <v>74</v>
      </c>
      <c r="L42" t="s">
        <v>74</v>
      </c>
      <c r="M42" t="s">
        <v>78</v>
      </c>
      <c r="N42" t="s">
        <v>79</v>
      </c>
      <c r="O42" t="s">
        <v>74</v>
      </c>
      <c r="P42" t="s">
        <v>74</v>
      </c>
      <c r="Q42" t="s">
        <v>74</v>
      </c>
      <c r="R42" t="s">
        <v>74</v>
      </c>
      <c r="S42" t="s">
        <v>74</v>
      </c>
      <c r="T42" t="s">
        <v>993</v>
      </c>
      <c r="U42" t="s">
        <v>994</v>
      </c>
      <c r="V42" t="s">
        <v>995</v>
      </c>
      <c r="W42" t="s">
        <v>996</v>
      </c>
      <c r="X42" t="s">
        <v>997</v>
      </c>
      <c r="Y42" t="s">
        <v>998</v>
      </c>
      <c r="Z42" t="s">
        <v>999</v>
      </c>
      <c r="AA42" t="s">
        <v>1000</v>
      </c>
      <c r="AB42" t="s">
        <v>1001</v>
      </c>
      <c r="AC42" t="s">
        <v>1002</v>
      </c>
      <c r="AD42" t="s">
        <v>1003</v>
      </c>
      <c r="AE42" t="s">
        <v>1004</v>
      </c>
      <c r="AF42" t="s">
        <v>74</v>
      </c>
      <c r="AG42">
        <v>73</v>
      </c>
      <c r="AH42">
        <v>8</v>
      </c>
      <c r="AI42">
        <v>8</v>
      </c>
      <c r="AJ42">
        <v>1</v>
      </c>
      <c r="AK42">
        <v>41</v>
      </c>
      <c r="AL42" t="s">
        <v>121</v>
      </c>
      <c r="AM42" t="s">
        <v>122</v>
      </c>
      <c r="AN42" t="s">
        <v>123</v>
      </c>
      <c r="AO42" t="s">
        <v>1005</v>
      </c>
      <c r="AP42" t="s">
        <v>1006</v>
      </c>
      <c r="AQ42" t="s">
        <v>74</v>
      </c>
      <c r="AR42" t="s">
        <v>1007</v>
      </c>
      <c r="AS42" t="s">
        <v>1008</v>
      </c>
      <c r="AT42" t="s">
        <v>733</v>
      </c>
      <c r="AU42">
        <v>2020</v>
      </c>
      <c r="AV42">
        <v>32</v>
      </c>
      <c r="AW42">
        <v>3</v>
      </c>
      <c r="AX42" t="s">
        <v>74</v>
      </c>
      <c r="AY42" t="s">
        <v>74</v>
      </c>
      <c r="AZ42" t="s">
        <v>74</v>
      </c>
      <c r="BA42" t="s">
        <v>74</v>
      </c>
      <c r="BB42">
        <v>2105</v>
      </c>
      <c r="BC42">
        <v>2114</v>
      </c>
      <c r="BD42" t="s">
        <v>74</v>
      </c>
      <c r="BE42" t="s">
        <v>1009</v>
      </c>
      <c r="BF42" t="str">
        <f>HYPERLINK("http://dx.doi.org/10.1007/s10811-020-02084-6","http://dx.doi.org/10.1007/s10811-020-02084-6")</f>
        <v>http://dx.doi.org/10.1007/s10811-020-02084-6</v>
      </c>
      <c r="BG42" t="s">
        <v>74</v>
      </c>
      <c r="BH42" t="s">
        <v>692</v>
      </c>
      <c r="BI42">
        <v>10</v>
      </c>
      <c r="BJ42" t="s">
        <v>1010</v>
      </c>
      <c r="BK42" t="s">
        <v>103</v>
      </c>
      <c r="BL42" t="s">
        <v>1010</v>
      </c>
      <c r="BM42" t="s">
        <v>1011</v>
      </c>
      <c r="BN42" t="s">
        <v>74</v>
      </c>
      <c r="BO42" t="s">
        <v>74</v>
      </c>
      <c r="BP42" t="s">
        <v>74</v>
      </c>
      <c r="BQ42" t="s">
        <v>74</v>
      </c>
      <c r="BR42" t="s">
        <v>106</v>
      </c>
      <c r="BS42" t="s">
        <v>1012</v>
      </c>
      <c r="BT42" t="str">
        <f>HYPERLINK("https%3A%2F%2Fwww.webofscience.com%2Fwos%2Fwoscc%2Ffull-record%2FWOS:000521873000001","View Full Record in Web of Science")</f>
        <v>View Full Record in Web of Science</v>
      </c>
    </row>
    <row r="43" spans="1:72" x14ac:dyDescent="0.15">
      <c r="A43" t="s">
        <v>72</v>
      </c>
      <c r="B43" t="s">
        <v>1013</v>
      </c>
      <c r="C43" t="s">
        <v>74</v>
      </c>
      <c r="D43" t="s">
        <v>74</v>
      </c>
      <c r="E43" t="s">
        <v>74</v>
      </c>
      <c r="F43" t="s">
        <v>1014</v>
      </c>
      <c r="G43" t="s">
        <v>74</v>
      </c>
      <c r="H43" t="s">
        <v>74</v>
      </c>
      <c r="I43" t="s">
        <v>1015</v>
      </c>
      <c r="J43" t="s">
        <v>1016</v>
      </c>
      <c r="K43" t="s">
        <v>74</v>
      </c>
      <c r="L43" t="s">
        <v>74</v>
      </c>
      <c r="M43" t="s">
        <v>78</v>
      </c>
      <c r="N43" t="s">
        <v>79</v>
      </c>
      <c r="O43" t="s">
        <v>74</v>
      </c>
      <c r="P43" t="s">
        <v>74</v>
      </c>
      <c r="Q43" t="s">
        <v>74</v>
      </c>
      <c r="R43" t="s">
        <v>74</v>
      </c>
      <c r="S43" t="s">
        <v>74</v>
      </c>
      <c r="T43" t="s">
        <v>1017</v>
      </c>
      <c r="U43" t="s">
        <v>1018</v>
      </c>
      <c r="V43" t="s">
        <v>1019</v>
      </c>
      <c r="W43" t="s">
        <v>1020</v>
      </c>
      <c r="X43" t="s">
        <v>1021</v>
      </c>
      <c r="Y43" t="s">
        <v>1022</v>
      </c>
      <c r="Z43" t="s">
        <v>1023</v>
      </c>
      <c r="AA43" t="s">
        <v>1024</v>
      </c>
      <c r="AB43" t="s">
        <v>1025</v>
      </c>
      <c r="AC43" t="s">
        <v>1026</v>
      </c>
      <c r="AD43" t="s">
        <v>1027</v>
      </c>
      <c r="AE43" t="s">
        <v>1028</v>
      </c>
      <c r="AF43" t="s">
        <v>74</v>
      </c>
      <c r="AG43">
        <v>47</v>
      </c>
      <c r="AH43">
        <v>3</v>
      </c>
      <c r="AI43">
        <v>3</v>
      </c>
      <c r="AJ43">
        <v>1</v>
      </c>
      <c r="AK43">
        <v>16</v>
      </c>
      <c r="AL43" t="s">
        <v>211</v>
      </c>
      <c r="AM43" t="s">
        <v>212</v>
      </c>
      <c r="AN43" t="s">
        <v>213</v>
      </c>
      <c r="AO43" t="s">
        <v>1029</v>
      </c>
      <c r="AP43" t="s">
        <v>1030</v>
      </c>
      <c r="AQ43" t="s">
        <v>74</v>
      </c>
      <c r="AR43" t="s">
        <v>1031</v>
      </c>
      <c r="AS43" t="s">
        <v>1032</v>
      </c>
      <c r="AT43" t="s">
        <v>1033</v>
      </c>
      <c r="AU43">
        <v>2021</v>
      </c>
      <c r="AV43">
        <v>72</v>
      </c>
      <c r="AW43">
        <v>1</v>
      </c>
      <c r="AX43" t="s">
        <v>74</v>
      </c>
      <c r="AY43" t="s">
        <v>74</v>
      </c>
      <c r="AZ43" t="s">
        <v>74</v>
      </c>
      <c r="BA43" t="s">
        <v>74</v>
      </c>
      <c r="BB43">
        <v>413</v>
      </c>
      <c r="BC43">
        <v>431</v>
      </c>
      <c r="BD43" t="s">
        <v>74</v>
      </c>
      <c r="BE43" t="s">
        <v>1034</v>
      </c>
      <c r="BF43" t="str">
        <f>HYPERLINK("http://dx.doi.org/10.1111/ejss.12957","http://dx.doi.org/10.1111/ejss.12957")</f>
        <v>http://dx.doi.org/10.1111/ejss.12957</v>
      </c>
      <c r="BG43" t="s">
        <v>74</v>
      </c>
      <c r="BH43" t="s">
        <v>692</v>
      </c>
      <c r="BI43">
        <v>19</v>
      </c>
      <c r="BJ43" t="s">
        <v>1035</v>
      </c>
      <c r="BK43" t="s">
        <v>103</v>
      </c>
      <c r="BL43" t="s">
        <v>1036</v>
      </c>
      <c r="BM43" t="s">
        <v>1037</v>
      </c>
      <c r="BN43" t="s">
        <v>74</v>
      </c>
      <c r="BO43" t="s">
        <v>74</v>
      </c>
      <c r="BP43" t="s">
        <v>74</v>
      </c>
      <c r="BQ43" t="s">
        <v>74</v>
      </c>
      <c r="BR43" t="s">
        <v>106</v>
      </c>
      <c r="BS43" t="s">
        <v>1038</v>
      </c>
      <c r="BT43" t="str">
        <f>HYPERLINK("https%3A%2F%2Fwww.webofscience.com%2Fwos%2Fwoscc%2Ffull-record%2FWOS:000521633200001","View Full Record in Web of Science")</f>
        <v>View Full Record in Web of Science</v>
      </c>
    </row>
    <row r="44" spans="1:72" x14ac:dyDescent="0.15">
      <c r="A44" t="s">
        <v>72</v>
      </c>
      <c r="B44" t="s">
        <v>1039</v>
      </c>
      <c r="C44" t="s">
        <v>74</v>
      </c>
      <c r="D44" t="s">
        <v>74</v>
      </c>
      <c r="E44" t="s">
        <v>74</v>
      </c>
      <c r="F44" t="s">
        <v>1040</v>
      </c>
      <c r="G44" t="s">
        <v>74</v>
      </c>
      <c r="H44" t="s">
        <v>74</v>
      </c>
      <c r="I44" t="s">
        <v>1041</v>
      </c>
      <c r="J44" t="s">
        <v>1042</v>
      </c>
      <c r="K44" t="s">
        <v>74</v>
      </c>
      <c r="L44" t="s">
        <v>74</v>
      </c>
      <c r="M44" t="s">
        <v>78</v>
      </c>
      <c r="N44" t="s">
        <v>79</v>
      </c>
      <c r="O44" t="s">
        <v>74</v>
      </c>
      <c r="P44" t="s">
        <v>74</v>
      </c>
      <c r="Q44" t="s">
        <v>74</v>
      </c>
      <c r="R44" t="s">
        <v>74</v>
      </c>
      <c r="S44" t="s">
        <v>74</v>
      </c>
      <c r="T44" t="s">
        <v>1043</v>
      </c>
      <c r="U44" t="s">
        <v>1044</v>
      </c>
      <c r="V44" t="s">
        <v>1045</v>
      </c>
      <c r="W44" t="s">
        <v>1046</v>
      </c>
      <c r="X44" t="s">
        <v>1047</v>
      </c>
      <c r="Y44" t="s">
        <v>1048</v>
      </c>
      <c r="Z44" t="s">
        <v>1049</v>
      </c>
      <c r="AA44" t="s">
        <v>1050</v>
      </c>
      <c r="AB44" t="s">
        <v>1051</v>
      </c>
      <c r="AC44" t="s">
        <v>1052</v>
      </c>
      <c r="AD44" t="s">
        <v>1053</v>
      </c>
      <c r="AE44" t="s">
        <v>1054</v>
      </c>
      <c r="AF44" t="s">
        <v>74</v>
      </c>
      <c r="AG44">
        <v>76</v>
      </c>
      <c r="AH44">
        <v>12</v>
      </c>
      <c r="AI44">
        <v>13</v>
      </c>
      <c r="AJ44">
        <v>0</v>
      </c>
      <c r="AK44">
        <v>29</v>
      </c>
      <c r="AL44" t="s">
        <v>1055</v>
      </c>
      <c r="AM44" t="s">
        <v>435</v>
      </c>
      <c r="AN44" t="s">
        <v>1056</v>
      </c>
      <c r="AO44" t="s">
        <v>1057</v>
      </c>
      <c r="AP44" t="s">
        <v>74</v>
      </c>
      <c r="AQ44" t="s">
        <v>74</v>
      </c>
      <c r="AR44" t="s">
        <v>1058</v>
      </c>
      <c r="AS44" t="s">
        <v>1059</v>
      </c>
      <c r="AT44" t="s">
        <v>957</v>
      </c>
      <c r="AU44">
        <v>2020</v>
      </c>
      <c r="AV44">
        <v>8</v>
      </c>
      <c r="AW44" t="s">
        <v>74</v>
      </c>
      <c r="AX44" t="s">
        <v>74</v>
      </c>
      <c r="AY44" t="s">
        <v>74</v>
      </c>
      <c r="AZ44" t="s">
        <v>74</v>
      </c>
      <c r="BA44" t="s">
        <v>74</v>
      </c>
      <c r="BB44" t="s">
        <v>74</v>
      </c>
      <c r="BC44" t="s">
        <v>74</v>
      </c>
      <c r="BD44" t="s">
        <v>1060</v>
      </c>
      <c r="BE44" t="s">
        <v>1061</v>
      </c>
      <c r="BF44" t="str">
        <f>HYPERLINK("http://dx.doi.org/10.1093/conphys/coaa013","http://dx.doi.org/10.1093/conphys/coaa013")</f>
        <v>http://dx.doi.org/10.1093/conphys/coaa013</v>
      </c>
      <c r="BG44" t="s">
        <v>74</v>
      </c>
      <c r="BH44" t="s">
        <v>74</v>
      </c>
      <c r="BI44">
        <v>17</v>
      </c>
      <c r="BJ44" t="s">
        <v>1062</v>
      </c>
      <c r="BK44" t="s">
        <v>103</v>
      </c>
      <c r="BL44" t="s">
        <v>1063</v>
      </c>
      <c r="BM44" t="s">
        <v>1064</v>
      </c>
      <c r="BN44">
        <v>32257214</v>
      </c>
      <c r="BO44" t="s">
        <v>276</v>
      </c>
      <c r="BP44" t="s">
        <v>74</v>
      </c>
      <c r="BQ44" t="s">
        <v>74</v>
      </c>
      <c r="BR44" t="s">
        <v>106</v>
      </c>
      <c r="BS44" t="s">
        <v>1065</v>
      </c>
      <c r="BT44" t="str">
        <f>HYPERLINK("https%3A%2F%2Fwww.webofscience.com%2Fwos%2Fwoscc%2Ffull-record%2FWOS:000522814800001","View Full Record in Web of Science")</f>
        <v>View Full Record in Web of Science</v>
      </c>
    </row>
    <row r="45" spans="1:72" x14ac:dyDescent="0.15">
      <c r="A45" t="s">
        <v>72</v>
      </c>
      <c r="B45" t="s">
        <v>1066</v>
      </c>
      <c r="C45" t="s">
        <v>74</v>
      </c>
      <c r="D45" t="s">
        <v>74</v>
      </c>
      <c r="E45" t="s">
        <v>74</v>
      </c>
      <c r="F45" t="s">
        <v>1067</v>
      </c>
      <c r="G45" t="s">
        <v>74</v>
      </c>
      <c r="H45" t="s">
        <v>74</v>
      </c>
      <c r="I45" t="s">
        <v>1068</v>
      </c>
      <c r="J45" t="s">
        <v>940</v>
      </c>
      <c r="K45" t="s">
        <v>74</v>
      </c>
      <c r="L45" t="s">
        <v>74</v>
      </c>
      <c r="M45" t="s">
        <v>78</v>
      </c>
      <c r="N45" t="s">
        <v>79</v>
      </c>
      <c r="O45" t="s">
        <v>74</v>
      </c>
      <c r="P45" t="s">
        <v>74</v>
      </c>
      <c r="Q45" t="s">
        <v>74</v>
      </c>
      <c r="R45" t="s">
        <v>74</v>
      </c>
      <c r="S45" t="s">
        <v>74</v>
      </c>
      <c r="T45" t="s">
        <v>74</v>
      </c>
      <c r="U45" t="s">
        <v>1069</v>
      </c>
      <c r="V45" t="s">
        <v>1070</v>
      </c>
      <c r="W45" t="s">
        <v>1071</v>
      </c>
      <c r="X45" t="s">
        <v>1072</v>
      </c>
      <c r="Y45" t="s">
        <v>1073</v>
      </c>
      <c r="Z45" t="s">
        <v>1074</v>
      </c>
      <c r="AA45" t="s">
        <v>1075</v>
      </c>
      <c r="AB45" t="s">
        <v>1076</v>
      </c>
      <c r="AC45" t="s">
        <v>1077</v>
      </c>
      <c r="AD45" t="s">
        <v>1078</v>
      </c>
      <c r="AE45" t="s">
        <v>1079</v>
      </c>
      <c r="AF45" t="s">
        <v>74</v>
      </c>
      <c r="AG45">
        <v>50</v>
      </c>
      <c r="AH45">
        <v>45</v>
      </c>
      <c r="AI45">
        <v>46</v>
      </c>
      <c r="AJ45">
        <v>0</v>
      </c>
      <c r="AK45">
        <v>21</v>
      </c>
      <c r="AL45" t="s">
        <v>951</v>
      </c>
      <c r="AM45" t="s">
        <v>952</v>
      </c>
      <c r="AN45" t="s">
        <v>953</v>
      </c>
      <c r="AO45" t="s">
        <v>954</v>
      </c>
      <c r="AP45" t="s">
        <v>74</v>
      </c>
      <c r="AQ45" t="s">
        <v>74</v>
      </c>
      <c r="AR45" t="s">
        <v>955</v>
      </c>
      <c r="AS45" t="s">
        <v>956</v>
      </c>
      <c r="AT45" t="s">
        <v>957</v>
      </c>
      <c r="AU45">
        <v>2020</v>
      </c>
      <c r="AV45">
        <v>10</v>
      </c>
      <c r="AW45">
        <v>1</v>
      </c>
      <c r="AX45" t="s">
        <v>74</v>
      </c>
      <c r="AY45" t="s">
        <v>74</v>
      </c>
      <c r="AZ45" t="s">
        <v>74</v>
      </c>
      <c r="BA45" t="s">
        <v>74</v>
      </c>
      <c r="BB45" t="s">
        <v>74</v>
      </c>
      <c r="BC45" t="s">
        <v>74</v>
      </c>
      <c r="BD45">
        <v>5552</v>
      </c>
      <c r="BE45" t="s">
        <v>1080</v>
      </c>
      <c r="BF45" t="str">
        <f>HYPERLINK("http://dx.doi.org/10.1038/s41598-020-62340-0","http://dx.doi.org/10.1038/s41598-020-62340-0")</f>
        <v>http://dx.doi.org/10.1038/s41598-020-62340-0</v>
      </c>
      <c r="BG45" t="s">
        <v>74</v>
      </c>
      <c r="BH45" t="s">
        <v>74</v>
      </c>
      <c r="BI45">
        <v>8</v>
      </c>
      <c r="BJ45" t="s">
        <v>322</v>
      </c>
      <c r="BK45" t="s">
        <v>103</v>
      </c>
      <c r="BL45" t="s">
        <v>323</v>
      </c>
      <c r="BM45" t="s">
        <v>1081</v>
      </c>
      <c r="BN45">
        <v>32218472</v>
      </c>
      <c r="BO45" t="s">
        <v>276</v>
      </c>
      <c r="BP45" t="s">
        <v>74</v>
      </c>
      <c r="BQ45" t="s">
        <v>74</v>
      </c>
      <c r="BR45" t="s">
        <v>106</v>
      </c>
      <c r="BS45" t="s">
        <v>1082</v>
      </c>
      <c r="BT45" t="str">
        <f>HYPERLINK("https%3A%2F%2Fwww.webofscience.com%2Fwos%2Fwoscc%2Ffull-record%2FWOS:000563342300011","View Full Record in Web of Science")</f>
        <v>View Full Record in Web of Science</v>
      </c>
    </row>
    <row r="46" spans="1:72" x14ac:dyDescent="0.15">
      <c r="A46" t="s">
        <v>72</v>
      </c>
      <c r="B46" t="s">
        <v>1083</v>
      </c>
      <c r="C46" t="s">
        <v>74</v>
      </c>
      <c r="D46" t="s">
        <v>74</v>
      </c>
      <c r="E46" t="s">
        <v>74</v>
      </c>
      <c r="F46" t="s">
        <v>1084</v>
      </c>
      <c r="G46" t="s">
        <v>74</v>
      </c>
      <c r="H46" t="s">
        <v>74</v>
      </c>
      <c r="I46" t="s">
        <v>1085</v>
      </c>
      <c r="J46" t="s">
        <v>940</v>
      </c>
      <c r="K46" t="s">
        <v>74</v>
      </c>
      <c r="L46" t="s">
        <v>74</v>
      </c>
      <c r="M46" t="s">
        <v>78</v>
      </c>
      <c r="N46" t="s">
        <v>79</v>
      </c>
      <c r="O46" t="s">
        <v>74</v>
      </c>
      <c r="P46" t="s">
        <v>74</v>
      </c>
      <c r="Q46" t="s">
        <v>74</v>
      </c>
      <c r="R46" t="s">
        <v>74</v>
      </c>
      <c r="S46" t="s">
        <v>74</v>
      </c>
      <c r="T46" t="s">
        <v>74</v>
      </c>
      <c r="U46" t="s">
        <v>1086</v>
      </c>
      <c r="V46" t="s">
        <v>1087</v>
      </c>
      <c r="W46" t="s">
        <v>1088</v>
      </c>
      <c r="X46" t="s">
        <v>1089</v>
      </c>
      <c r="Y46" t="s">
        <v>1090</v>
      </c>
      <c r="Z46" t="s">
        <v>1091</v>
      </c>
      <c r="AA46" t="s">
        <v>1092</v>
      </c>
      <c r="AB46" t="s">
        <v>1093</v>
      </c>
      <c r="AC46" t="s">
        <v>1094</v>
      </c>
      <c r="AD46" t="s">
        <v>1095</v>
      </c>
      <c r="AE46" t="s">
        <v>1096</v>
      </c>
      <c r="AF46" t="s">
        <v>74</v>
      </c>
      <c r="AG46">
        <v>124</v>
      </c>
      <c r="AH46">
        <v>6</v>
      </c>
      <c r="AI46">
        <v>6</v>
      </c>
      <c r="AJ46">
        <v>0</v>
      </c>
      <c r="AK46">
        <v>5</v>
      </c>
      <c r="AL46" t="s">
        <v>753</v>
      </c>
      <c r="AM46" t="s">
        <v>545</v>
      </c>
      <c r="AN46" t="s">
        <v>1097</v>
      </c>
      <c r="AO46" t="s">
        <v>954</v>
      </c>
      <c r="AP46" t="s">
        <v>74</v>
      </c>
      <c r="AQ46" t="s">
        <v>74</v>
      </c>
      <c r="AR46" t="s">
        <v>955</v>
      </c>
      <c r="AS46" t="s">
        <v>956</v>
      </c>
      <c r="AT46" t="s">
        <v>1098</v>
      </c>
      <c r="AU46">
        <v>2020</v>
      </c>
      <c r="AV46">
        <v>10</v>
      </c>
      <c r="AW46">
        <v>1</v>
      </c>
      <c r="AX46" t="s">
        <v>74</v>
      </c>
      <c r="AY46" t="s">
        <v>74</v>
      </c>
      <c r="AZ46" t="s">
        <v>74</v>
      </c>
      <c r="BA46" t="s">
        <v>74</v>
      </c>
      <c r="BB46" t="s">
        <v>74</v>
      </c>
      <c r="BC46" t="s">
        <v>74</v>
      </c>
      <c r="BD46">
        <v>5455</v>
      </c>
      <c r="BE46" t="s">
        <v>1099</v>
      </c>
      <c r="BF46" t="str">
        <f>HYPERLINK("http://dx.doi.org/10.1038/s41598-020-61528-8","http://dx.doi.org/10.1038/s41598-020-61528-8")</f>
        <v>http://dx.doi.org/10.1038/s41598-020-61528-8</v>
      </c>
      <c r="BG46" t="s">
        <v>74</v>
      </c>
      <c r="BH46" t="s">
        <v>74</v>
      </c>
      <c r="BI46">
        <v>13</v>
      </c>
      <c r="BJ46" t="s">
        <v>322</v>
      </c>
      <c r="BK46" t="s">
        <v>103</v>
      </c>
      <c r="BL46" t="s">
        <v>323</v>
      </c>
      <c r="BM46" t="s">
        <v>1100</v>
      </c>
      <c r="BN46">
        <v>32214119</v>
      </c>
      <c r="BO46" t="s">
        <v>1101</v>
      </c>
      <c r="BP46" t="s">
        <v>74</v>
      </c>
      <c r="BQ46" t="s">
        <v>74</v>
      </c>
      <c r="BR46" t="s">
        <v>106</v>
      </c>
      <c r="BS46" t="s">
        <v>1102</v>
      </c>
      <c r="BT46" t="str">
        <f>HYPERLINK("https%3A%2F%2Fwww.webofscience.com%2Fwos%2Fwoscc%2Ffull-record%2FWOS:000560015500011","View Full Record in Web of Science")</f>
        <v>View Full Record in Web of Science</v>
      </c>
    </row>
    <row r="47" spans="1:72" x14ac:dyDescent="0.15">
      <c r="A47" t="s">
        <v>72</v>
      </c>
      <c r="B47" t="s">
        <v>1103</v>
      </c>
      <c r="C47" t="s">
        <v>74</v>
      </c>
      <c r="D47" t="s">
        <v>74</v>
      </c>
      <c r="E47" t="s">
        <v>74</v>
      </c>
      <c r="F47" t="s">
        <v>1104</v>
      </c>
      <c r="G47" t="s">
        <v>74</v>
      </c>
      <c r="H47" t="s">
        <v>74</v>
      </c>
      <c r="I47" t="s">
        <v>1105</v>
      </c>
      <c r="J47" t="s">
        <v>1106</v>
      </c>
      <c r="K47" t="s">
        <v>74</v>
      </c>
      <c r="L47" t="s">
        <v>74</v>
      </c>
      <c r="M47" t="s">
        <v>78</v>
      </c>
      <c r="N47" t="s">
        <v>79</v>
      </c>
      <c r="O47" t="s">
        <v>74</v>
      </c>
      <c r="P47" t="s">
        <v>74</v>
      </c>
      <c r="Q47" t="s">
        <v>74</v>
      </c>
      <c r="R47" t="s">
        <v>74</v>
      </c>
      <c r="S47" t="s">
        <v>74</v>
      </c>
      <c r="T47" t="s">
        <v>1107</v>
      </c>
      <c r="U47" t="s">
        <v>1108</v>
      </c>
      <c r="V47" t="s">
        <v>1109</v>
      </c>
      <c r="W47" t="s">
        <v>1110</v>
      </c>
      <c r="X47" t="s">
        <v>1111</v>
      </c>
      <c r="Y47" t="s">
        <v>1112</v>
      </c>
      <c r="Z47" t="s">
        <v>1113</v>
      </c>
      <c r="AA47" t="s">
        <v>1114</v>
      </c>
      <c r="AB47" t="s">
        <v>1115</v>
      </c>
      <c r="AC47" t="s">
        <v>1116</v>
      </c>
      <c r="AD47" t="s">
        <v>1117</v>
      </c>
      <c r="AE47" t="s">
        <v>1118</v>
      </c>
      <c r="AF47" t="s">
        <v>74</v>
      </c>
      <c r="AG47">
        <v>109</v>
      </c>
      <c r="AH47">
        <v>8</v>
      </c>
      <c r="AI47">
        <v>9</v>
      </c>
      <c r="AJ47">
        <v>4</v>
      </c>
      <c r="AK47">
        <v>11</v>
      </c>
      <c r="AL47" t="s">
        <v>121</v>
      </c>
      <c r="AM47" t="s">
        <v>166</v>
      </c>
      <c r="AN47" t="s">
        <v>685</v>
      </c>
      <c r="AO47" t="s">
        <v>1119</v>
      </c>
      <c r="AP47" t="s">
        <v>1120</v>
      </c>
      <c r="AQ47" t="s">
        <v>74</v>
      </c>
      <c r="AR47" t="s">
        <v>1121</v>
      </c>
      <c r="AS47" t="s">
        <v>1122</v>
      </c>
      <c r="AT47" t="s">
        <v>690</v>
      </c>
      <c r="AU47">
        <v>2020</v>
      </c>
      <c r="AV47">
        <v>54</v>
      </c>
      <c r="AW47" t="s">
        <v>1123</v>
      </c>
      <c r="AX47" t="s">
        <v>74</v>
      </c>
      <c r="AY47" t="s">
        <v>74</v>
      </c>
      <c r="AZ47" t="s">
        <v>74</v>
      </c>
      <c r="BA47" t="s">
        <v>74</v>
      </c>
      <c r="BB47">
        <v>3991</v>
      </c>
      <c r="BC47">
        <v>4004</v>
      </c>
      <c r="BD47" t="s">
        <v>74</v>
      </c>
      <c r="BE47" t="s">
        <v>1124</v>
      </c>
      <c r="BF47" t="str">
        <f>HYPERLINK("http://dx.doi.org/10.1007/s00382-020-05217-2","http://dx.doi.org/10.1007/s00382-020-05217-2")</f>
        <v>http://dx.doi.org/10.1007/s00382-020-05217-2</v>
      </c>
      <c r="BG47" t="s">
        <v>74</v>
      </c>
      <c r="BH47" t="s">
        <v>692</v>
      </c>
      <c r="BI47">
        <v>14</v>
      </c>
      <c r="BJ47" t="s">
        <v>907</v>
      </c>
      <c r="BK47" t="s">
        <v>103</v>
      </c>
      <c r="BL47" t="s">
        <v>907</v>
      </c>
      <c r="BM47" t="s">
        <v>1125</v>
      </c>
      <c r="BN47" t="s">
        <v>74</v>
      </c>
      <c r="BO47" t="s">
        <v>74</v>
      </c>
      <c r="BP47" t="s">
        <v>74</v>
      </c>
      <c r="BQ47" t="s">
        <v>74</v>
      </c>
      <c r="BR47" t="s">
        <v>106</v>
      </c>
      <c r="BS47" t="s">
        <v>1126</v>
      </c>
      <c r="BT47" t="str">
        <f>HYPERLINK("https%3A%2F%2Fwww.webofscience.com%2Fwos%2Fwoscc%2Ffull-record%2FWOS:000521792500001","View Full Record in Web of Science")</f>
        <v>View Full Record in Web of Science</v>
      </c>
    </row>
    <row r="48" spans="1:72" x14ac:dyDescent="0.15">
      <c r="A48" t="s">
        <v>72</v>
      </c>
      <c r="B48" t="s">
        <v>1127</v>
      </c>
      <c r="C48" t="s">
        <v>74</v>
      </c>
      <c r="D48" t="s">
        <v>74</v>
      </c>
      <c r="E48" t="s">
        <v>74</v>
      </c>
      <c r="F48" t="s">
        <v>1128</v>
      </c>
      <c r="G48" t="s">
        <v>74</v>
      </c>
      <c r="H48" t="s">
        <v>74</v>
      </c>
      <c r="I48" t="s">
        <v>1129</v>
      </c>
      <c r="J48" t="s">
        <v>1130</v>
      </c>
      <c r="K48" t="s">
        <v>74</v>
      </c>
      <c r="L48" t="s">
        <v>74</v>
      </c>
      <c r="M48" t="s">
        <v>78</v>
      </c>
      <c r="N48" t="s">
        <v>79</v>
      </c>
      <c r="O48" t="s">
        <v>74</v>
      </c>
      <c r="P48" t="s">
        <v>74</v>
      </c>
      <c r="Q48" t="s">
        <v>74</v>
      </c>
      <c r="R48" t="s">
        <v>74</v>
      </c>
      <c r="S48" t="s">
        <v>74</v>
      </c>
      <c r="T48" t="s">
        <v>1131</v>
      </c>
      <c r="U48" t="s">
        <v>1132</v>
      </c>
      <c r="V48" t="s">
        <v>1133</v>
      </c>
      <c r="W48" t="s">
        <v>1134</v>
      </c>
      <c r="X48" t="s">
        <v>1135</v>
      </c>
      <c r="Y48" t="s">
        <v>1136</v>
      </c>
      <c r="Z48" t="s">
        <v>1137</v>
      </c>
      <c r="AA48" t="s">
        <v>1138</v>
      </c>
      <c r="AB48" t="s">
        <v>1139</v>
      </c>
      <c r="AC48" t="s">
        <v>1140</v>
      </c>
      <c r="AD48" t="s">
        <v>1141</v>
      </c>
      <c r="AE48" t="s">
        <v>1142</v>
      </c>
      <c r="AF48" t="s">
        <v>74</v>
      </c>
      <c r="AG48">
        <v>91</v>
      </c>
      <c r="AH48">
        <v>16</v>
      </c>
      <c r="AI48">
        <v>16</v>
      </c>
      <c r="AJ48">
        <v>3</v>
      </c>
      <c r="AK48">
        <v>20</v>
      </c>
      <c r="AL48" t="s">
        <v>211</v>
      </c>
      <c r="AM48" t="s">
        <v>212</v>
      </c>
      <c r="AN48" t="s">
        <v>213</v>
      </c>
      <c r="AO48" t="s">
        <v>1143</v>
      </c>
      <c r="AP48" t="s">
        <v>1144</v>
      </c>
      <c r="AQ48" t="s">
        <v>74</v>
      </c>
      <c r="AR48" t="s">
        <v>1145</v>
      </c>
      <c r="AS48" t="s">
        <v>1146</v>
      </c>
      <c r="AT48" t="s">
        <v>1147</v>
      </c>
      <c r="AU48">
        <v>2020</v>
      </c>
      <c r="AV48">
        <v>23</v>
      </c>
      <c r="AW48">
        <v>5</v>
      </c>
      <c r="AX48" t="s">
        <v>74</v>
      </c>
      <c r="AY48" t="s">
        <v>74</v>
      </c>
      <c r="AZ48" t="s">
        <v>74</v>
      </c>
      <c r="BA48" t="s">
        <v>74</v>
      </c>
      <c r="BB48">
        <v>585</v>
      </c>
      <c r="BC48">
        <v>596</v>
      </c>
      <c r="BD48" t="s">
        <v>74</v>
      </c>
      <c r="BE48" t="s">
        <v>1148</v>
      </c>
      <c r="BF48" t="str">
        <f>HYPERLINK("http://dx.doi.org/10.1111/acv.12572","http://dx.doi.org/10.1111/acv.12572")</f>
        <v>http://dx.doi.org/10.1111/acv.12572</v>
      </c>
      <c r="BG48" t="s">
        <v>74</v>
      </c>
      <c r="BH48" t="s">
        <v>692</v>
      </c>
      <c r="BI48">
        <v>12</v>
      </c>
      <c r="BJ48" t="s">
        <v>130</v>
      </c>
      <c r="BK48" t="s">
        <v>1149</v>
      </c>
      <c r="BL48" t="s">
        <v>131</v>
      </c>
      <c r="BM48" t="s">
        <v>1150</v>
      </c>
      <c r="BN48" t="s">
        <v>74</v>
      </c>
      <c r="BO48" t="s">
        <v>193</v>
      </c>
      <c r="BP48" t="s">
        <v>74</v>
      </c>
      <c r="BQ48" t="s">
        <v>74</v>
      </c>
      <c r="BR48" t="s">
        <v>106</v>
      </c>
      <c r="BS48" t="s">
        <v>1151</v>
      </c>
      <c r="BT48" t="str">
        <f>HYPERLINK("https%3A%2F%2Fwww.webofscience.com%2Fwos%2Fwoscc%2Ffull-record%2FWOS:000521404800001","View Full Record in Web of Science")</f>
        <v>View Full Record in Web of Science</v>
      </c>
    </row>
    <row r="49" spans="1:72" x14ac:dyDescent="0.15">
      <c r="A49" t="s">
        <v>72</v>
      </c>
      <c r="B49" t="s">
        <v>1152</v>
      </c>
      <c r="C49" t="s">
        <v>74</v>
      </c>
      <c r="D49" t="s">
        <v>74</v>
      </c>
      <c r="E49" t="s">
        <v>74</v>
      </c>
      <c r="F49" t="s">
        <v>1153</v>
      </c>
      <c r="G49" t="s">
        <v>74</v>
      </c>
      <c r="H49" t="s">
        <v>74</v>
      </c>
      <c r="I49" t="s">
        <v>1154</v>
      </c>
      <c r="J49" t="s">
        <v>1155</v>
      </c>
      <c r="K49" t="s">
        <v>74</v>
      </c>
      <c r="L49" t="s">
        <v>74</v>
      </c>
      <c r="M49" t="s">
        <v>78</v>
      </c>
      <c r="N49" t="s">
        <v>79</v>
      </c>
      <c r="O49" t="s">
        <v>74</v>
      </c>
      <c r="P49" t="s">
        <v>74</v>
      </c>
      <c r="Q49" t="s">
        <v>74</v>
      </c>
      <c r="R49" t="s">
        <v>74</v>
      </c>
      <c r="S49" t="s">
        <v>74</v>
      </c>
      <c r="T49" t="s">
        <v>1156</v>
      </c>
      <c r="U49" t="s">
        <v>1157</v>
      </c>
      <c r="V49" t="s">
        <v>1158</v>
      </c>
      <c r="W49" t="s">
        <v>1159</v>
      </c>
      <c r="X49" t="s">
        <v>1160</v>
      </c>
      <c r="Y49" t="s">
        <v>1161</v>
      </c>
      <c r="Z49" t="s">
        <v>1162</v>
      </c>
      <c r="AA49" t="s">
        <v>74</v>
      </c>
      <c r="AB49" t="s">
        <v>1163</v>
      </c>
      <c r="AC49" t="s">
        <v>1164</v>
      </c>
      <c r="AD49" t="s">
        <v>1165</v>
      </c>
      <c r="AE49" t="s">
        <v>1166</v>
      </c>
      <c r="AF49" t="s">
        <v>74</v>
      </c>
      <c r="AG49">
        <v>34</v>
      </c>
      <c r="AH49">
        <v>5</v>
      </c>
      <c r="AI49">
        <v>5</v>
      </c>
      <c r="AJ49">
        <v>0</v>
      </c>
      <c r="AK49">
        <v>16</v>
      </c>
      <c r="AL49" t="s">
        <v>121</v>
      </c>
      <c r="AM49" t="s">
        <v>122</v>
      </c>
      <c r="AN49" t="s">
        <v>123</v>
      </c>
      <c r="AO49" t="s">
        <v>1167</v>
      </c>
      <c r="AP49" t="s">
        <v>1168</v>
      </c>
      <c r="AQ49" t="s">
        <v>74</v>
      </c>
      <c r="AR49" t="s">
        <v>1169</v>
      </c>
      <c r="AS49" t="s">
        <v>1170</v>
      </c>
      <c r="AT49" t="s">
        <v>690</v>
      </c>
      <c r="AU49">
        <v>2020</v>
      </c>
      <c r="AV49">
        <v>25</v>
      </c>
      <c r="AW49">
        <v>3</v>
      </c>
      <c r="AX49" t="s">
        <v>74</v>
      </c>
      <c r="AY49" t="s">
        <v>74</v>
      </c>
      <c r="AZ49" t="s">
        <v>74</v>
      </c>
      <c r="BA49" t="s">
        <v>74</v>
      </c>
      <c r="BB49">
        <v>519</v>
      </c>
      <c r="BC49">
        <v>531</v>
      </c>
      <c r="BD49" t="s">
        <v>74</v>
      </c>
      <c r="BE49" t="s">
        <v>1171</v>
      </c>
      <c r="BF49" t="str">
        <f>HYPERLINK("http://dx.doi.org/10.1007/s12192-020-01103-2","http://dx.doi.org/10.1007/s12192-020-01103-2")</f>
        <v>http://dx.doi.org/10.1007/s12192-020-01103-2</v>
      </c>
      <c r="BG49" t="s">
        <v>74</v>
      </c>
      <c r="BH49" t="s">
        <v>692</v>
      </c>
      <c r="BI49">
        <v>13</v>
      </c>
      <c r="BJ49" t="s">
        <v>1172</v>
      </c>
      <c r="BK49" t="s">
        <v>103</v>
      </c>
      <c r="BL49" t="s">
        <v>1172</v>
      </c>
      <c r="BM49" t="s">
        <v>1173</v>
      </c>
      <c r="BN49">
        <v>32215845</v>
      </c>
      <c r="BO49" t="s">
        <v>1174</v>
      </c>
      <c r="BP49" t="s">
        <v>74</v>
      </c>
      <c r="BQ49" t="s">
        <v>74</v>
      </c>
      <c r="BR49" t="s">
        <v>106</v>
      </c>
      <c r="BS49" t="s">
        <v>1175</v>
      </c>
      <c r="BT49" t="str">
        <f>HYPERLINK("https%3A%2F%2Fwww.webofscience.com%2Fwos%2Fwoscc%2Ffull-record%2FWOS:000521771800002","View Full Record in Web of Science")</f>
        <v>View Full Record in Web of Science</v>
      </c>
    </row>
    <row r="50" spans="1:72" x14ac:dyDescent="0.15">
      <c r="A50" t="s">
        <v>72</v>
      </c>
      <c r="B50" t="s">
        <v>1176</v>
      </c>
      <c r="C50" t="s">
        <v>74</v>
      </c>
      <c r="D50" t="s">
        <v>74</v>
      </c>
      <c r="E50" t="s">
        <v>74</v>
      </c>
      <c r="F50" t="s">
        <v>1177</v>
      </c>
      <c r="G50" t="s">
        <v>74</v>
      </c>
      <c r="H50" t="s">
        <v>74</v>
      </c>
      <c r="I50" t="s">
        <v>1178</v>
      </c>
      <c r="J50" t="s">
        <v>1179</v>
      </c>
      <c r="K50" t="s">
        <v>74</v>
      </c>
      <c r="L50" t="s">
        <v>74</v>
      </c>
      <c r="M50" t="s">
        <v>78</v>
      </c>
      <c r="N50" t="s">
        <v>79</v>
      </c>
      <c r="O50" t="s">
        <v>74</v>
      </c>
      <c r="P50" t="s">
        <v>74</v>
      </c>
      <c r="Q50" t="s">
        <v>74</v>
      </c>
      <c r="R50" t="s">
        <v>74</v>
      </c>
      <c r="S50" t="s">
        <v>74</v>
      </c>
      <c r="T50" t="s">
        <v>1180</v>
      </c>
      <c r="U50" t="s">
        <v>1181</v>
      </c>
      <c r="V50" t="s">
        <v>1182</v>
      </c>
      <c r="W50" t="s">
        <v>1183</v>
      </c>
      <c r="X50" t="s">
        <v>1184</v>
      </c>
      <c r="Y50" t="s">
        <v>1185</v>
      </c>
      <c r="Z50" t="s">
        <v>1186</v>
      </c>
      <c r="AA50" t="s">
        <v>74</v>
      </c>
      <c r="AB50" t="s">
        <v>1187</v>
      </c>
      <c r="AC50" t="s">
        <v>1188</v>
      </c>
      <c r="AD50" t="s">
        <v>1189</v>
      </c>
      <c r="AE50" t="s">
        <v>1190</v>
      </c>
      <c r="AF50" t="s">
        <v>74</v>
      </c>
      <c r="AG50">
        <v>113</v>
      </c>
      <c r="AH50">
        <v>52</v>
      </c>
      <c r="AI50">
        <v>53</v>
      </c>
      <c r="AJ50">
        <v>9</v>
      </c>
      <c r="AK50">
        <v>133</v>
      </c>
      <c r="AL50" t="s">
        <v>289</v>
      </c>
      <c r="AM50" t="s">
        <v>290</v>
      </c>
      <c r="AN50" t="s">
        <v>291</v>
      </c>
      <c r="AO50" t="s">
        <v>1191</v>
      </c>
      <c r="AP50" t="s">
        <v>1192</v>
      </c>
      <c r="AQ50" t="s">
        <v>74</v>
      </c>
      <c r="AR50" t="s">
        <v>1193</v>
      </c>
      <c r="AS50" t="s">
        <v>1194</v>
      </c>
      <c r="AT50" t="s">
        <v>1098</v>
      </c>
      <c r="AU50">
        <v>2020</v>
      </c>
      <c r="AV50">
        <v>710</v>
      </c>
      <c r="AW50" t="s">
        <v>74</v>
      </c>
      <c r="AX50" t="s">
        <v>74</v>
      </c>
      <c r="AY50" t="s">
        <v>74</v>
      </c>
      <c r="AZ50" t="s">
        <v>74</v>
      </c>
      <c r="BA50" t="s">
        <v>74</v>
      </c>
      <c r="BB50" t="s">
        <v>74</v>
      </c>
      <c r="BC50" t="s">
        <v>74</v>
      </c>
      <c r="BD50">
        <v>136166</v>
      </c>
      <c r="BE50" t="s">
        <v>1195</v>
      </c>
      <c r="BF50" t="str">
        <f>HYPERLINK("http://dx.doi.org/10.1016/j.scitotenv.2019.136166","http://dx.doi.org/10.1016/j.scitotenv.2019.136166")</f>
        <v>http://dx.doi.org/10.1016/j.scitotenv.2019.136166</v>
      </c>
      <c r="BG50" t="s">
        <v>74</v>
      </c>
      <c r="BH50" t="s">
        <v>74</v>
      </c>
      <c r="BI50">
        <v>10</v>
      </c>
      <c r="BJ50" t="s">
        <v>1196</v>
      </c>
      <c r="BK50" t="s">
        <v>103</v>
      </c>
      <c r="BL50" t="s">
        <v>219</v>
      </c>
      <c r="BM50" t="s">
        <v>1197</v>
      </c>
      <c r="BN50">
        <v>32050358</v>
      </c>
      <c r="BO50" t="s">
        <v>148</v>
      </c>
      <c r="BP50" t="s">
        <v>74</v>
      </c>
      <c r="BQ50" t="s">
        <v>74</v>
      </c>
      <c r="BR50" t="s">
        <v>106</v>
      </c>
      <c r="BS50" t="s">
        <v>1198</v>
      </c>
      <c r="BT50" t="str">
        <f>HYPERLINK("https%3A%2F%2Fwww.webofscience.com%2Fwos%2Fwoscc%2Ffull-record%2FWOS:000511088800003","View Full Record in Web of Science")</f>
        <v>View Full Record in Web of Science</v>
      </c>
    </row>
    <row r="51" spans="1:72" x14ac:dyDescent="0.15">
      <c r="A51" t="s">
        <v>72</v>
      </c>
      <c r="B51" t="s">
        <v>1199</v>
      </c>
      <c r="C51" t="s">
        <v>74</v>
      </c>
      <c r="D51" t="s">
        <v>74</v>
      </c>
      <c r="E51" t="s">
        <v>74</v>
      </c>
      <c r="F51" t="s">
        <v>1200</v>
      </c>
      <c r="G51" t="s">
        <v>74</v>
      </c>
      <c r="H51" t="s">
        <v>74</v>
      </c>
      <c r="I51" t="s">
        <v>1201</v>
      </c>
      <c r="J51" t="s">
        <v>1202</v>
      </c>
      <c r="K51" t="s">
        <v>74</v>
      </c>
      <c r="L51" t="s">
        <v>74</v>
      </c>
      <c r="M51" t="s">
        <v>78</v>
      </c>
      <c r="N51" t="s">
        <v>79</v>
      </c>
      <c r="O51" t="s">
        <v>74</v>
      </c>
      <c r="P51" t="s">
        <v>74</v>
      </c>
      <c r="Q51" t="s">
        <v>74</v>
      </c>
      <c r="R51" t="s">
        <v>74</v>
      </c>
      <c r="S51" t="s">
        <v>74</v>
      </c>
      <c r="T51" t="s">
        <v>1203</v>
      </c>
      <c r="U51" t="s">
        <v>1204</v>
      </c>
      <c r="V51" t="s">
        <v>1205</v>
      </c>
      <c r="W51" t="s">
        <v>1206</v>
      </c>
      <c r="X51" t="s">
        <v>1207</v>
      </c>
      <c r="Y51" t="s">
        <v>1208</v>
      </c>
      <c r="Z51" t="s">
        <v>1209</v>
      </c>
      <c r="AA51" t="s">
        <v>1210</v>
      </c>
      <c r="AB51" t="s">
        <v>1211</v>
      </c>
      <c r="AC51" t="s">
        <v>1212</v>
      </c>
      <c r="AD51" t="s">
        <v>1213</v>
      </c>
      <c r="AE51" t="s">
        <v>1214</v>
      </c>
      <c r="AF51" t="s">
        <v>74</v>
      </c>
      <c r="AG51">
        <v>51</v>
      </c>
      <c r="AH51">
        <v>29</v>
      </c>
      <c r="AI51">
        <v>30</v>
      </c>
      <c r="AJ51">
        <v>3</v>
      </c>
      <c r="AK51">
        <v>31</v>
      </c>
      <c r="AL51" t="s">
        <v>658</v>
      </c>
      <c r="AM51" t="s">
        <v>659</v>
      </c>
      <c r="AN51" t="s">
        <v>660</v>
      </c>
      <c r="AO51" t="s">
        <v>1215</v>
      </c>
      <c r="AP51" t="s">
        <v>74</v>
      </c>
      <c r="AQ51" t="s">
        <v>74</v>
      </c>
      <c r="AR51" t="s">
        <v>1216</v>
      </c>
      <c r="AS51" t="s">
        <v>1217</v>
      </c>
      <c r="AT51" t="s">
        <v>1218</v>
      </c>
      <c r="AU51">
        <v>2020</v>
      </c>
      <c r="AV51">
        <v>8</v>
      </c>
      <c r="AW51" t="s">
        <v>74</v>
      </c>
      <c r="AX51" t="s">
        <v>74</v>
      </c>
      <c r="AY51" t="s">
        <v>74</v>
      </c>
      <c r="AZ51" t="s">
        <v>74</v>
      </c>
      <c r="BA51" t="s">
        <v>74</v>
      </c>
      <c r="BB51" t="s">
        <v>74</v>
      </c>
      <c r="BC51" t="s">
        <v>74</v>
      </c>
      <c r="BD51">
        <v>71</v>
      </c>
      <c r="BE51" t="s">
        <v>1219</v>
      </c>
      <c r="BF51" t="str">
        <f>HYPERLINK("http://dx.doi.org/10.3389/fevo.2020.00071","http://dx.doi.org/10.3389/fevo.2020.00071")</f>
        <v>http://dx.doi.org/10.3389/fevo.2020.00071</v>
      </c>
      <c r="BG51" t="s">
        <v>74</v>
      </c>
      <c r="BH51" t="s">
        <v>74</v>
      </c>
      <c r="BI51">
        <v>10</v>
      </c>
      <c r="BJ51" t="s">
        <v>216</v>
      </c>
      <c r="BK51" t="s">
        <v>1149</v>
      </c>
      <c r="BL51" t="s">
        <v>219</v>
      </c>
      <c r="BM51" t="s">
        <v>1220</v>
      </c>
      <c r="BN51" t="s">
        <v>74</v>
      </c>
      <c r="BO51" t="s">
        <v>276</v>
      </c>
      <c r="BP51" t="s">
        <v>74</v>
      </c>
      <c r="BQ51" t="s">
        <v>74</v>
      </c>
      <c r="BR51" t="s">
        <v>106</v>
      </c>
      <c r="BS51" t="s">
        <v>1221</v>
      </c>
      <c r="BT51" t="str">
        <f>HYPERLINK("https%3A%2F%2Fwww.webofscience.com%2Fwos%2Fwoscc%2Ffull-record%2FWOS:000596910800001","View Full Record in Web of Science")</f>
        <v>View Full Record in Web of Science</v>
      </c>
    </row>
    <row r="52" spans="1:72" x14ac:dyDescent="0.15">
      <c r="A52" t="s">
        <v>72</v>
      </c>
      <c r="B52" t="s">
        <v>1222</v>
      </c>
      <c r="C52" t="s">
        <v>74</v>
      </c>
      <c r="D52" t="s">
        <v>74</v>
      </c>
      <c r="E52" t="s">
        <v>74</v>
      </c>
      <c r="F52" t="s">
        <v>1223</v>
      </c>
      <c r="G52" t="s">
        <v>74</v>
      </c>
      <c r="H52" t="s">
        <v>74</v>
      </c>
      <c r="I52" t="s">
        <v>1224</v>
      </c>
      <c r="J52" t="s">
        <v>1225</v>
      </c>
      <c r="K52" t="s">
        <v>74</v>
      </c>
      <c r="L52" t="s">
        <v>74</v>
      </c>
      <c r="M52" t="s">
        <v>78</v>
      </c>
      <c r="N52" t="s">
        <v>1226</v>
      </c>
      <c r="O52" t="s">
        <v>74</v>
      </c>
      <c r="P52" t="s">
        <v>74</v>
      </c>
      <c r="Q52" t="s">
        <v>74</v>
      </c>
      <c r="R52" t="s">
        <v>74</v>
      </c>
      <c r="S52" t="s">
        <v>74</v>
      </c>
      <c r="T52" t="s">
        <v>1227</v>
      </c>
      <c r="U52" t="s">
        <v>74</v>
      </c>
      <c r="V52" t="s">
        <v>74</v>
      </c>
      <c r="W52" t="s">
        <v>74</v>
      </c>
      <c r="X52" t="s">
        <v>74</v>
      </c>
      <c r="Y52" t="s">
        <v>74</v>
      </c>
      <c r="Z52" t="s">
        <v>74</v>
      </c>
      <c r="AA52" t="s">
        <v>1228</v>
      </c>
      <c r="AB52" t="s">
        <v>1229</v>
      </c>
      <c r="AC52" t="s">
        <v>74</v>
      </c>
      <c r="AD52" t="s">
        <v>74</v>
      </c>
      <c r="AE52" t="s">
        <v>74</v>
      </c>
      <c r="AF52" t="s">
        <v>74</v>
      </c>
      <c r="AG52">
        <v>1</v>
      </c>
      <c r="AH52">
        <v>0</v>
      </c>
      <c r="AI52">
        <v>0</v>
      </c>
      <c r="AJ52">
        <v>0</v>
      </c>
      <c r="AK52">
        <v>1</v>
      </c>
      <c r="AL52" t="s">
        <v>658</v>
      </c>
      <c r="AM52" t="s">
        <v>659</v>
      </c>
      <c r="AN52" t="s">
        <v>660</v>
      </c>
      <c r="AO52" t="s">
        <v>1230</v>
      </c>
      <c r="AP52" t="s">
        <v>74</v>
      </c>
      <c r="AQ52" t="s">
        <v>74</v>
      </c>
      <c r="AR52" t="s">
        <v>1231</v>
      </c>
      <c r="AS52" t="s">
        <v>1232</v>
      </c>
      <c r="AT52" t="s">
        <v>1218</v>
      </c>
      <c r="AU52">
        <v>2020</v>
      </c>
      <c r="AV52">
        <v>11</v>
      </c>
      <c r="AW52" t="s">
        <v>74</v>
      </c>
      <c r="AX52" t="s">
        <v>74</v>
      </c>
      <c r="AY52" t="s">
        <v>74</v>
      </c>
      <c r="AZ52" t="s">
        <v>74</v>
      </c>
      <c r="BA52" t="s">
        <v>74</v>
      </c>
      <c r="BB52" t="s">
        <v>74</v>
      </c>
      <c r="BC52" t="s">
        <v>74</v>
      </c>
      <c r="BD52">
        <v>262</v>
      </c>
      <c r="BE52" t="s">
        <v>1233</v>
      </c>
      <c r="BF52" t="str">
        <f>HYPERLINK("http://dx.doi.org/10.3389/fphys.2020.00262","http://dx.doi.org/10.3389/fphys.2020.00262")</f>
        <v>http://dx.doi.org/10.3389/fphys.2020.00262</v>
      </c>
      <c r="BG52" t="s">
        <v>74</v>
      </c>
      <c r="BH52" t="s">
        <v>74</v>
      </c>
      <c r="BI52">
        <v>1</v>
      </c>
      <c r="BJ52" t="s">
        <v>1234</v>
      </c>
      <c r="BK52" t="s">
        <v>103</v>
      </c>
      <c r="BL52" t="s">
        <v>1234</v>
      </c>
      <c r="BM52" t="s">
        <v>1235</v>
      </c>
      <c r="BN52" t="s">
        <v>74</v>
      </c>
      <c r="BO52" t="s">
        <v>276</v>
      </c>
      <c r="BP52" t="s">
        <v>74</v>
      </c>
      <c r="BQ52" t="s">
        <v>74</v>
      </c>
      <c r="BR52" t="s">
        <v>106</v>
      </c>
      <c r="BS52" t="s">
        <v>1236</v>
      </c>
      <c r="BT52" t="str">
        <f>HYPERLINK("https%3A%2F%2Fwww.webofscience.com%2Fwos%2Fwoscc%2Ffull-record%2FWOS:000596899600001","View Full Record in Web of Science")</f>
        <v>View Full Record in Web of Science</v>
      </c>
    </row>
    <row r="53" spans="1:72" x14ac:dyDescent="0.15">
      <c r="A53" t="s">
        <v>72</v>
      </c>
      <c r="B53" t="s">
        <v>1237</v>
      </c>
      <c r="C53" t="s">
        <v>74</v>
      </c>
      <c r="D53" t="s">
        <v>74</v>
      </c>
      <c r="E53" t="s">
        <v>74</v>
      </c>
      <c r="F53" t="s">
        <v>1238</v>
      </c>
      <c r="G53" t="s">
        <v>74</v>
      </c>
      <c r="H53" t="s">
        <v>74</v>
      </c>
      <c r="I53" t="s">
        <v>1239</v>
      </c>
      <c r="J53" t="s">
        <v>1240</v>
      </c>
      <c r="K53" t="s">
        <v>74</v>
      </c>
      <c r="L53" t="s">
        <v>74</v>
      </c>
      <c r="M53" t="s">
        <v>78</v>
      </c>
      <c r="N53" t="s">
        <v>79</v>
      </c>
      <c r="O53" t="s">
        <v>74</v>
      </c>
      <c r="P53" t="s">
        <v>74</v>
      </c>
      <c r="Q53" t="s">
        <v>74</v>
      </c>
      <c r="R53" t="s">
        <v>74</v>
      </c>
      <c r="S53" t="s">
        <v>74</v>
      </c>
      <c r="T53" t="s">
        <v>74</v>
      </c>
      <c r="U53" t="s">
        <v>1241</v>
      </c>
      <c r="V53" t="s">
        <v>1242</v>
      </c>
      <c r="W53" t="s">
        <v>1243</v>
      </c>
      <c r="X53" t="s">
        <v>1244</v>
      </c>
      <c r="Y53" t="s">
        <v>1245</v>
      </c>
      <c r="Z53" t="s">
        <v>1246</v>
      </c>
      <c r="AA53" t="s">
        <v>1247</v>
      </c>
      <c r="AB53" t="s">
        <v>1248</v>
      </c>
      <c r="AC53" t="s">
        <v>1249</v>
      </c>
      <c r="AD53" t="s">
        <v>1250</v>
      </c>
      <c r="AE53" t="s">
        <v>1251</v>
      </c>
      <c r="AF53" t="s">
        <v>74</v>
      </c>
      <c r="AG53">
        <v>94</v>
      </c>
      <c r="AH53">
        <v>9</v>
      </c>
      <c r="AI53">
        <v>9</v>
      </c>
      <c r="AJ53">
        <v>5</v>
      </c>
      <c r="AK53">
        <v>17</v>
      </c>
      <c r="AL53" t="s">
        <v>753</v>
      </c>
      <c r="AM53" t="s">
        <v>545</v>
      </c>
      <c r="AN53" t="s">
        <v>1097</v>
      </c>
      <c r="AO53" t="s">
        <v>1252</v>
      </c>
      <c r="AP53" t="s">
        <v>74</v>
      </c>
      <c r="AQ53" t="s">
        <v>74</v>
      </c>
      <c r="AR53" t="s">
        <v>1253</v>
      </c>
      <c r="AS53" t="s">
        <v>1254</v>
      </c>
      <c r="AT53" t="s">
        <v>1218</v>
      </c>
      <c r="AU53">
        <v>2020</v>
      </c>
      <c r="AV53">
        <v>11</v>
      </c>
      <c r="AW53">
        <v>1</v>
      </c>
      <c r="AX53" t="s">
        <v>74</v>
      </c>
      <c r="AY53" t="s">
        <v>74</v>
      </c>
      <c r="AZ53" t="s">
        <v>74</v>
      </c>
      <c r="BA53" t="s">
        <v>74</v>
      </c>
      <c r="BB53" t="s">
        <v>74</v>
      </c>
      <c r="BC53" t="s">
        <v>74</v>
      </c>
      <c r="BD53">
        <v>1534</v>
      </c>
      <c r="BE53" t="s">
        <v>1255</v>
      </c>
      <c r="BF53" t="str">
        <f>HYPERLINK("http://dx.doi.org/10.1038/s41467-020-15101-6","http://dx.doi.org/10.1038/s41467-020-15101-6")</f>
        <v>http://dx.doi.org/10.1038/s41467-020-15101-6</v>
      </c>
      <c r="BG53" t="s">
        <v>74</v>
      </c>
      <c r="BH53" t="s">
        <v>74</v>
      </c>
      <c r="BI53">
        <v>11</v>
      </c>
      <c r="BJ53" t="s">
        <v>322</v>
      </c>
      <c r="BK53" t="s">
        <v>103</v>
      </c>
      <c r="BL53" t="s">
        <v>323</v>
      </c>
      <c r="BM53" t="s">
        <v>1256</v>
      </c>
      <c r="BN53">
        <v>32210225</v>
      </c>
      <c r="BO53" t="s">
        <v>1257</v>
      </c>
      <c r="BP53" t="s">
        <v>74</v>
      </c>
      <c r="BQ53" t="s">
        <v>74</v>
      </c>
      <c r="BR53" t="s">
        <v>106</v>
      </c>
      <c r="BS53" t="s">
        <v>1258</v>
      </c>
      <c r="BT53" t="str">
        <f>HYPERLINK("https%3A%2F%2Fwww.webofscience.com%2Fwos%2Fwoscc%2Ffull-record%2FWOS:000530024600004","View Full Record in Web of Science")</f>
        <v>View Full Record in Web of Science</v>
      </c>
    </row>
    <row r="54" spans="1:72" x14ac:dyDescent="0.15">
      <c r="A54" t="s">
        <v>72</v>
      </c>
      <c r="B54" t="s">
        <v>1259</v>
      </c>
      <c r="C54" t="s">
        <v>74</v>
      </c>
      <c r="D54" t="s">
        <v>74</v>
      </c>
      <c r="E54" t="s">
        <v>74</v>
      </c>
      <c r="F54" t="s">
        <v>1260</v>
      </c>
      <c r="G54" t="s">
        <v>74</v>
      </c>
      <c r="H54" t="s">
        <v>74</v>
      </c>
      <c r="I54" t="s">
        <v>1261</v>
      </c>
      <c r="J54" t="s">
        <v>1262</v>
      </c>
      <c r="K54" t="s">
        <v>74</v>
      </c>
      <c r="L54" t="s">
        <v>74</v>
      </c>
      <c r="M54" t="s">
        <v>78</v>
      </c>
      <c r="N54" t="s">
        <v>79</v>
      </c>
      <c r="O54" t="s">
        <v>74</v>
      </c>
      <c r="P54" t="s">
        <v>74</v>
      </c>
      <c r="Q54" t="s">
        <v>74</v>
      </c>
      <c r="R54" t="s">
        <v>74</v>
      </c>
      <c r="S54" t="s">
        <v>74</v>
      </c>
      <c r="T54" t="s">
        <v>1263</v>
      </c>
      <c r="U54" t="s">
        <v>1264</v>
      </c>
      <c r="V54" t="s">
        <v>1265</v>
      </c>
      <c r="W54" t="s">
        <v>1266</v>
      </c>
      <c r="X54" t="s">
        <v>1267</v>
      </c>
      <c r="Y54" t="s">
        <v>1268</v>
      </c>
      <c r="Z54" t="s">
        <v>1269</v>
      </c>
      <c r="AA54" t="s">
        <v>1270</v>
      </c>
      <c r="AB54" t="s">
        <v>1271</v>
      </c>
      <c r="AC54" t="s">
        <v>1272</v>
      </c>
      <c r="AD54" t="s">
        <v>1273</v>
      </c>
      <c r="AE54" t="s">
        <v>1274</v>
      </c>
      <c r="AF54" t="s">
        <v>74</v>
      </c>
      <c r="AG54">
        <v>38</v>
      </c>
      <c r="AH54">
        <v>0</v>
      </c>
      <c r="AI54">
        <v>0</v>
      </c>
      <c r="AJ54">
        <v>1</v>
      </c>
      <c r="AK54">
        <v>5</v>
      </c>
      <c r="AL54" t="s">
        <v>1275</v>
      </c>
      <c r="AM54" t="s">
        <v>1276</v>
      </c>
      <c r="AN54" t="s">
        <v>1277</v>
      </c>
      <c r="AO54" t="s">
        <v>1278</v>
      </c>
      <c r="AP54" t="s">
        <v>1279</v>
      </c>
      <c r="AQ54" t="s">
        <v>74</v>
      </c>
      <c r="AR54" t="s">
        <v>1280</v>
      </c>
      <c r="AS54" t="s">
        <v>1281</v>
      </c>
      <c r="AT54" t="s">
        <v>1218</v>
      </c>
      <c r="AU54">
        <v>2020</v>
      </c>
      <c r="AV54">
        <v>91</v>
      </c>
      <c r="AW54" t="s">
        <v>74</v>
      </c>
      <c r="AX54" t="s">
        <v>74</v>
      </c>
      <c r="AY54" t="s">
        <v>74</v>
      </c>
      <c r="AZ54" t="s">
        <v>74</v>
      </c>
      <c r="BA54" t="s">
        <v>74</v>
      </c>
      <c r="BB54" t="s">
        <v>74</v>
      </c>
      <c r="BC54" t="s">
        <v>74</v>
      </c>
      <c r="BD54" t="s">
        <v>1282</v>
      </c>
      <c r="BE54" t="s">
        <v>1283</v>
      </c>
      <c r="BF54" t="str">
        <f>HYPERLINK("http://dx.doi.org/10.4102/jsava.v91i0.1720","http://dx.doi.org/10.4102/jsava.v91i0.1720")</f>
        <v>http://dx.doi.org/10.4102/jsava.v91i0.1720</v>
      </c>
      <c r="BG54" t="s">
        <v>74</v>
      </c>
      <c r="BH54" t="s">
        <v>74</v>
      </c>
      <c r="BI54">
        <v>6</v>
      </c>
      <c r="BJ54" t="s">
        <v>1284</v>
      </c>
      <c r="BK54" t="s">
        <v>103</v>
      </c>
      <c r="BL54" t="s">
        <v>1284</v>
      </c>
      <c r="BM54" t="s">
        <v>1285</v>
      </c>
      <c r="BN54">
        <v>32242421</v>
      </c>
      <c r="BO54" t="s">
        <v>1286</v>
      </c>
      <c r="BP54" t="s">
        <v>74</v>
      </c>
      <c r="BQ54" t="s">
        <v>74</v>
      </c>
      <c r="BR54" t="s">
        <v>106</v>
      </c>
      <c r="BS54" t="s">
        <v>1287</v>
      </c>
      <c r="BT54" t="str">
        <f>HYPERLINK("https%3A%2F%2Fwww.webofscience.com%2Fwos%2Fwoscc%2Ffull-record%2FWOS:000523990000001","View Full Record in Web of Science")</f>
        <v>View Full Record in Web of Science</v>
      </c>
    </row>
    <row r="55" spans="1:72" x14ac:dyDescent="0.15">
      <c r="A55" t="s">
        <v>72</v>
      </c>
      <c r="B55" t="s">
        <v>1288</v>
      </c>
      <c r="C55" t="s">
        <v>74</v>
      </c>
      <c r="D55" t="s">
        <v>74</v>
      </c>
      <c r="E55" t="s">
        <v>74</v>
      </c>
      <c r="F55" t="s">
        <v>1289</v>
      </c>
      <c r="G55" t="s">
        <v>74</v>
      </c>
      <c r="H55" t="s">
        <v>74</v>
      </c>
      <c r="I55" t="s">
        <v>1290</v>
      </c>
      <c r="J55" t="s">
        <v>1291</v>
      </c>
      <c r="K55" t="s">
        <v>74</v>
      </c>
      <c r="L55" t="s">
        <v>74</v>
      </c>
      <c r="M55" t="s">
        <v>78</v>
      </c>
      <c r="N55" t="s">
        <v>79</v>
      </c>
      <c r="O55" t="s">
        <v>74</v>
      </c>
      <c r="P55" t="s">
        <v>74</v>
      </c>
      <c r="Q55" t="s">
        <v>74</v>
      </c>
      <c r="R55" t="s">
        <v>74</v>
      </c>
      <c r="S55" t="s">
        <v>74</v>
      </c>
      <c r="T55" t="s">
        <v>74</v>
      </c>
      <c r="U55" t="s">
        <v>1292</v>
      </c>
      <c r="V55" t="s">
        <v>1293</v>
      </c>
      <c r="W55" t="s">
        <v>1294</v>
      </c>
      <c r="X55" t="s">
        <v>1295</v>
      </c>
      <c r="Y55" t="s">
        <v>1296</v>
      </c>
      <c r="Z55" t="s">
        <v>1297</v>
      </c>
      <c r="AA55" t="s">
        <v>1298</v>
      </c>
      <c r="AB55" t="s">
        <v>1299</v>
      </c>
      <c r="AC55" t="s">
        <v>1300</v>
      </c>
      <c r="AD55" t="s">
        <v>1301</v>
      </c>
      <c r="AE55" t="s">
        <v>1302</v>
      </c>
      <c r="AF55" t="s">
        <v>74</v>
      </c>
      <c r="AG55">
        <v>53</v>
      </c>
      <c r="AH55">
        <v>3</v>
      </c>
      <c r="AI55">
        <v>3</v>
      </c>
      <c r="AJ55">
        <v>1</v>
      </c>
      <c r="AK55">
        <v>6</v>
      </c>
      <c r="AL55" t="s">
        <v>976</v>
      </c>
      <c r="AM55" t="s">
        <v>977</v>
      </c>
      <c r="AN55" t="s">
        <v>978</v>
      </c>
      <c r="AO55" t="s">
        <v>1303</v>
      </c>
      <c r="AP55" t="s">
        <v>1304</v>
      </c>
      <c r="AQ55" t="s">
        <v>74</v>
      </c>
      <c r="AR55" t="s">
        <v>1291</v>
      </c>
      <c r="AS55" t="s">
        <v>1305</v>
      </c>
      <c r="AT55" t="s">
        <v>1218</v>
      </c>
      <c r="AU55">
        <v>2020</v>
      </c>
      <c r="AV55">
        <v>14</v>
      </c>
      <c r="AW55">
        <v>3</v>
      </c>
      <c r="AX55" t="s">
        <v>74</v>
      </c>
      <c r="AY55" t="s">
        <v>74</v>
      </c>
      <c r="AZ55" t="s">
        <v>74</v>
      </c>
      <c r="BA55" t="s">
        <v>74</v>
      </c>
      <c r="BB55">
        <v>1067</v>
      </c>
      <c r="BC55">
        <v>1081</v>
      </c>
      <c r="BD55" t="s">
        <v>74</v>
      </c>
      <c r="BE55" t="s">
        <v>1306</v>
      </c>
      <c r="BF55" t="str">
        <f>HYPERLINK("http://dx.doi.org/10.5194/tc-14-1067-2020","http://dx.doi.org/10.5194/tc-14-1067-2020")</f>
        <v>http://dx.doi.org/10.5194/tc-14-1067-2020</v>
      </c>
      <c r="BG55" t="s">
        <v>74</v>
      </c>
      <c r="BH55" t="s">
        <v>74</v>
      </c>
      <c r="BI55">
        <v>15</v>
      </c>
      <c r="BJ55" t="s">
        <v>1307</v>
      </c>
      <c r="BK55" t="s">
        <v>103</v>
      </c>
      <c r="BL55" t="s">
        <v>1308</v>
      </c>
      <c r="BM55" t="s">
        <v>1309</v>
      </c>
      <c r="BN55" t="s">
        <v>74</v>
      </c>
      <c r="BO55" t="s">
        <v>1310</v>
      </c>
      <c r="BP55" t="s">
        <v>74</v>
      </c>
      <c r="BQ55" t="s">
        <v>74</v>
      </c>
      <c r="BR55" t="s">
        <v>106</v>
      </c>
      <c r="BS55" t="s">
        <v>1311</v>
      </c>
      <c r="BT55" t="str">
        <f>HYPERLINK("https%3A%2F%2Fwww.webofscience.com%2Fwos%2Fwoscc%2Ffull-record%2FWOS:000521943800001","View Full Record in Web of Science")</f>
        <v>View Full Record in Web of Science</v>
      </c>
    </row>
    <row r="56" spans="1:72" x14ac:dyDescent="0.15">
      <c r="A56" t="s">
        <v>72</v>
      </c>
      <c r="B56" t="s">
        <v>1312</v>
      </c>
      <c r="C56" t="s">
        <v>74</v>
      </c>
      <c r="D56" t="s">
        <v>74</v>
      </c>
      <c r="E56" t="s">
        <v>74</v>
      </c>
      <c r="F56" t="s">
        <v>1313</v>
      </c>
      <c r="G56" t="s">
        <v>74</v>
      </c>
      <c r="H56" t="s">
        <v>74</v>
      </c>
      <c r="I56" t="s">
        <v>1314</v>
      </c>
      <c r="J56" t="s">
        <v>1315</v>
      </c>
      <c r="K56" t="s">
        <v>74</v>
      </c>
      <c r="L56" t="s">
        <v>74</v>
      </c>
      <c r="M56" t="s">
        <v>78</v>
      </c>
      <c r="N56" t="s">
        <v>79</v>
      </c>
      <c r="O56" t="s">
        <v>74</v>
      </c>
      <c r="P56" t="s">
        <v>74</v>
      </c>
      <c r="Q56" t="s">
        <v>74</v>
      </c>
      <c r="R56" t="s">
        <v>74</v>
      </c>
      <c r="S56" t="s">
        <v>74</v>
      </c>
      <c r="T56" t="s">
        <v>74</v>
      </c>
      <c r="U56" t="s">
        <v>1316</v>
      </c>
      <c r="V56" t="s">
        <v>1317</v>
      </c>
      <c r="W56" t="s">
        <v>1318</v>
      </c>
      <c r="X56" t="s">
        <v>1319</v>
      </c>
      <c r="Y56" t="s">
        <v>1320</v>
      </c>
      <c r="Z56" t="s">
        <v>1321</v>
      </c>
      <c r="AA56" t="s">
        <v>1322</v>
      </c>
      <c r="AB56" t="s">
        <v>1323</v>
      </c>
      <c r="AC56" t="s">
        <v>1324</v>
      </c>
      <c r="AD56" t="s">
        <v>1325</v>
      </c>
      <c r="AE56" t="s">
        <v>1326</v>
      </c>
      <c r="AF56" t="s">
        <v>74</v>
      </c>
      <c r="AG56">
        <v>34</v>
      </c>
      <c r="AH56">
        <v>5</v>
      </c>
      <c r="AI56">
        <v>5</v>
      </c>
      <c r="AJ56">
        <v>0</v>
      </c>
      <c r="AK56">
        <v>2</v>
      </c>
      <c r="AL56" t="s">
        <v>976</v>
      </c>
      <c r="AM56" t="s">
        <v>977</v>
      </c>
      <c r="AN56" t="s">
        <v>978</v>
      </c>
      <c r="AO56" t="s">
        <v>1327</v>
      </c>
      <c r="AP56" t="s">
        <v>1328</v>
      </c>
      <c r="AQ56" t="s">
        <v>74</v>
      </c>
      <c r="AR56" t="s">
        <v>1329</v>
      </c>
      <c r="AS56" t="s">
        <v>1330</v>
      </c>
      <c r="AT56" t="s">
        <v>1218</v>
      </c>
      <c r="AU56">
        <v>2020</v>
      </c>
      <c r="AV56">
        <v>38</v>
      </c>
      <c r="AW56">
        <v>2</v>
      </c>
      <c r="AX56" t="s">
        <v>74</v>
      </c>
      <c r="AY56" t="s">
        <v>74</v>
      </c>
      <c r="AZ56" t="s">
        <v>74</v>
      </c>
      <c r="BA56" t="s">
        <v>74</v>
      </c>
      <c r="BB56">
        <v>385</v>
      </c>
      <c r="BC56">
        <v>394</v>
      </c>
      <c r="BD56" t="s">
        <v>74</v>
      </c>
      <c r="BE56" t="s">
        <v>1331</v>
      </c>
      <c r="BF56" t="str">
        <f>HYPERLINK("http://dx.doi.org/10.5194/angeo-38-385-2020","http://dx.doi.org/10.5194/angeo-38-385-2020")</f>
        <v>http://dx.doi.org/10.5194/angeo-38-385-2020</v>
      </c>
      <c r="BG56" t="s">
        <v>74</v>
      </c>
      <c r="BH56" t="s">
        <v>74</v>
      </c>
      <c r="BI56">
        <v>10</v>
      </c>
      <c r="BJ56" t="s">
        <v>1332</v>
      </c>
      <c r="BK56" t="s">
        <v>103</v>
      </c>
      <c r="BL56" t="s">
        <v>1333</v>
      </c>
      <c r="BM56" t="s">
        <v>1334</v>
      </c>
      <c r="BN56" t="s">
        <v>74</v>
      </c>
      <c r="BO56" t="s">
        <v>1310</v>
      </c>
      <c r="BP56" t="s">
        <v>74</v>
      </c>
      <c r="BQ56" t="s">
        <v>74</v>
      </c>
      <c r="BR56" t="s">
        <v>106</v>
      </c>
      <c r="BS56" t="s">
        <v>1335</v>
      </c>
      <c r="BT56" t="str">
        <f>HYPERLINK("https%3A%2F%2Fwww.webofscience.com%2Fwos%2Fwoscc%2Ffull-record%2FWOS:000521942700001","View Full Record in Web of Science")</f>
        <v>View Full Record in Web of Science</v>
      </c>
    </row>
    <row r="57" spans="1:72" x14ac:dyDescent="0.15">
      <c r="A57" t="s">
        <v>72</v>
      </c>
      <c r="B57" t="s">
        <v>1336</v>
      </c>
      <c r="C57" t="s">
        <v>74</v>
      </c>
      <c r="D57" t="s">
        <v>74</v>
      </c>
      <c r="E57" t="s">
        <v>74</v>
      </c>
      <c r="F57" t="s">
        <v>1337</v>
      </c>
      <c r="G57" t="s">
        <v>74</v>
      </c>
      <c r="H57" t="s">
        <v>74</v>
      </c>
      <c r="I57" t="s">
        <v>1338</v>
      </c>
      <c r="J57" t="s">
        <v>1339</v>
      </c>
      <c r="K57" t="s">
        <v>74</v>
      </c>
      <c r="L57" t="s">
        <v>74</v>
      </c>
      <c r="M57" t="s">
        <v>78</v>
      </c>
      <c r="N57" t="s">
        <v>79</v>
      </c>
      <c r="O57" t="s">
        <v>74</v>
      </c>
      <c r="P57" t="s">
        <v>74</v>
      </c>
      <c r="Q57" t="s">
        <v>74</v>
      </c>
      <c r="R57" t="s">
        <v>74</v>
      </c>
      <c r="S57" t="s">
        <v>74</v>
      </c>
      <c r="T57" t="s">
        <v>1340</v>
      </c>
      <c r="U57" t="s">
        <v>1341</v>
      </c>
      <c r="V57" t="s">
        <v>1342</v>
      </c>
      <c r="W57" t="s">
        <v>1343</v>
      </c>
      <c r="X57" t="s">
        <v>1344</v>
      </c>
      <c r="Y57" t="s">
        <v>1345</v>
      </c>
      <c r="Z57" t="s">
        <v>1346</v>
      </c>
      <c r="AA57" t="s">
        <v>1347</v>
      </c>
      <c r="AB57" t="s">
        <v>1348</v>
      </c>
      <c r="AC57" t="s">
        <v>1349</v>
      </c>
      <c r="AD57" t="s">
        <v>1350</v>
      </c>
      <c r="AE57" t="s">
        <v>1351</v>
      </c>
      <c r="AF57" t="s">
        <v>74</v>
      </c>
      <c r="AG57">
        <v>58</v>
      </c>
      <c r="AH57">
        <v>2</v>
      </c>
      <c r="AI57">
        <v>2</v>
      </c>
      <c r="AJ57">
        <v>2</v>
      </c>
      <c r="AK57">
        <v>14</v>
      </c>
      <c r="AL57" t="s">
        <v>658</v>
      </c>
      <c r="AM57" t="s">
        <v>659</v>
      </c>
      <c r="AN57" t="s">
        <v>660</v>
      </c>
      <c r="AO57" t="s">
        <v>74</v>
      </c>
      <c r="AP57" t="s">
        <v>1352</v>
      </c>
      <c r="AQ57" t="s">
        <v>74</v>
      </c>
      <c r="AR57" t="s">
        <v>1353</v>
      </c>
      <c r="AS57" t="s">
        <v>1354</v>
      </c>
      <c r="AT57" t="s">
        <v>1218</v>
      </c>
      <c r="AU57">
        <v>2020</v>
      </c>
      <c r="AV57">
        <v>7</v>
      </c>
      <c r="AW57" t="s">
        <v>74</v>
      </c>
      <c r="AX57" t="s">
        <v>74</v>
      </c>
      <c r="AY57" t="s">
        <v>74</v>
      </c>
      <c r="AZ57" t="s">
        <v>74</v>
      </c>
      <c r="BA57" t="s">
        <v>74</v>
      </c>
      <c r="BB57" t="s">
        <v>74</v>
      </c>
      <c r="BC57" t="s">
        <v>74</v>
      </c>
      <c r="BD57">
        <v>176</v>
      </c>
      <c r="BE57" t="s">
        <v>1355</v>
      </c>
      <c r="BF57" t="str">
        <f>HYPERLINK("http://dx.doi.org/10.3389/fmars.2020.00176","http://dx.doi.org/10.3389/fmars.2020.00176")</f>
        <v>http://dx.doi.org/10.3389/fmars.2020.00176</v>
      </c>
      <c r="BG57" t="s">
        <v>74</v>
      </c>
      <c r="BH57" t="s">
        <v>74</v>
      </c>
      <c r="BI57">
        <v>13</v>
      </c>
      <c r="BJ57" t="s">
        <v>1356</v>
      </c>
      <c r="BK57" t="s">
        <v>1149</v>
      </c>
      <c r="BL57" t="s">
        <v>1357</v>
      </c>
      <c r="BM57" t="s">
        <v>1358</v>
      </c>
      <c r="BN57" t="s">
        <v>74</v>
      </c>
      <c r="BO57" t="s">
        <v>1359</v>
      </c>
      <c r="BP57" t="s">
        <v>74</v>
      </c>
      <c r="BQ57" t="s">
        <v>74</v>
      </c>
      <c r="BR57" t="s">
        <v>106</v>
      </c>
      <c r="BS57" t="s">
        <v>1360</v>
      </c>
      <c r="BT57" t="str">
        <f>HYPERLINK("https%3A%2F%2Fwww.webofscience.com%2Fwos%2Fwoscc%2Ffull-record%2FWOS:000521233000001","View Full Record in Web of Science")</f>
        <v>View Full Record in Web of Science</v>
      </c>
    </row>
    <row r="58" spans="1:72" x14ac:dyDescent="0.15">
      <c r="A58" t="s">
        <v>72</v>
      </c>
      <c r="B58" t="s">
        <v>1361</v>
      </c>
      <c r="C58" t="s">
        <v>74</v>
      </c>
      <c r="D58" t="s">
        <v>74</v>
      </c>
      <c r="E58" t="s">
        <v>74</v>
      </c>
      <c r="F58" t="s">
        <v>1362</v>
      </c>
      <c r="G58" t="s">
        <v>74</v>
      </c>
      <c r="H58" t="s">
        <v>74</v>
      </c>
      <c r="I58" t="s">
        <v>1363</v>
      </c>
      <c r="J58" t="s">
        <v>1364</v>
      </c>
      <c r="K58" t="s">
        <v>74</v>
      </c>
      <c r="L58" t="s">
        <v>74</v>
      </c>
      <c r="M58" t="s">
        <v>78</v>
      </c>
      <c r="N58" t="s">
        <v>79</v>
      </c>
      <c r="O58" t="s">
        <v>74</v>
      </c>
      <c r="P58" t="s">
        <v>74</v>
      </c>
      <c r="Q58" t="s">
        <v>74</v>
      </c>
      <c r="R58" t="s">
        <v>74</v>
      </c>
      <c r="S58" t="s">
        <v>74</v>
      </c>
      <c r="T58" t="s">
        <v>74</v>
      </c>
      <c r="U58" t="s">
        <v>1365</v>
      </c>
      <c r="V58" t="s">
        <v>1366</v>
      </c>
      <c r="W58" t="s">
        <v>1367</v>
      </c>
      <c r="X58" t="s">
        <v>1368</v>
      </c>
      <c r="Y58" t="s">
        <v>1369</v>
      </c>
      <c r="Z58" t="s">
        <v>1370</v>
      </c>
      <c r="AA58" t="s">
        <v>1371</v>
      </c>
      <c r="AB58" t="s">
        <v>1372</v>
      </c>
      <c r="AC58" t="s">
        <v>1373</v>
      </c>
      <c r="AD58" t="s">
        <v>1374</v>
      </c>
      <c r="AE58" t="s">
        <v>1375</v>
      </c>
      <c r="AF58" t="s">
        <v>74</v>
      </c>
      <c r="AG58">
        <v>159</v>
      </c>
      <c r="AH58">
        <v>11</v>
      </c>
      <c r="AI58">
        <v>12</v>
      </c>
      <c r="AJ58">
        <v>0</v>
      </c>
      <c r="AK58">
        <v>5</v>
      </c>
      <c r="AL58" t="s">
        <v>211</v>
      </c>
      <c r="AM58" t="s">
        <v>212</v>
      </c>
      <c r="AN58" t="s">
        <v>213</v>
      </c>
      <c r="AO58" t="s">
        <v>1376</v>
      </c>
      <c r="AP58" t="s">
        <v>1377</v>
      </c>
      <c r="AQ58" t="s">
        <v>74</v>
      </c>
      <c r="AR58" t="s">
        <v>1378</v>
      </c>
      <c r="AS58" t="s">
        <v>1379</v>
      </c>
      <c r="AT58" t="s">
        <v>1380</v>
      </c>
      <c r="AU58">
        <v>2020</v>
      </c>
      <c r="AV58">
        <v>65</v>
      </c>
      <c r="AW58">
        <v>9</v>
      </c>
      <c r="AX58" t="s">
        <v>74</v>
      </c>
      <c r="AY58" t="s">
        <v>74</v>
      </c>
      <c r="AZ58" t="s">
        <v>74</v>
      </c>
      <c r="BA58" t="s">
        <v>74</v>
      </c>
      <c r="BB58">
        <v>2024</v>
      </c>
      <c r="BC58">
        <v>2040</v>
      </c>
      <c r="BD58" t="s">
        <v>74</v>
      </c>
      <c r="BE58" t="s">
        <v>1381</v>
      </c>
      <c r="BF58" t="str">
        <f>HYPERLINK("http://dx.doi.org/10.1002/lno.11435","http://dx.doi.org/10.1002/lno.11435")</f>
        <v>http://dx.doi.org/10.1002/lno.11435</v>
      </c>
      <c r="BG58" t="s">
        <v>74</v>
      </c>
      <c r="BH58" t="s">
        <v>692</v>
      </c>
      <c r="BI58">
        <v>17</v>
      </c>
      <c r="BJ58" t="s">
        <v>1382</v>
      </c>
      <c r="BK58" t="s">
        <v>103</v>
      </c>
      <c r="BL58" t="s">
        <v>1383</v>
      </c>
      <c r="BM58" t="s">
        <v>1384</v>
      </c>
      <c r="BN58" t="s">
        <v>74</v>
      </c>
      <c r="BO58" t="s">
        <v>1385</v>
      </c>
      <c r="BP58" t="s">
        <v>74</v>
      </c>
      <c r="BQ58" t="s">
        <v>74</v>
      </c>
      <c r="BR58" t="s">
        <v>106</v>
      </c>
      <c r="BS58" t="s">
        <v>1386</v>
      </c>
      <c r="BT58" t="str">
        <f>HYPERLINK("https%3A%2F%2Fwww.webofscience.com%2Fwos%2Fwoscc%2Ffull-record%2FWOS:000563700200001","View Full Record in Web of Science")</f>
        <v>View Full Record in Web of Science</v>
      </c>
    </row>
    <row r="59" spans="1:72" x14ac:dyDescent="0.15">
      <c r="A59" t="s">
        <v>72</v>
      </c>
      <c r="B59" t="s">
        <v>1387</v>
      </c>
      <c r="C59" t="s">
        <v>74</v>
      </c>
      <c r="D59" t="s">
        <v>74</v>
      </c>
      <c r="E59" t="s">
        <v>74</v>
      </c>
      <c r="F59" t="s">
        <v>1388</v>
      </c>
      <c r="G59" t="s">
        <v>74</v>
      </c>
      <c r="H59" t="s">
        <v>74</v>
      </c>
      <c r="I59" t="s">
        <v>1389</v>
      </c>
      <c r="J59" t="s">
        <v>1390</v>
      </c>
      <c r="K59" t="s">
        <v>74</v>
      </c>
      <c r="L59" t="s">
        <v>74</v>
      </c>
      <c r="M59" t="s">
        <v>78</v>
      </c>
      <c r="N59" t="s">
        <v>79</v>
      </c>
      <c r="O59" t="s">
        <v>74</v>
      </c>
      <c r="P59" t="s">
        <v>74</v>
      </c>
      <c r="Q59" t="s">
        <v>74</v>
      </c>
      <c r="R59" t="s">
        <v>74</v>
      </c>
      <c r="S59" t="s">
        <v>74</v>
      </c>
      <c r="T59" t="s">
        <v>74</v>
      </c>
      <c r="U59" t="s">
        <v>1391</v>
      </c>
      <c r="V59" t="s">
        <v>1392</v>
      </c>
      <c r="W59" t="s">
        <v>1393</v>
      </c>
      <c r="X59" t="s">
        <v>1394</v>
      </c>
      <c r="Y59" t="s">
        <v>1395</v>
      </c>
      <c r="Z59" t="s">
        <v>1396</v>
      </c>
      <c r="AA59" t="s">
        <v>1397</v>
      </c>
      <c r="AB59" t="s">
        <v>1398</v>
      </c>
      <c r="AC59" t="s">
        <v>74</v>
      </c>
      <c r="AD59" t="s">
        <v>74</v>
      </c>
      <c r="AE59" t="s">
        <v>74</v>
      </c>
      <c r="AF59" t="s">
        <v>74</v>
      </c>
      <c r="AG59">
        <v>68</v>
      </c>
      <c r="AH59">
        <v>13</v>
      </c>
      <c r="AI59">
        <v>13</v>
      </c>
      <c r="AJ59">
        <v>2</v>
      </c>
      <c r="AK59">
        <v>9</v>
      </c>
      <c r="AL59" t="s">
        <v>976</v>
      </c>
      <c r="AM59" t="s">
        <v>977</v>
      </c>
      <c r="AN59" t="s">
        <v>978</v>
      </c>
      <c r="AO59" t="s">
        <v>1399</v>
      </c>
      <c r="AP59" t="s">
        <v>1400</v>
      </c>
      <c r="AQ59" t="s">
        <v>74</v>
      </c>
      <c r="AR59" t="s">
        <v>1390</v>
      </c>
      <c r="AS59" t="s">
        <v>1401</v>
      </c>
      <c r="AT59" t="s">
        <v>1402</v>
      </c>
      <c r="AU59">
        <v>2020</v>
      </c>
      <c r="AV59">
        <v>17</v>
      </c>
      <c r="AW59">
        <v>6</v>
      </c>
      <c r="AX59" t="s">
        <v>74</v>
      </c>
      <c r="AY59" t="s">
        <v>74</v>
      </c>
      <c r="AZ59" t="s">
        <v>74</v>
      </c>
      <c r="BA59" t="s">
        <v>74</v>
      </c>
      <c r="BB59">
        <v>1437</v>
      </c>
      <c r="BC59">
        <v>1450</v>
      </c>
      <c r="BD59" t="s">
        <v>74</v>
      </c>
      <c r="BE59" t="s">
        <v>1403</v>
      </c>
      <c r="BF59" t="str">
        <f>HYPERLINK("http://dx.doi.org/10.5194/bg-17-1437-2020","http://dx.doi.org/10.5194/bg-17-1437-2020")</f>
        <v>http://dx.doi.org/10.5194/bg-17-1437-2020</v>
      </c>
      <c r="BG59" t="s">
        <v>74</v>
      </c>
      <c r="BH59" t="s">
        <v>74</v>
      </c>
      <c r="BI59">
        <v>14</v>
      </c>
      <c r="BJ59" t="s">
        <v>1404</v>
      </c>
      <c r="BK59" t="s">
        <v>103</v>
      </c>
      <c r="BL59" t="s">
        <v>1405</v>
      </c>
      <c r="BM59" t="s">
        <v>1406</v>
      </c>
      <c r="BN59" t="s">
        <v>74</v>
      </c>
      <c r="BO59" t="s">
        <v>987</v>
      </c>
      <c r="BP59" t="s">
        <v>74</v>
      </c>
      <c r="BQ59" t="s">
        <v>74</v>
      </c>
      <c r="BR59" t="s">
        <v>106</v>
      </c>
      <c r="BS59" t="s">
        <v>1407</v>
      </c>
      <c r="BT59" t="str">
        <f>HYPERLINK("https%3A%2F%2Fwww.webofscience.com%2Fwos%2Fwoscc%2Ffull-record%2FWOS:000521640600001","View Full Record in Web of Science")</f>
        <v>View Full Record in Web of Science</v>
      </c>
    </row>
    <row r="60" spans="1:72" x14ac:dyDescent="0.15">
      <c r="A60" t="s">
        <v>72</v>
      </c>
      <c r="B60" t="s">
        <v>1408</v>
      </c>
      <c r="C60" t="s">
        <v>74</v>
      </c>
      <c r="D60" t="s">
        <v>74</v>
      </c>
      <c r="E60" t="s">
        <v>74</v>
      </c>
      <c r="F60" t="s">
        <v>1409</v>
      </c>
      <c r="G60" t="s">
        <v>74</v>
      </c>
      <c r="H60" t="s">
        <v>74</v>
      </c>
      <c r="I60" t="s">
        <v>1410</v>
      </c>
      <c r="J60" t="s">
        <v>1411</v>
      </c>
      <c r="K60" t="s">
        <v>74</v>
      </c>
      <c r="L60" t="s">
        <v>74</v>
      </c>
      <c r="M60" t="s">
        <v>78</v>
      </c>
      <c r="N60" t="s">
        <v>79</v>
      </c>
      <c r="O60" t="s">
        <v>74</v>
      </c>
      <c r="P60" t="s">
        <v>74</v>
      </c>
      <c r="Q60" t="s">
        <v>74</v>
      </c>
      <c r="R60" t="s">
        <v>74</v>
      </c>
      <c r="S60" t="s">
        <v>74</v>
      </c>
      <c r="T60" t="s">
        <v>1412</v>
      </c>
      <c r="U60" t="s">
        <v>1413</v>
      </c>
      <c r="V60" t="s">
        <v>1414</v>
      </c>
      <c r="W60" t="s">
        <v>1415</v>
      </c>
      <c r="X60" t="s">
        <v>1416</v>
      </c>
      <c r="Y60" t="s">
        <v>1417</v>
      </c>
      <c r="Z60" t="s">
        <v>1418</v>
      </c>
      <c r="AA60" t="s">
        <v>74</v>
      </c>
      <c r="AB60" t="s">
        <v>1419</v>
      </c>
      <c r="AC60" t="s">
        <v>1420</v>
      </c>
      <c r="AD60" t="s">
        <v>1421</v>
      </c>
      <c r="AE60" t="s">
        <v>1422</v>
      </c>
      <c r="AF60" t="s">
        <v>74</v>
      </c>
      <c r="AG60">
        <v>40</v>
      </c>
      <c r="AH60">
        <v>3</v>
      </c>
      <c r="AI60">
        <v>3</v>
      </c>
      <c r="AJ60">
        <v>2</v>
      </c>
      <c r="AK60">
        <v>20</v>
      </c>
      <c r="AL60" t="s">
        <v>121</v>
      </c>
      <c r="AM60" t="s">
        <v>122</v>
      </c>
      <c r="AN60" t="s">
        <v>123</v>
      </c>
      <c r="AO60" t="s">
        <v>1423</v>
      </c>
      <c r="AP60" t="s">
        <v>1424</v>
      </c>
      <c r="AQ60" t="s">
        <v>74</v>
      </c>
      <c r="AR60" t="s">
        <v>1425</v>
      </c>
      <c r="AS60" t="s">
        <v>1426</v>
      </c>
      <c r="AT60" t="s">
        <v>1402</v>
      </c>
      <c r="AU60">
        <v>2020</v>
      </c>
      <c r="AV60">
        <v>192</v>
      </c>
      <c r="AW60">
        <v>4</v>
      </c>
      <c r="AX60" t="s">
        <v>74</v>
      </c>
      <c r="AY60" t="s">
        <v>74</v>
      </c>
      <c r="AZ60" t="s">
        <v>74</v>
      </c>
      <c r="BA60" t="s">
        <v>74</v>
      </c>
      <c r="BB60" t="s">
        <v>74</v>
      </c>
      <c r="BC60" t="s">
        <v>74</v>
      </c>
      <c r="BD60">
        <v>246</v>
      </c>
      <c r="BE60" t="s">
        <v>1427</v>
      </c>
      <c r="BF60" t="str">
        <f>HYPERLINK("http://dx.doi.org/10.1007/s10661-020-8212-7","http://dx.doi.org/10.1007/s10661-020-8212-7")</f>
        <v>http://dx.doi.org/10.1007/s10661-020-8212-7</v>
      </c>
      <c r="BG60" t="s">
        <v>74</v>
      </c>
      <c r="BH60" t="s">
        <v>74</v>
      </c>
      <c r="BI60">
        <v>11</v>
      </c>
      <c r="BJ60" t="s">
        <v>1196</v>
      </c>
      <c r="BK60" t="s">
        <v>103</v>
      </c>
      <c r="BL60" t="s">
        <v>219</v>
      </c>
      <c r="BM60" t="s">
        <v>1428</v>
      </c>
      <c r="BN60">
        <v>32206882</v>
      </c>
      <c r="BO60" t="s">
        <v>74</v>
      </c>
      <c r="BP60" t="s">
        <v>74</v>
      </c>
      <c r="BQ60" t="s">
        <v>74</v>
      </c>
      <c r="BR60" t="s">
        <v>106</v>
      </c>
      <c r="BS60" t="s">
        <v>1429</v>
      </c>
      <c r="BT60" t="str">
        <f>HYPERLINK("https%3A%2F%2Fwww.webofscience.com%2Fwos%2Fwoscc%2Ffull-record%2FWOS:000522023000003","View Full Record in Web of Science")</f>
        <v>View Full Record in Web of Science</v>
      </c>
    </row>
    <row r="61" spans="1:72" x14ac:dyDescent="0.15">
      <c r="A61" t="s">
        <v>72</v>
      </c>
      <c r="B61" t="s">
        <v>1430</v>
      </c>
      <c r="C61" t="s">
        <v>74</v>
      </c>
      <c r="D61" t="s">
        <v>74</v>
      </c>
      <c r="E61" t="s">
        <v>74</v>
      </c>
      <c r="F61" t="s">
        <v>1431</v>
      </c>
      <c r="G61" t="s">
        <v>74</v>
      </c>
      <c r="H61" t="s">
        <v>74</v>
      </c>
      <c r="I61" t="s">
        <v>1432</v>
      </c>
      <c r="J61" t="s">
        <v>1433</v>
      </c>
      <c r="K61" t="s">
        <v>74</v>
      </c>
      <c r="L61" t="s">
        <v>74</v>
      </c>
      <c r="M61" t="s">
        <v>78</v>
      </c>
      <c r="N61" t="s">
        <v>1434</v>
      </c>
      <c r="O61" t="s">
        <v>74</v>
      </c>
      <c r="P61" t="s">
        <v>74</v>
      </c>
      <c r="Q61" t="s">
        <v>74</v>
      </c>
      <c r="R61" t="s">
        <v>74</v>
      </c>
      <c r="S61" t="s">
        <v>74</v>
      </c>
      <c r="T61" t="s">
        <v>1435</v>
      </c>
      <c r="U61" t="s">
        <v>1436</v>
      </c>
      <c r="V61" t="s">
        <v>1437</v>
      </c>
      <c r="W61" t="s">
        <v>1438</v>
      </c>
      <c r="X61" t="s">
        <v>1439</v>
      </c>
      <c r="Y61" t="s">
        <v>1440</v>
      </c>
      <c r="Z61" t="s">
        <v>1441</v>
      </c>
      <c r="AA61" t="s">
        <v>1442</v>
      </c>
      <c r="AB61" t="s">
        <v>1443</v>
      </c>
      <c r="AC61" t="s">
        <v>1444</v>
      </c>
      <c r="AD61" t="s">
        <v>1445</v>
      </c>
      <c r="AE61" t="s">
        <v>1446</v>
      </c>
      <c r="AF61" t="s">
        <v>74</v>
      </c>
      <c r="AG61">
        <v>170</v>
      </c>
      <c r="AH61">
        <v>23</v>
      </c>
      <c r="AI61">
        <v>23</v>
      </c>
      <c r="AJ61">
        <v>2</v>
      </c>
      <c r="AK61">
        <v>16</v>
      </c>
      <c r="AL61" t="s">
        <v>211</v>
      </c>
      <c r="AM61" t="s">
        <v>212</v>
      </c>
      <c r="AN61" t="s">
        <v>213</v>
      </c>
      <c r="AO61" t="s">
        <v>1447</v>
      </c>
      <c r="AP61" t="s">
        <v>1448</v>
      </c>
      <c r="AQ61" t="s">
        <v>74</v>
      </c>
      <c r="AR61" t="s">
        <v>1433</v>
      </c>
      <c r="AS61" t="s">
        <v>1449</v>
      </c>
      <c r="AT61" t="s">
        <v>1450</v>
      </c>
      <c r="AU61">
        <v>2020</v>
      </c>
      <c r="AV61">
        <v>43</v>
      </c>
      <c r="AW61">
        <v>11</v>
      </c>
      <c r="AX61" t="s">
        <v>74</v>
      </c>
      <c r="AY61" t="s">
        <v>74</v>
      </c>
      <c r="AZ61" t="s">
        <v>74</v>
      </c>
      <c r="BA61" t="s">
        <v>74</v>
      </c>
      <c r="BB61">
        <v>1639</v>
      </c>
      <c r="BC61">
        <v>1656</v>
      </c>
      <c r="BD61" t="s">
        <v>74</v>
      </c>
      <c r="BE61" t="s">
        <v>1451</v>
      </c>
      <c r="BF61" t="str">
        <f>HYPERLINK("http://dx.doi.org/10.1111/ecog.04951","http://dx.doi.org/10.1111/ecog.04951")</f>
        <v>http://dx.doi.org/10.1111/ecog.04951</v>
      </c>
      <c r="BG61" t="s">
        <v>74</v>
      </c>
      <c r="BH61" t="s">
        <v>692</v>
      </c>
      <c r="BI61">
        <v>18</v>
      </c>
      <c r="BJ61" t="s">
        <v>130</v>
      </c>
      <c r="BK61" t="s">
        <v>103</v>
      </c>
      <c r="BL61" t="s">
        <v>131</v>
      </c>
      <c r="BM61" t="s">
        <v>1452</v>
      </c>
      <c r="BN61" t="s">
        <v>74</v>
      </c>
      <c r="BO61" t="s">
        <v>667</v>
      </c>
      <c r="BP61" t="s">
        <v>74</v>
      </c>
      <c r="BQ61" t="s">
        <v>74</v>
      </c>
      <c r="BR61" t="s">
        <v>106</v>
      </c>
      <c r="BS61" t="s">
        <v>1453</v>
      </c>
      <c r="BT61" t="str">
        <f>HYPERLINK("https%3A%2F%2Fwww.webofscience.com%2Fwos%2Fwoscc%2Ffull-record%2FWOS:000521085200001","View Full Record in Web of Science")</f>
        <v>View Full Record in Web of Science</v>
      </c>
    </row>
    <row r="62" spans="1:72" x14ac:dyDescent="0.15">
      <c r="A62" t="s">
        <v>72</v>
      </c>
      <c r="B62" t="s">
        <v>1454</v>
      </c>
      <c r="C62" t="s">
        <v>74</v>
      </c>
      <c r="D62" t="s">
        <v>74</v>
      </c>
      <c r="E62" t="s">
        <v>74</v>
      </c>
      <c r="F62" t="s">
        <v>1455</v>
      </c>
      <c r="G62" t="s">
        <v>74</v>
      </c>
      <c r="H62" t="s">
        <v>74</v>
      </c>
      <c r="I62" t="s">
        <v>1456</v>
      </c>
      <c r="J62" t="s">
        <v>1457</v>
      </c>
      <c r="K62" t="s">
        <v>74</v>
      </c>
      <c r="L62" t="s">
        <v>74</v>
      </c>
      <c r="M62" t="s">
        <v>78</v>
      </c>
      <c r="N62" t="s">
        <v>79</v>
      </c>
      <c r="O62" t="s">
        <v>74</v>
      </c>
      <c r="P62" t="s">
        <v>74</v>
      </c>
      <c r="Q62" t="s">
        <v>74</v>
      </c>
      <c r="R62" t="s">
        <v>74</v>
      </c>
      <c r="S62" t="s">
        <v>74</v>
      </c>
      <c r="T62" t="s">
        <v>1458</v>
      </c>
      <c r="U62" t="s">
        <v>1459</v>
      </c>
      <c r="V62" t="s">
        <v>1460</v>
      </c>
      <c r="W62" t="s">
        <v>1461</v>
      </c>
      <c r="X62" t="s">
        <v>1462</v>
      </c>
      <c r="Y62" t="s">
        <v>1463</v>
      </c>
      <c r="Z62" t="s">
        <v>1464</v>
      </c>
      <c r="AA62" t="s">
        <v>1465</v>
      </c>
      <c r="AB62" t="s">
        <v>1466</v>
      </c>
      <c r="AC62" t="s">
        <v>1467</v>
      </c>
      <c r="AD62" t="s">
        <v>1468</v>
      </c>
      <c r="AE62" t="s">
        <v>1469</v>
      </c>
      <c r="AF62" t="s">
        <v>74</v>
      </c>
      <c r="AG62">
        <v>39</v>
      </c>
      <c r="AH62">
        <v>13</v>
      </c>
      <c r="AI62">
        <v>14</v>
      </c>
      <c r="AJ62">
        <v>1</v>
      </c>
      <c r="AK62">
        <v>7</v>
      </c>
      <c r="AL62" t="s">
        <v>360</v>
      </c>
      <c r="AM62" t="s">
        <v>361</v>
      </c>
      <c r="AN62" t="s">
        <v>362</v>
      </c>
      <c r="AO62" t="s">
        <v>1470</v>
      </c>
      <c r="AP62" t="s">
        <v>1471</v>
      </c>
      <c r="AQ62" t="s">
        <v>74</v>
      </c>
      <c r="AR62" t="s">
        <v>1472</v>
      </c>
      <c r="AS62" t="s">
        <v>1473</v>
      </c>
      <c r="AT62" t="s">
        <v>690</v>
      </c>
      <c r="AU62">
        <v>2020</v>
      </c>
      <c r="AV62">
        <v>37</v>
      </c>
      <c r="AW62">
        <v>5</v>
      </c>
      <c r="AX62" t="s">
        <v>74</v>
      </c>
      <c r="AY62" t="s">
        <v>74</v>
      </c>
      <c r="AZ62" t="s">
        <v>342</v>
      </c>
      <c r="BA62" t="s">
        <v>74</v>
      </c>
      <c r="BB62">
        <v>431</v>
      </c>
      <c r="BC62">
        <v>440</v>
      </c>
      <c r="BD62" t="s">
        <v>74</v>
      </c>
      <c r="BE62" t="s">
        <v>1474</v>
      </c>
      <c r="BF62" t="str">
        <f>HYPERLINK("http://dx.doi.org/10.1007/s00376-019-8231-x","http://dx.doi.org/10.1007/s00376-019-8231-x")</f>
        <v>http://dx.doi.org/10.1007/s00376-019-8231-x</v>
      </c>
      <c r="BG62" t="s">
        <v>74</v>
      </c>
      <c r="BH62" t="s">
        <v>692</v>
      </c>
      <c r="BI62">
        <v>10</v>
      </c>
      <c r="BJ62" t="s">
        <v>907</v>
      </c>
      <c r="BK62" t="s">
        <v>103</v>
      </c>
      <c r="BL62" t="s">
        <v>907</v>
      </c>
      <c r="BM62" t="s">
        <v>1475</v>
      </c>
      <c r="BN62" t="s">
        <v>74</v>
      </c>
      <c r="BO62" t="s">
        <v>148</v>
      </c>
      <c r="BP62" t="s">
        <v>74</v>
      </c>
      <c r="BQ62" t="s">
        <v>74</v>
      </c>
      <c r="BR62" t="s">
        <v>106</v>
      </c>
      <c r="BS62" t="s">
        <v>1476</v>
      </c>
      <c r="BT62" t="str">
        <f>HYPERLINK("https%3A%2F%2Fwww.webofscience.com%2Fwos%2Fwoscc%2Ffull-record%2FWOS:000522903600001","View Full Record in Web of Science")</f>
        <v>View Full Record in Web of Science</v>
      </c>
    </row>
    <row r="63" spans="1:72" x14ac:dyDescent="0.15">
      <c r="A63" t="s">
        <v>72</v>
      </c>
      <c r="B63" t="s">
        <v>1477</v>
      </c>
      <c r="C63" t="s">
        <v>74</v>
      </c>
      <c r="D63" t="s">
        <v>74</v>
      </c>
      <c r="E63" t="s">
        <v>74</v>
      </c>
      <c r="F63" t="s">
        <v>1478</v>
      </c>
      <c r="G63" t="s">
        <v>74</v>
      </c>
      <c r="H63" t="s">
        <v>74</v>
      </c>
      <c r="I63" t="s">
        <v>1479</v>
      </c>
      <c r="J63" t="s">
        <v>1480</v>
      </c>
      <c r="K63" t="s">
        <v>74</v>
      </c>
      <c r="L63" t="s">
        <v>74</v>
      </c>
      <c r="M63" t="s">
        <v>78</v>
      </c>
      <c r="N63" t="s">
        <v>79</v>
      </c>
      <c r="O63" t="s">
        <v>74</v>
      </c>
      <c r="P63" t="s">
        <v>74</v>
      </c>
      <c r="Q63" t="s">
        <v>74</v>
      </c>
      <c r="R63" t="s">
        <v>74</v>
      </c>
      <c r="S63" t="s">
        <v>74</v>
      </c>
      <c r="T63" t="s">
        <v>1481</v>
      </c>
      <c r="U63" t="s">
        <v>1482</v>
      </c>
      <c r="V63" t="s">
        <v>1483</v>
      </c>
      <c r="W63" t="s">
        <v>1484</v>
      </c>
      <c r="X63" t="s">
        <v>1485</v>
      </c>
      <c r="Y63" t="s">
        <v>1486</v>
      </c>
      <c r="Z63" t="s">
        <v>1487</v>
      </c>
      <c r="AA63" t="s">
        <v>74</v>
      </c>
      <c r="AB63" t="s">
        <v>74</v>
      </c>
      <c r="AC63" t="s">
        <v>1488</v>
      </c>
      <c r="AD63" t="s">
        <v>1489</v>
      </c>
      <c r="AE63" t="s">
        <v>1490</v>
      </c>
      <c r="AF63" t="s">
        <v>74</v>
      </c>
      <c r="AG63">
        <v>29</v>
      </c>
      <c r="AH63">
        <v>1</v>
      </c>
      <c r="AI63">
        <v>1</v>
      </c>
      <c r="AJ63">
        <v>1</v>
      </c>
      <c r="AK63">
        <v>3</v>
      </c>
      <c r="AL63" t="s">
        <v>1480</v>
      </c>
      <c r="AM63" t="s">
        <v>1491</v>
      </c>
      <c r="AN63" t="s">
        <v>1492</v>
      </c>
      <c r="AO63" t="s">
        <v>74</v>
      </c>
      <c r="AP63" t="s">
        <v>1493</v>
      </c>
      <c r="AQ63" t="s">
        <v>74</v>
      </c>
      <c r="AR63" t="s">
        <v>1480</v>
      </c>
      <c r="AS63" t="s">
        <v>1494</v>
      </c>
      <c r="AT63" t="s">
        <v>1495</v>
      </c>
      <c r="AU63">
        <v>2020</v>
      </c>
      <c r="AV63">
        <v>10</v>
      </c>
      <c r="AW63">
        <v>6</v>
      </c>
      <c r="AX63" t="s">
        <v>74</v>
      </c>
      <c r="AY63" t="s">
        <v>74</v>
      </c>
      <c r="AZ63" t="s">
        <v>74</v>
      </c>
      <c r="BA63" t="s">
        <v>74</v>
      </c>
      <c r="BB63" t="s">
        <v>74</v>
      </c>
      <c r="BC63" t="s">
        <v>74</v>
      </c>
      <c r="BD63" t="s">
        <v>1496</v>
      </c>
      <c r="BE63" t="s">
        <v>1497</v>
      </c>
      <c r="BF63" t="str">
        <f>HYPERLINK("http://dx.doi.org/10.21769/BioProtoc.3551","http://dx.doi.org/10.21769/BioProtoc.3551")</f>
        <v>http://dx.doi.org/10.21769/BioProtoc.3551</v>
      </c>
      <c r="BG63" t="s">
        <v>74</v>
      </c>
      <c r="BH63" t="s">
        <v>74</v>
      </c>
      <c r="BI63">
        <v>13</v>
      </c>
      <c r="BJ63" t="s">
        <v>1498</v>
      </c>
      <c r="BK63" t="s">
        <v>274</v>
      </c>
      <c r="BL63" t="s">
        <v>1499</v>
      </c>
      <c r="BM63" t="s">
        <v>1500</v>
      </c>
      <c r="BN63">
        <v>33659525</v>
      </c>
      <c r="BO63" t="s">
        <v>133</v>
      </c>
      <c r="BP63" t="s">
        <v>74</v>
      </c>
      <c r="BQ63" t="s">
        <v>74</v>
      </c>
      <c r="BR63" t="s">
        <v>106</v>
      </c>
      <c r="BS63" t="s">
        <v>1501</v>
      </c>
      <c r="BT63" t="str">
        <f>HYPERLINK("https%3A%2F%2Fwww.webofscience.com%2Fwos%2Fwoscc%2Ffull-record%2FWOS:000583094700002","View Full Record in Web of Science")</f>
        <v>View Full Record in Web of Science</v>
      </c>
    </row>
    <row r="64" spans="1:72" x14ac:dyDescent="0.15">
      <c r="A64" t="s">
        <v>72</v>
      </c>
      <c r="B64" t="s">
        <v>1502</v>
      </c>
      <c r="C64" t="s">
        <v>74</v>
      </c>
      <c r="D64" t="s">
        <v>74</v>
      </c>
      <c r="E64" t="s">
        <v>74</v>
      </c>
      <c r="F64" t="s">
        <v>1503</v>
      </c>
      <c r="G64" t="s">
        <v>74</v>
      </c>
      <c r="H64" t="s">
        <v>74</v>
      </c>
      <c r="I64" t="s">
        <v>1504</v>
      </c>
      <c r="J64" t="s">
        <v>940</v>
      </c>
      <c r="K64" t="s">
        <v>74</v>
      </c>
      <c r="L64" t="s">
        <v>74</v>
      </c>
      <c r="M64" t="s">
        <v>78</v>
      </c>
      <c r="N64" t="s">
        <v>79</v>
      </c>
      <c r="O64" t="s">
        <v>74</v>
      </c>
      <c r="P64" t="s">
        <v>74</v>
      </c>
      <c r="Q64" t="s">
        <v>74</v>
      </c>
      <c r="R64" t="s">
        <v>74</v>
      </c>
      <c r="S64" t="s">
        <v>74</v>
      </c>
      <c r="T64" t="s">
        <v>74</v>
      </c>
      <c r="U64" t="s">
        <v>1505</v>
      </c>
      <c r="V64" t="s">
        <v>1506</v>
      </c>
      <c r="W64" t="s">
        <v>1507</v>
      </c>
      <c r="X64" t="s">
        <v>1508</v>
      </c>
      <c r="Y64" t="s">
        <v>1509</v>
      </c>
      <c r="Z64" t="s">
        <v>1510</v>
      </c>
      <c r="AA64" t="s">
        <v>1511</v>
      </c>
      <c r="AB64" t="s">
        <v>1512</v>
      </c>
      <c r="AC64" t="s">
        <v>1513</v>
      </c>
      <c r="AD64" t="s">
        <v>1514</v>
      </c>
      <c r="AE64" t="s">
        <v>1515</v>
      </c>
      <c r="AF64" t="s">
        <v>74</v>
      </c>
      <c r="AG64">
        <v>89</v>
      </c>
      <c r="AH64">
        <v>15</v>
      </c>
      <c r="AI64">
        <v>15</v>
      </c>
      <c r="AJ64">
        <v>1</v>
      </c>
      <c r="AK64">
        <v>7</v>
      </c>
      <c r="AL64" t="s">
        <v>951</v>
      </c>
      <c r="AM64" t="s">
        <v>952</v>
      </c>
      <c r="AN64" t="s">
        <v>953</v>
      </c>
      <c r="AO64" t="s">
        <v>954</v>
      </c>
      <c r="AP64" t="s">
        <v>74</v>
      </c>
      <c r="AQ64" t="s">
        <v>74</v>
      </c>
      <c r="AR64" t="s">
        <v>955</v>
      </c>
      <c r="AS64" t="s">
        <v>956</v>
      </c>
      <c r="AT64" t="s">
        <v>1495</v>
      </c>
      <c r="AU64">
        <v>2020</v>
      </c>
      <c r="AV64">
        <v>10</v>
      </c>
      <c r="AW64">
        <v>1</v>
      </c>
      <c r="AX64" t="s">
        <v>74</v>
      </c>
      <c r="AY64" t="s">
        <v>74</v>
      </c>
      <c r="AZ64" t="s">
        <v>74</v>
      </c>
      <c r="BA64" t="s">
        <v>74</v>
      </c>
      <c r="BB64" t="s">
        <v>74</v>
      </c>
      <c r="BC64" t="s">
        <v>74</v>
      </c>
      <c r="BD64">
        <v>5089</v>
      </c>
      <c r="BE64" t="s">
        <v>1516</v>
      </c>
      <c r="BF64" t="str">
        <f>HYPERLINK("http://dx.doi.org/10.1038/s41598-020-61560-8","http://dx.doi.org/10.1038/s41598-020-61560-8")</f>
        <v>http://dx.doi.org/10.1038/s41598-020-61560-8</v>
      </c>
      <c r="BG64" t="s">
        <v>74</v>
      </c>
      <c r="BH64" t="s">
        <v>74</v>
      </c>
      <c r="BI64">
        <v>12</v>
      </c>
      <c r="BJ64" t="s">
        <v>322</v>
      </c>
      <c r="BK64" t="s">
        <v>103</v>
      </c>
      <c r="BL64" t="s">
        <v>323</v>
      </c>
      <c r="BM64" t="s">
        <v>1517</v>
      </c>
      <c r="BN64">
        <v>32198403</v>
      </c>
      <c r="BO64" t="s">
        <v>1518</v>
      </c>
      <c r="BP64" t="s">
        <v>74</v>
      </c>
      <c r="BQ64" t="s">
        <v>74</v>
      </c>
      <c r="BR64" t="s">
        <v>106</v>
      </c>
      <c r="BS64" t="s">
        <v>1519</v>
      </c>
      <c r="BT64" t="str">
        <f>HYPERLINK("https%3A%2F%2Fwww.webofscience.com%2Fwos%2Fwoscc%2Ffull-record%2FWOS:000559778700001","View Full Record in Web of Science")</f>
        <v>View Full Record in Web of Science</v>
      </c>
    </row>
    <row r="65" spans="1:72" x14ac:dyDescent="0.15">
      <c r="A65" t="s">
        <v>72</v>
      </c>
      <c r="B65" t="s">
        <v>1520</v>
      </c>
      <c r="C65" t="s">
        <v>74</v>
      </c>
      <c r="D65" t="s">
        <v>74</v>
      </c>
      <c r="E65" t="s">
        <v>74</v>
      </c>
      <c r="F65" t="s">
        <v>1521</v>
      </c>
      <c r="G65" t="s">
        <v>74</v>
      </c>
      <c r="H65" t="s">
        <v>74</v>
      </c>
      <c r="I65" t="s">
        <v>1522</v>
      </c>
      <c r="J65" t="s">
        <v>1523</v>
      </c>
      <c r="K65" t="s">
        <v>74</v>
      </c>
      <c r="L65" t="s">
        <v>74</v>
      </c>
      <c r="M65" t="s">
        <v>78</v>
      </c>
      <c r="N65" t="s">
        <v>79</v>
      </c>
      <c r="O65" t="s">
        <v>74</v>
      </c>
      <c r="P65" t="s">
        <v>74</v>
      </c>
      <c r="Q65" t="s">
        <v>74</v>
      </c>
      <c r="R65" t="s">
        <v>74</v>
      </c>
      <c r="S65" t="s">
        <v>74</v>
      </c>
      <c r="T65" t="s">
        <v>74</v>
      </c>
      <c r="U65" t="s">
        <v>1524</v>
      </c>
      <c r="V65" t="s">
        <v>1525</v>
      </c>
      <c r="W65" t="s">
        <v>1526</v>
      </c>
      <c r="X65" t="s">
        <v>1527</v>
      </c>
      <c r="Y65" t="s">
        <v>1528</v>
      </c>
      <c r="Z65" t="s">
        <v>1529</v>
      </c>
      <c r="AA65" t="s">
        <v>1530</v>
      </c>
      <c r="AB65" t="s">
        <v>1531</v>
      </c>
      <c r="AC65" t="s">
        <v>1532</v>
      </c>
      <c r="AD65" t="s">
        <v>1533</v>
      </c>
      <c r="AE65" t="s">
        <v>1534</v>
      </c>
      <c r="AF65" t="s">
        <v>74</v>
      </c>
      <c r="AG65">
        <v>52</v>
      </c>
      <c r="AH65">
        <v>32</v>
      </c>
      <c r="AI65">
        <v>35</v>
      </c>
      <c r="AJ65">
        <v>8</v>
      </c>
      <c r="AK65">
        <v>31</v>
      </c>
      <c r="AL65" t="s">
        <v>925</v>
      </c>
      <c r="AM65" t="s">
        <v>266</v>
      </c>
      <c r="AN65" t="s">
        <v>926</v>
      </c>
      <c r="AO65" t="s">
        <v>1535</v>
      </c>
      <c r="AP65" t="s">
        <v>74</v>
      </c>
      <c r="AQ65" t="s">
        <v>74</v>
      </c>
      <c r="AR65" t="s">
        <v>1536</v>
      </c>
      <c r="AS65" t="s">
        <v>1537</v>
      </c>
      <c r="AT65" t="s">
        <v>1495</v>
      </c>
      <c r="AU65">
        <v>2020</v>
      </c>
      <c r="AV65">
        <v>9</v>
      </c>
      <c r="AW65">
        <v>3</v>
      </c>
      <c r="AX65" t="s">
        <v>74</v>
      </c>
      <c r="AY65" t="s">
        <v>74</v>
      </c>
      <c r="AZ65" t="s">
        <v>74</v>
      </c>
      <c r="BA65" t="s">
        <v>74</v>
      </c>
      <c r="BB65">
        <v>475</v>
      </c>
      <c r="BC65">
        <v>485</v>
      </c>
      <c r="BD65" t="s">
        <v>74</v>
      </c>
      <c r="BE65" t="s">
        <v>1538</v>
      </c>
      <c r="BF65" t="str">
        <f>HYPERLINK("http://dx.doi.org/10.1021/acssynbio.9b00404","http://dx.doi.org/10.1021/acssynbio.9b00404")</f>
        <v>http://dx.doi.org/10.1021/acssynbio.9b00404</v>
      </c>
      <c r="BG65" t="s">
        <v>74</v>
      </c>
      <c r="BH65" t="s">
        <v>74</v>
      </c>
      <c r="BI65">
        <v>11</v>
      </c>
      <c r="BJ65" t="s">
        <v>1539</v>
      </c>
      <c r="BK65" t="s">
        <v>103</v>
      </c>
      <c r="BL65" t="s">
        <v>1540</v>
      </c>
      <c r="BM65" t="s">
        <v>1541</v>
      </c>
      <c r="BN65">
        <v>32105449</v>
      </c>
      <c r="BO65" t="s">
        <v>1542</v>
      </c>
      <c r="BP65" t="s">
        <v>74</v>
      </c>
      <c r="BQ65" t="s">
        <v>74</v>
      </c>
      <c r="BR65" t="s">
        <v>106</v>
      </c>
      <c r="BS65" t="s">
        <v>1543</v>
      </c>
      <c r="BT65" t="str">
        <f>HYPERLINK("https%3A%2F%2Fwww.webofscience.com%2Fwos%2Fwoscc%2Ffull-record%2FWOS:000526388400003","View Full Record in Web of Science")</f>
        <v>View Full Record in Web of Science</v>
      </c>
    </row>
    <row r="66" spans="1:72" x14ac:dyDescent="0.15">
      <c r="A66" t="s">
        <v>72</v>
      </c>
      <c r="B66" t="s">
        <v>1544</v>
      </c>
      <c r="C66" t="s">
        <v>74</v>
      </c>
      <c r="D66" t="s">
        <v>74</v>
      </c>
      <c r="E66" t="s">
        <v>74</v>
      </c>
      <c r="F66" t="s">
        <v>1545</v>
      </c>
      <c r="G66" t="s">
        <v>74</v>
      </c>
      <c r="H66" t="s">
        <v>74</v>
      </c>
      <c r="I66" t="s">
        <v>1546</v>
      </c>
      <c r="J66" t="s">
        <v>1547</v>
      </c>
      <c r="K66" t="s">
        <v>74</v>
      </c>
      <c r="L66" t="s">
        <v>74</v>
      </c>
      <c r="M66" t="s">
        <v>78</v>
      </c>
      <c r="N66" t="s">
        <v>1434</v>
      </c>
      <c r="O66" t="s">
        <v>74</v>
      </c>
      <c r="P66" t="s">
        <v>74</v>
      </c>
      <c r="Q66" t="s">
        <v>74</v>
      </c>
      <c r="R66" t="s">
        <v>74</v>
      </c>
      <c r="S66" t="s">
        <v>74</v>
      </c>
      <c r="T66" t="s">
        <v>74</v>
      </c>
      <c r="U66" t="s">
        <v>1548</v>
      </c>
      <c r="V66" t="s">
        <v>1549</v>
      </c>
      <c r="W66" t="s">
        <v>1550</v>
      </c>
      <c r="X66" t="s">
        <v>1551</v>
      </c>
      <c r="Y66" t="s">
        <v>1552</v>
      </c>
      <c r="Z66" t="s">
        <v>1553</v>
      </c>
      <c r="AA66" t="s">
        <v>1554</v>
      </c>
      <c r="AB66" t="s">
        <v>1555</v>
      </c>
      <c r="AC66" t="s">
        <v>1556</v>
      </c>
      <c r="AD66" t="s">
        <v>1557</v>
      </c>
      <c r="AE66" t="s">
        <v>1558</v>
      </c>
      <c r="AF66" t="s">
        <v>74</v>
      </c>
      <c r="AG66">
        <v>53</v>
      </c>
      <c r="AH66">
        <v>28</v>
      </c>
      <c r="AI66">
        <v>30</v>
      </c>
      <c r="AJ66">
        <v>2</v>
      </c>
      <c r="AK66">
        <v>81</v>
      </c>
      <c r="AL66" t="s">
        <v>315</v>
      </c>
      <c r="AM66" t="s">
        <v>266</v>
      </c>
      <c r="AN66" t="s">
        <v>316</v>
      </c>
      <c r="AO66" t="s">
        <v>1559</v>
      </c>
      <c r="AP66" t="s">
        <v>1560</v>
      </c>
      <c r="AQ66" t="s">
        <v>74</v>
      </c>
      <c r="AR66" t="s">
        <v>1547</v>
      </c>
      <c r="AS66" t="s">
        <v>1561</v>
      </c>
      <c r="AT66" t="s">
        <v>1495</v>
      </c>
      <c r="AU66">
        <v>2020</v>
      </c>
      <c r="AV66">
        <v>367</v>
      </c>
      <c r="AW66">
        <v>6484</v>
      </c>
      <c r="AX66" t="s">
        <v>74</v>
      </c>
      <c r="AY66" t="s">
        <v>74</v>
      </c>
      <c r="AZ66" t="s">
        <v>342</v>
      </c>
      <c r="BA66" t="s">
        <v>74</v>
      </c>
      <c r="BB66">
        <v>1321</v>
      </c>
      <c r="BC66">
        <v>1325</v>
      </c>
      <c r="BD66" t="s">
        <v>74</v>
      </c>
      <c r="BE66" t="s">
        <v>1562</v>
      </c>
      <c r="BF66" t="str">
        <f>HYPERLINK("http://dx.doi.org/10.1126/science.aaz5489","http://dx.doi.org/10.1126/science.aaz5489")</f>
        <v>http://dx.doi.org/10.1126/science.aaz5489</v>
      </c>
      <c r="BG66" t="s">
        <v>74</v>
      </c>
      <c r="BH66" t="s">
        <v>74</v>
      </c>
      <c r="BI66">
        <v>5</v>
      </c>
      <c r="BJ66" t="s">
        <v>322</v>
      </c>
      <c r="BK66" t="s">
        <v>103</v>
      </c>
      <c r="BL66" t="s">
        <v>323</v>
      </c>
      <c r="BM66" t="s">
        <v>1563</v>
      </c>
      <c r="BN66">
        <v>32193319</v>
      </c>
      <c r="BO66" t="s">
        <v>74</v>
      </c>
      <c r="BP66" t="s">
        <v>74</v>
      </c>
      <c r="BQ66" t="s">
        <v>74</v>
      </c>
      <c r="BR66" t="s">
        <v>106</v>
      </c>
      <c r="BS66" t="s">
        <v>1564</v>
      </c>
      <c r="BT66" t="str">
        <f>HYPERLINK("https%3A%2F%2Fwww.webofscience.com%2Fwos%2Fwoscc%2Ffull-record%2FWOS:000522167400040","View Full Record in Web of Science")</f>
        <v>View Full Record in Web of Science</v>
      </c>
    </row>
    <row r="67" spans="1:72" x14ac:dyDescent="0.15">
      <c r="A67" t="s">
        <v>72</v>
      </c>
      <c r="B67" t="s">
        <v>1565</v>
      </c>
      <c r="C67" t="s">
        <v>74</v>
      </c>
      <c r="D67" t="s">
        <v>74</v>
      </c>
      <c r="E67" t="s">
        <v>74</v>
      </c>
      <c r="F67" t="s">
        <v>1566</v>
      </c>
      <c r="G67" t="s">
        <v>74</v>
      </c>
      <c r="H67" t="s">
        <v>74</v>
      </c>
      <c r="I67" t="s">
        <v>1567</v>
      </c>
      <c r="J67" t="s">
        <v>1547</v>
      </c>
      <c r="K67" t="s">
        <v>74</v>
      </c>
      <c r="L67" t="s">
        <v>74</v>
      </c>
      <c r="M67" t="s">
        <v>78</v>
      </c>
      <c r="N67" t="s">
        <v>1434</v>
      </c>
      <c r="O67" t="s">
        <v>74</v>
      </c>
      <c r="P67" t="s">
        <v>74</v>
      </c>
      <c r="Q67" t="s">
        <v>74</v>
      </c>
      <c r="R67" t="s">
        <v>74</v>
      </c>
      <c r="S67" t="s">
        <v>74</v>
      </c>
      <c r="T67" t="s">
        <v>74</v>
      </c>
      <c r="U67" t="s">
        <v>1568</v>
      </c>
      <c r="V67" t="s">
        <v>1569</v>
      </c>
      <c r="W67" t="s">
        <v>1570</v>
      </c>
      <c r="X67" t="s">
        <v>1571</v>
      </c>
      <c r="Y67" t="s">
        <v>1572</v>
      </c>
      <c r="Z67" t="s">
        <v>1573</v>
      </c>
      <c r="AA67" t="s">
        <v>74</v>
      </c>
      <c r="AB67" t="s">
        <v>74</v>
      </c>
      <c r="AC67" t="s">
        <v>1574</v>
      </c>
      <c r="AD67" t="s">
        <v>1575</v>
      </c>
      <c r="AE67" t="s">
        <v>1576</v>
      </c>
      <c r="AF67" t="s">
        <v>74</v>
      </c>
      <c r="AG67">
        <v>44</v>
      </c>
      <c r="AH67">
        <v>24</v>
      </c>
      <c r="AI67">
        <v>31</v>
      </c>
      <c r="AJ67">
        <v>4</v>
      </c>
      <c r="AK67">
        <v>63</v>
      </c>
      <c r="AL67" t="s">
        <v>315</v>
      </c>
      <c r="AM67" t="s">
        <v>266</v>
      </c>
      <c r="AN67" t="s">
        <v>316</v>
      </c>
      <c r="AO67" t="s">
        <v>1559</v>
      </c>
      <c r="AP67" t="s">
        <v>1560</v>
      </c>
      <c r="AQ67" t="s">
        <v>74</v>
      </c>
      <c r="AR67" t="s">
        <v>1547</v>
      </c>
      <c r="AS67" t="s">
        <v>1561</v>
      </c>
      <c r="AT67" t="s">
        <v>1495</v>
      </c>
      <c r="AU67">
        <v>2020</v>
      </c>
      <c r="AV67">
        <v>367</v>
      </c>
      <c r="AW67">
        <v>6484</v>
      </c>
      <c r="AX67" t="s">
        <v>74</v>
      </c>
      <c r="AY67" t="s">
        <v>74</v>
      </c>
      <c r="AZ67" t="s">
        <v>342</v>
      </c>
      <c r="BA67" t="s">
        <v>74</v>
      </c>
      <c r="BB67">
        <v>1326</v>
      </c>
      <c r="BC67">
        <v>1330</v>
      </c>
      <c r="BD67" t="s">
        <v>74</v>
      </c>
      <c r="BE67" t="s">
        <v>1577</v>
      </c>
      <c r="BF67" t="str">
        <f>HYPERLINK("http://dx.doi.org/10.1126/science.aaz5491","http://dx.doi.org/10.1126/science.aaz5491")</f>
        <v>http://dx.doi.org/10.1126/science.aaz5491</v>
      </c>
      <c r="BG67" t="s">
        <v>74</v>
      </c>
      <c r="BH67" t="s">
        <v>74</v>
      </c>
      <c r="BI67">
        <v>5</v>
      </c>
      <c r="BJ67" t="s">
        <v>322</v>
      </c>
      <c r="BK67" t="s">
        <v>103</v>
      </c>
      <c r="BL67" t="s">
        <v>323</v>
      </c>
      <c r="BM67" t="s">
        <v>1563</v>
      </c>
      <c r="BN67">
        <v>32193320</v>
      </c>
      <c r="BO67" t="s">
        <v>74</v>
      </c>
      <c r="BP67" t="s">
        <v>74</v>
      </c>
      <c r="BQ67" t="s">
        <v>74</v>
      </c>
      <c r="BR67" t="s">
        <v>106</v>
      </c>
      <c r="BS67" t="s">
        <v>1578</v>
      </c>
      <c r="BT67" t="str">
        <f>HYPERLINK("https%3A%2F%2Fwww.webofscience.com%2Fwos%2Fwoscc%2Ffull-record%2FWOS:000522167400041","View Full Record in Web of Science")</f>
        <v>View Full Record in Web of Science</v>
      </c>
    </row>
    <row r="68" spans="1:72" x14ac:dyDescent="0.15">
      <c r="A68" t="s">
        <v>72</v>
      </c>
      <c r="B68" t="s">
        <v>1579</v>
      </c>
      <c r="C68" t="s">
        <v>74</v>
      </c>
      <c r="D68" t="s">
        <v>74</v>
      </c>
      <c r="E68" t="s">
        <v>74</v>
      </c>
      <c r="F68" t="s">
        <v>1580</v>
      </c>
      <c r="G68" t="s">
        <v>74</v>
      </c>
      <c r="H68" t="s">
        <v>74</v>
      </c>
      <c r="I68" t="s">
        <v>1581</v>
      </c>
      <c r="J68" t="s">
        <v>1547</v>
      </c>
      <c r="K68" t="s">
        <v>74</v>
      </c>
      <c r="L68" t="s">
        <v>74</v>
      </c>
      <c r="M68" t="s">
        <v>78</v>
      </c>
      <c r="N68" t="s">
        <v>1434</v>
      </c>
      <c r="O68" t="s">
        <v>74</v>
      </c>
      <c r="P68" t="s">
        <v>74</v>
      </c>
      <c r="Q68" t="s">
        <v>74</v>
      </c>
      <c r="R68" t="s">
        <v>74</v>
      </c>
      <c r="S68" t="s">
        <v>74</v>
      </c>
      <c r="T68" t="s">
        <v>74</v>
      </c>
      <c r="U68" t="s">
        <v>1582</v>
      </c>
      <c r="V68" t="s">
        <v>1583</v>
      </c>
      <c r="W68" t="s">
        <v>1584</v>
      </c>
      <c r="X68" t="s">
        <v>1585</v>
      </c>
      <c r="Y68" t="s">
        <v>1586</v>
      </c>
      <c r="Z68" t="s">
        <v>1587</v>
      </c>
      <c r="AA68" t="s">
        <v>1588</v>
      </c>
      <c r="AB68" t="s">
        <v>1589</v>
      </c>
      <c r="AC68" t="s">
        <v>74</v>
      </c>
      <c r="AD68" t="s">
        <v>74</v>
      </c>
      <c r="AE68" t="s">
        <v>74</v>
      </c>
      <c r="AF68" t="s">
        <v>74</v>
      </c>
      <c r="AG68">
        <v>47</v>
      </c>
      <c r="AH68">
        <v>71</v>
      </c>
      <c r="AI68">
        <v>84</v>
      </c>
      <c r="AJ68">
        <v>5</v>
      </c>
      <c r="AK68">
        <v>81</v>
      </c>
      <c r="AL68" t="s">
        <v>315</v>
      </c>
      <c r="AM68" t="s">
        <v>266</v>
      </c>
      <c r="AN68" t="s">
        <v>316</v>
      </c>
      <c r="AO68" t="s">
        <v>1559</v>
      </c>
      <c r="AP68" t="s">
        <v>1560</v>
      </c>
      <c r="AQ68" t="s">
        <v>74</v>
      </c>
      <c r="AR68" t="s">
        <v>1547</v>
      </c>
      <c r="AS68" t="s">
        <v>1561</v>
      </c>
      <c r="AT68" t="s">
        <v>1495</v>
      </c>
      <c r="AU68">
        <v>2020</v>
      </c>
      <c r="AV68">
        <v>367</v>
      </c>
      <c r="AW68">
        <v>6484</v>
      </c>
      <c r="AX68" t="s">
        <v>74</v>
      </c>
      <c r="AY68" t="s">
        <v>74</v>
      </c>
      <c r="AZ68" t="s">
        <v>342</v>
      </c>
      <c r="BA68" t="s">
        <v>74</v>
      </c>
      <c r="BB68">
        <v>1331</v>
      </c>
      <c r="BC68">
        <v>1335</v>
      </c>
      <c r="BD68" t="s">
        <v>74</v>
      </c>
      <c r="BE68" t="s">
        <v>1590</v>
      </c>
      <c r="BF68" t="str">
        <f>HYPERLINK("http://dx.doi.org/10.1126/science.aaz5487","http://dx.doi.org/10.1126/science.aaz5487")</f>
        <v>http://dx.doi.org/10.1126/science.aaz5487</v>
      </c>
      <c r="BG68" t="s">
        <v>74</v>
      </c>
      <c r="BH68" t="s">
        <v>74</v>
      </c>
      <c r="BI68">
        <v>5</v>
      </c>
      <c r="BJ68" t="s">
        <v>322</v>
      </c>
      <c r="BK68" t="s">
        <v>103</v>
      </c>
      <c r="BL68" t="s">
        <v>323</v>
      </c>
      <c r="BM68" t="s">
        <v>1563</v>
      </c>
      <c r="BN68">
        <v>32193321</v>
      </c>
      <c r="BO68" t="s">
        <v>193</v>
      </c>
      <c r="BP68" t="s">
        <v>74</v>
      </c>
      <c r="BQ68" t="s">
        <v>74</v>
      </c>
      <c r="BR68" t="s">
        <v>106</v>
      </c>
      <c r="BS68" t="s">
        <v>1591</v>
      </c>
      <c r="BT68" t="str">
        <f>HYPERLINK("https%3A%2F%2Fwww.webofscience.com%2Fwos%2Fwoscc%2Ffull-record%2FWOS:000522167400042","View Full Record in Web of Science")</f>
        <v>View Full Record in Web of Science</v>
      </c>
    </row>
    <row r="69" spans="1:72" x14ac:dyDescent="0.15">
      <c r="A69" t="s">
        <v>72</v>
      </c>
      <c r="B69" t="s">
        <v>1592</v>
      </c>
      <c r="C69" t="s">
        <v>74</v>
      </c>
      <c r="D69" t="s">
        <v>74</v>
      </c>
      <c r="E69" t="s">
        <v>74</v>
      </c>
      <c r="F69" t="s">
        <v>1593</v>
      </c>
      <c r="G69" t="s">
        <v>74</v>
      </c>
      <c r="H69" t="s">
        <v>74</v>
      </c>
      <c r="I69" t="s">
        <v>1594</v>
      </c>
      <c r="J69" t="s">
        <v>1595</v>
      </c>
      <c r="K69" t="s">
        <v>74</v>
      </c>
      <c r="L69" t="s">
        <v>74</v>
      </c>
      <c r="M69" t="s">
        <v>78</v>
      </c>
      <c r="N69" t="s">
        <v>79</v>
      </c>
      <c r="O69" t="s">
        <v>74</v>
      </c>
      <c r="P69" t="s">
        <v>74</v>
      </c>
      <c r="Q69" t="s">
        <v>74</v>
      </c>
      <c r="R69" t="s">
        <v>74</v>
      </c>
      <c r="S69" t="s">
        <v>74</v>
      </c>
      <c r="T69" t="s">
        <v>1596</v>
      </c>
      <c r="U69" t="s">
        <v>1597</v>
      </c>
      <c r="V69" t="s">
        <v>1598</v>
      </c>
      <c r="W69" t="s">
        <v>1599</v>
      </c>
      <c r="X69" t="s">
        <v>1600</v>
      </c>
      <c r="Y69" t="s">
        <v>1601</v>
      </c>
      <c r="Z69" t="s">
        <v>1602</v>
      </c>
      <c r="AA69" t="s">
        <v>74</v>
      </c>
      <c r="AB69" t="s">
        <v>1603</v>
      </c>
      <c r="AC69" t="s">
        <v>1604</v>
      </c>
      <c r="AD69" t="s">
        <v>1605</v>
      </c>
      <c r="AE69" t="s">
        <v>1606</v>
      </c>
      <c r="AF69" t="s">
        <v>74</v>
      </c>
      <c r="AG69">
        <v>88</v>
      </c>
      <c r="AH69">
        <v>8</v>
      </c>
      <c r="AI69">
        <v>8</v>
      </c>
      <c r="AJ69">
        <v>0</v>
      </c>
      <c r="AK69">
        <v>6</v>
      </c>
      <c r="AL69" t="s">
        <v>1607</v>
      </c>
      <c r="AM69" t="s">
        <v>545</v>
      </c>
      <c r="AN69" t="s">
        <v>1608</v>
      </c>
      <c r="AO69" t="s">
        <v>1609</v>
      </c>
      <c r="AP69" t="s">
        <v>74</v>
      </c>
      <c r="AQ69" t="s">
        <v>74</v>
      </c>
      <c r="AR69" t="s">
        <v>1610</v>
      </c>
      <c r="AS69" t="s">
        <v>1611</v>
      </c>
      <c r="AT69" t="s">
        <v>1495</v>
      </c>
      <c r="AU69">
        <v>2020</v>
      </c>
      <c r="AV69">
        <v>20</v>
      </c>
      <c r="AW69">
        <v>1</v>
      </c>
      <c r="AX69" t="s">
        <v>74</v>
      </c>
      <c r="AY69" t="s">
        <v>74</v>
      </c>
      <c r="AZ69" t="s">
        <v>74</v>
      </c>
      <c r="BA69" t="s">
        <v>74</v>
      </c>
      <c r="BB69" t="s">
        <v>74</v>
      </c>
      <c r="BC69" t="s">
        <v>74</v>
      </c>
      <c r="BD69">
        <v>39</v>
      </c>
      <c r="BE69" t="s">
        <v>1612</v>
      </c>
      <c r="BF69" t="str">
        <f>HYPERLINK("http://dx.doi.org/10.1186/s12862-020-1600-3","http://dx.doi.org/10.1186/s12862-020-1600-3")</f>
        <v>http://dx.doi.org/10.1186/s12862-020-1600-3</v>
      </c>
      <c r="BG69" t="s">
        <v>74</v>
      </c>
      <c r="BH69" t="s">
        <v>74</v>
      </c>
      <c r="BI69">
        <v>14</v>
      </c>
      <c r="BJ69" t="s">
        <v>1613</v>
      </c>
      <c r="BK69" t="s">
        <v>103</v>
      </c>
      <c r="BL69" t="s">
        <v>1613</v>
      </c>
      <c r="BM69" t="s">
        <v>1614</v>
      </c>
      <c r="BN69">
        <v>32192426</v>
      </c>
      <c r="BO69" t="s">
        <v>1101</v>
      </c>
      <c r="BP69" t="s">
        <v>74</v>
      </c>
      <c r="BQ69" t="s">
        <v>74</v>
      </c>
      <c r="BR69" t="s">
        <v>106</v>
      </c>
      <c r="BS69" t="s">
        <v>1615</v>
      </c>
      <c r="BT69" t="str">
        <f>HYPERLINK("https%3A%2F%2Fwww.webofscience.com%2Fwos%2Fwoscc%2Ffull-record%2FWOS:000521487600001","View Full Record in Web of Science")</f>
        <v>View Full Record in Web of Science</v>
      </c>
    </row>
    <row r="70" spans="1:72" x14ac:dyDescent="0.15">
      <c r="A70" t="s">
        <v>72</v>
      </c>
      <c r="B70" t="s">
        <v>1616</v>
      </c>
      <c r="C70" t="s">
        <v>74</v>
      </c>
      <c r="D70" t="s">
        <v>74</v>
      </c>
      <c r="E70" t="s">
        <v>74</v>
      </c>
      <c r="F70" t="s">
        <v>1617</v>
      </c>
      <c r="G70" t="s">
        <v>74</v>
      </c>
      <c r="H70" t="s">
        <v>74</v>
      </c>
      <c r="I70" t="s">
        <v>1618</v>
      </c>
      <c r="J70" t="s">
        <v>1619</v>
      </c>
      <c r="K70" t="s">
        <v>74</v>
      </c>
      <c r="L70" t="s">
        <v>74</v>
      </c>
      <c r="M70" t="s">
        <v>78</v>
      </c>
      <c r="N70" t="s">
        <v>79</v>
      </c>
      <c r="O70" t="s">
        <v>74</v>
      </c>
      <c r="P70" t="s">
        <v>74</v>
      </c>
      <c r="Q70" t="s">
        <v>74</v>
      </c>
      <c r="R70" t="s">
        <v>74</v>
      </c>
      <c r="S70" t="s">
        <v>74</v>
      </c>
      <c r="T70" t="s">
        <v>1620</v>
      </c>
      <c r="U70" t="s">
        <v>1621</v>
      </c>
      <c r="V70" t="s">
        <v>1622</v>
      </c>
      <c r="W70" t="s">
        <v>1623</v>
      </c>
      <c r="X70" t="s">
        <v>1624</v>
      </c>
      <c r="Y70" t="s">
        <v>1625</v>
      </c>
      <c r="Z70" t="s">
        <v>1626</v>
      </c>
      <c r="AA70" t="s">
        <v>1627</v>
      </c>
      <c r="AB70" t="s">
        <v>1628</v>
      </c>
      <c r="AC70" t="s">
        <v>1629</v>
      </c>
      <c r="AD70" t="s">
        <v>1629</v>
      </c>
      <c r="AE70" t="s">
        <v>1630</v>
      </c>
      <c r="AF70" t="s">
        <v>74</v>
      </c>
      <c r="AG70">
        <v>103</v>
      </c>
      <c r="AH70">
        <v>8</v>
      </c>
      <c r="AI70">
        <v>9</v>
      </c>
      <c r="AJ70">
        <v>1</v>
      </c>
      <c r="AK70">
        <v>8</v>
      </c>
      <c r="AL70" t="s">
        <v>211</v>
      </c>
      <c r="AM70" t="s">
        <v>212</v>
      </c>
      <c r="AN70" t="s">
        <v>213</v>
      </c>
      <c r="AO70" t="s">
        <v>1631</v>
      </c>
      <c r="AP70" t="s">
        <v>1632</v>
      </c>
      <c r="AQ70" t="s">
        <v>74</v>
      </c>
      <c r="AR70" t="s">
        <v>1633</v>
      </c>
      <c r="AS70" t="s">
        <v>1634</v>
      </c>
      <c r="AT70" t="s">
        <v>1635</v>
      </c>
      <c r="AU70">
        <v>2020</v>
      </c>
      <c r="AV70">
        <v>56</v>
      </c>
      <c r="AW70">
        <v>4</v>
      </c>
      <c r="AX70" t="s">
        <v>74</v>
      </c>
      <c r="AY70" t="s">
        <v>74</v>
      </c>
      <c r="AZ70" t="s">
        <v>74</v>
      </c>
      <c r="BA70" t="s">
        <v>74</v>
      </c>
      <c r="BB70">
        <v>630</v>
      </c>
      <c r="BC70">
        <v>646</v>
      </c>
      <c r="BD70" t="s">
        <v>74</v>
      </c>
      <c r="BE70" t="s">
        <v>1636</v>
      </c>
      <c r="BF70" t="str">
        <f>HYPERLINK("http://dx.doi.org/10.1111/1752-1688.12839","http://dx.doi.org/10.1111/1752-1688.12839")</f>
        <v>http://dx.doi.org/10.1111/1752-1688.12839</v>
      </c>
      <c r="BG70" t="s">
        <v>74</v>
      </c>
      <c r="BH70" t="s">
        <v>692</v>
      </c>
      <c r="BI70">
        <v>17</v>
      </c>
      <c r="BJ70" t="s">
        <v>1637</v>
      </c>
      <c r="BK70" t="s">
        <v>103</v>
      </c>
      <c r="BL70" t="s">
        <v>1638</v>
      </c>
      <c r="BM70" t="s">
        <v>1639</v>
      </c>
      <c r="BN70" t="s">
        <v>74</v>
      </c>
      <c r="BO70" t="s">
        <v>74</v>
      </c>
      <c r="BP70" t="s">
        <v>74</v>
      </c>
      <c r="BQ70" t="s">
        <v>74</v>
      </c>
      <c r="BR70" t="s">
        <v>106</v>
      </c>
      <c r="BS70" t="s">
        <v>1640</v>
      </c>
      <c r="BT70" t="str">
        <f>HYPERLINK("https%3A%2F%2Fwww.webofscience.com%2Fwos%2Fwoscc%2Ffull-record%2FWOS:000520716800001","View Full Record in Web of Science")</f>
        <v>View Full Record in Web of Science</v>
      </c>
    </row>
    <row r="71" spans="1:72" x14ac:dyDescent="0.15">
      <c r="A71" t="s">
        <v>72</v>
      </c>
      <c r="B71" t="s">
        <v>1641</v>
      </c>
      <c r="C71" t="s">
        <v>74</v>
      </c>
      <c r="D71" t="s">
        <v>74</v>
      </c>
      <c r="E71" t="s">
        <v>74</v>
      </c>
      <c r="F71" t="s">
        <v>1642</v>
      </c>
      <c r="G71" t="s">
        <v>74</v>
      </c>
      <c r="H71" t="s">
        <v>1643</v>
      </c>
      <c r="I71" t="s">
        <v>1644</v>
      </c>
      <c r="J71" t="s">
        <v>1645</v>
      </c>
      <c r="K71" t="s">
        <v>74</v>
      </c>
      <c r="L71" t="s">
        <v>74</v>
      </c>
      <c r="M71" t="s">
        <v>78</v>
      </c>
      <c r="N71" t="s">
        <v>79</v>
      </c>
      <c r="O71" t="s">
        <v>74</v>
      </c>
      <c r="P71" t="s">
        <v>74</v>
      </c>
      <c r="Q71" t="s">
        <v>74</v>
      </c>
      <c r="R71" t="s">
        <v>74</v>
      </c>
      <c r="S71" t="s">
        <v>74</v>
      </c>
      <c r="T71" t="s">
        <v>74</v>
      </c>
      <c r="U71" t="s">
        <v>1646</v>
      </c>
      <c r="V71" t="s">
        <v>1647</v>
      </c>
      <c r="W71" t="s">
        <v>1648</v>
      </c>
      <c r="X71" t="s">
        <v>1649</v>
      </c>
      <c r="Y71" t="s">
        <v>1650</v>
      </c>
      <c r="Z71" t="s">
        <v>74</v>
      </c>
      <c r="AA71" t="s">
        <v>1651</v>
      </c>
      <c r="AB71" t="s">
        <v>1652</v>
      </c>
      <c r="AC71" t="s">
        <v>1653</v>
      </c>
      <c r="AD71" t="s">
        <v>1654</v>
      </c>
      <c r="AE71" t="s">
        <v>1655</v>
      </c>
      <c r="AF71" t="s">
        <v>74</v>
      </c>
      <c r="AG71">
        <v>64</v>
      </c>
      <c r="AH71">
        <v>15</v>
      </c>
      <c r="AI71">
        <v>17</v>
      </c>
      <c r="AJ71">
        <v>0</v>
      </c>
      <c r="AK71">
        <v>8</v>
      </c>
      <c r="AL71" t="s">
        <v>1656</v>
      </c>
      <c r="AM71" t="s">
        <v>93</v>
      </c>
      <c r="AN71" t="s">
        <v>94</v>
      </c>
      <c r="AO71" t="s">
        <v>1657</v>
      </c>
      <c r="AP71" t="s">
        <v>1658</v>
      </c>
      <c r="AQ71" t="s">
        <v>74</v>
      </c>
      <c r="AR71" t="s">
        <v>1659</v>
      </c>
      <c r="AS71" t="s">
        <v>1660</v>
      </c>
      <c r="AT71" t="s">
        <v>1495</v>
      </c>
      <c r="AU71">
        <v>2020</v>
      </c>
      <c r="AV71">
        <v>892</v>
      </c>
      <c r="AW71">
        <v>1</v>
      </c>
      <c r="AX71" t="s">
        <v>74</v>
      </c>
      <c r="AY71" t="s">
        <v>74</v>
      </c>
      <c r="AZ71" t="s">
        <v>74</v>
      </c>
      <c r="BA71" t="s">
        <v>74</v>
      </c>
      <c r="BB71" t="s">
        <v>74</v>
      </c>
      <c r="BC71" t="s">
        <v>74</v>
      </c>
      <c r="BD71">
        <v>53</v>
      </c>
      <c r="BE71" t="s">
        <v>1661</v>
      </c>
      <c r="BF71" t="str">
        <f>HYPERLINK("http://dx.doi.org/10.3847/1538-4357/ab791d","http://dx.doi.org/10.3847/1538-4357/ab791d")</f>
        <v>http://dx.doi.org/10.3847/1538-4357/ab791d</v>
      </c>
      <c r="BG71" t="s">
        <v>74</v>
      </c>
      <c r="BH71" t="s">
        <v>74</v>
      </c>
      <c r="BI71">
        <v>11</v>
      </c>
      <c r="BJ71" t="s">
        <v>102</v>
      </c>
      <c r="BK71" t="s">
        <v>103</v>
      </c>
      <c r="BL71" t="s">
        <v>102</v>
      </c>
      <c r="BM71" t="s">
        <v>1662</v>
      </c>
      <c r="BN71" t="s">
        <v>74</v>
      </c>
      <c r="BO71" t="s">
        <v>1663</v>
      </c>
      <c r="BP71" t="s">
        <v>74</v>
      </c>
      <c r="BQ71" t="s">
        <v>74</v>
      </c>
      <c r="BR71" t="s">
        <v>106</v>
      </c>
      <c r="BS71" t="s">
        <v>1664</v>
      </c>
      <c r="BT71" t="str">
        <f>HYPERLINK("https%3A%2F%2Fwww.webofscience.com%2Fwos%2Fwoscc%2Ffull-record%2FWOS:000546575800001","View Full Record in Web of Science")</f>
        <v>View Full Record in Web of Science</v>
      </c>
    </row>
    <row r="72" spans="1:72" x14ac:dyDescent="0.15">
      <c r="A72" t="s">
        <v>72</v>
      </c>
      <c r="B72" t="s">
        <v>1665</v>
      </c>
      <c r="C72" t="s">
        <v>74</v>
      </c>
      <c r="D72" t="s">
        <v>74</v>
      </c>
      <c r="E72" t="s">
        <v>74</v>
      </c>
      <c r="F72" t="s">
        <v>1666</v>
      </c>
      <c r="G72" t="s">
        <v>74</v>
      </c>
      <c r="H72" t="s">
        <v>74</v>
      </c>
      <c r="I72" t="s">
        <v>1667</v>
      </c>
      <c r="J72" t="s">
        <v>1179</v>
      </c>
      <c r="K72" t="s">
        <v>74</v>
      </c>
      <c r="L72" t="s">
        <v>74</v>
      </c>
      <c r="M72" t="s">
        <v>78</v>
      </c>
      <c r="N72" t="s">
        <v>79</v>
      </c>
      <c r="O72" t="s">
        <v>74</v>
      </c>
      <c r="P72" t="s">
        <v>74</v>
      </c>
      <c r="Q72" t="s">
        <v>74</v>
      </c>
      <c r="R72" t="s">
        <v>74</v>
      </c>
      <c r="S72" t="s">
        <v>74</v>
      </c>
      <c r="T72" t="s">
        <v>1668</v>
      </c>
      <c r="U72" t="s">
        <v>1669</v>
      </c>
      <c r="V72" t="s">
        <v>1670</v>
      </c>
      <c r="W72" t="s">
        <v>1671</v>
      </c>
      <c r="X72" t="s">
        <v>1672</v>
      </c>
      <c r="Y72" t="s">
        <v>1673</v>
      </c>
      <c r="Z72" t="s">
        <v>1674</v>
      </c>
      <c r="AA72" t="s">
        <v>74</v>
      </c>
      <c r="AB72" t="s">
        <v>74</v>
      </c>
      <c r="AC72" t="s">
        <v>1675</v>
      </c>
      <c r="AD72" t="s">
        <v>1676</v>
      </c>
      <c r="AE72" t="s">
        <v>1677</v>
      </c>
      <c r="AF72" t="s">
        <v>74</v>
      </c>
      <c r="AG72">
        <v>59</v>
      </c>
      <c r="AH72">
        <v>4</v>
      </c>
      <c r="AI72">
        <v>6</v>
      </c>
      <c r="AJ72">
        <v>2</v>
      </c>
      <c r="AK72">
        <v>28</v>
      </c>
      <c r="AL72" t="s">
        <v>289</v>
      </c>
      <c r="AM72" t="s">
        <v>290</v>
      </c>
      <c r="AN72" t="s">
        <v>291</v>
      </c>
      <c r="AO72" t="s">
        <v>1191</v>
      </c>
      <c r="AP72" t="s">
        <v>1192</v>
      </c>
      <c r="AQ72" t="s">
        <v>74</v>
      </c>
      <c r="AR72" t="s">
        <v>1193</v>
      </c>
      <c r="AS72" t="s">
        <v>1194</v>
      </c>
      <c r="AT72" t="s">
        <v>1495</v>
      </c>
      <c r="AU72">
        <v>2020</v>
      </c>
      <c r="AV72">
        <v>709</v>
      </c>
      <c r="AW72" t="s">
        <v>74</v>
      </c>
      <c r="AX72" t="s">
        <v>74</v>
      </c>
      <c r="AY72" t="s">
        <v>74</v>
      </c>
      <c r="AZ72" t="s">
        <v>74</v>
      </c>
      <c r="BA72" t="s">
        <v>74</v>
      </c>
      <c r="BB72" t="s">
        <v>74</v>
      </c>
      <c r="BC72" t="s">
        <v>74</v>
      </c>
      <c r="BD72">
        <v>135926</v>
      </c>
      <c r="BE72" t="s">
        <v>1678</v>
      </c>
      <c r="BF72" t="str">
        <f>HYPERLINK("http://dx.doi.org/10.1016/j.scitotenv.2019.135926","http://dx.doi.org/10.1016/j.scitotenv.2019.135926")</f>
        <v>http://dx.doi.org/10.1016/j.scitotenv.2019.135926</v>
      </c>
      <c r="BG72" t="s">
        <v>74</v>
      </c>
      <c r="BH72" t="s">
        <v>74</v>
      </c>
      <c r="BI72">
        <v>11</v>
      </c>
      <c r="BJ72" t="s">
        <v>1196</v>
      </c>
      <c r="BK72" t="s">
        <v>103</v>
      </c>
      <c r="BL72" t="s">
        <v>219</v>
      </c>
      <c r="BM72" t="s">
        <v>1679</v>
      </c>
      <c r="BN72">
        <v>31887520</v>
      </c>
      <c r="BO72" t="s">
        <v>148</v>
      </c>
      <c r="BP72" t="s">
        <v>74</v>
      </c>
      <c r="BQ72" t="s">
        <v>74</v>
      </c>
      <c r="BR72" t="s">
        <v>106</v>
      </c>
      <c r="BS72" t="s">
        <v>1680</v>
      </c>
      <c r="BT72" t="str">
        <f>HYPERLINK("https%3A%2F%2Fwww.webofscience.com%2Fwos%2Fwoscc%2Ffull-record%2FWOS:000512281700032","View Full Record in Web of Science")</f>
        <v>View Full Record in Web of Science</v>
      </c>
    </row>
    <row r="73" spans="1:72" x14ac:dyDescent="0.15">
      <c r="A73" t="s">
        <v>72</v>
      </c>
      <c r="B73" t="s">
        <v>1681</v>
      </c>
      <c r="C73" t="s">
        <v>74</v>
      </c>
      <c r="D73" t="s">
        <v>74</v>
      </c>
      <c r="E73" t="s">
        <v>74</v>
      </c>
      <c r="F73" t="s">
        <v>1682</v>
      </c>
      <c r="G73" t="s">
        <v>74</v>
      </c>
      <c r="H73" t="s">
        <v>74</v>
      </c>
      <c r="I73" t="s">
        <v>1683</v>
      </c>
      <c r="J73" t="s">
        <v>1179</v>
      </c>
      <c r="K73" t="s">
        <v>74</v>
      </c>
      <c r="L73" t="s">
        <v>74</v>
      </c>
      <c r="M73" t="s">
        <v>78</v>
      </c>
      <c r="N73" t="s">
        <v>79</v>
      </c>
      <c r="O73" t="s">
        <v>74</v>
      </c>
      <c r="P73" t="s">
        <v>74</v>
      </c>
      <c r="Q73" t="s">
        <v>74</v>
      </c>
      <c r="R73" t="s">
        <v>74</v>
      </c>
      <c r="S73" t="s">
        <v>74</v>
      </c>
      <c r="T73" t="s">
        <v>1684</v>
      </c>
      <c r="U73" t="s">
        <v>1685</v>
      </c>
      <c r="V73" t="s">
        <v>1686</v>
      </c>
      <c r="W73" t="s">
        <v>1687</v>
      </c>
      <c r="X73" t="s">
        <v>1688</v>
      </c>
      <c r="Y73" t="s">
        <v>1689</v>
      </c>
      <c r="Z73" t="s">
        <v>1674</v>
      </c>
      <c r="AA73" t="s">
        <v>1690</v>
      </c>
      <c r="AB73" t="s">
        <v>1691</v>
      </c>
      <c r="AC73" t="s">
        <v>1692</v>
      </c>
      <c r="AD73" t="s">
        <v>1693</v>
      </c>
      <c r="AE73" t="s">
        <v>1694</v>
      </c>
      <c r="AF73" t="s">
        <v>74</v>
      </c>
      <c r="AG73">
        <v>92</v>
      </c>
      <c r="AH73">
        <v>7</v>
      </c>
      <c r="AI73">
        <v>7</v>
      </c>
      <c r="AJ73">
        <v>8</v>
      </c>
      <c r="AK73">
        <v>54</v>
      </c>
      <c r="AL73" t="s">
        <v>289</v>
      </c>
      <c r="AM73" t="s">
        <v>290</v>
      </c>
      <c r="AN73" t="s">
        <v>291</v>
      </c>
      <c r="AO73" t="s">
        <v>1191</v>
      </c>
      <c r="AP73" t="s">
        <v>1192</v>
      </c>
      <c r="AQ73" t="s">
        <v>74</v>
      </c>
      <c r="AR73" t="s">
        <v>1193</v>
      </c>
      <c r="AS73" t="s">
        <v>1194</v>
      </c>
      <c r="AT73" t="s">
        <v>1495</v>
      </c>
      <c r="AU73">
        <v>2020</v>
      </c>
      <c r="AV73">
        <v>709</v>
      </c>
      <c r="AW73" t="s">
        <v>74</v>
      </c>
      <c r="AX73" t="s">
        <v>74</v>
      </c>
      <c r="AY73" t="s">
        <v>74</v>
      </c>
      <c r="AZ73" t="s">
        <v>74</v>
      </c>
      <c r="BA73" t="s">
        <v>74</v>
      </c>
      <c r="BB73" t="s">
        <v>74</v>
      </c>
      <c r="BC73" t="s">
        <v>74</v>
      </c>
      <c r="BD73">
        <v>134496</v>
      </c>
      <c r="BE73" t="s">
        <v>1695</v>
      </c>
      <c r="BF73" t="str">
        <f>HYPERLINK("http://dx.doi.org/10.1016/j.scitotenv.2019.134496","http://dx.doi.org/10.1016/j.scitotenv.2019.134496")</f>
        <v>http://dx.doi.org/10.1016/j.scitotenv.2019.134496</v>
      </c>
      <c r="BG73" t="s">
        <v>74</v>
      </c>
      <c r="BH73" t="s">
        <v>74</v>
      </c>
      <c r="BI73">
        <v>13</v>
      </c>
      <c r="BJ73" t="s">
        <v>1196</v>
      </c>
      <c r="BK73" t="s">
        <v>103</v>
      </c>
      <c r="BL73" t="s">
        <v>219</v>
      </c>
      <c r="BM73" t="s">
        <v>1679</v>
      </c>
      <c r="BN73">
        <v>31874340</v>
      </c>
      <c r="BO73" t="s">
        <v>148</v>
      </c>
      <c r="BP73" t="s">
        <v>74</v>
      </c>
      <c r="BQ73" t="s">
        <v>74</v>
      </c>
      <c r="BR73" t="s">
        <v>106</v>
      </c>
      <c r="BS73" t="s">
        <v>1696</v>
      </c>
      <c r="BT73" t="str">
        <f>HYPERLINK("https%3A%2F%2Fwww.webofscience.com%2Fwos%2Fwoscc%2Ffull-record%2FWOS:000512281700004","View Full Record in Web of Science")</f>
        <v>View Full Record in Web of Science</v>
      </c>
    </row>
    <row r="74" spans="1:72" x14ac:dyDescent="0.15">
      <c r="A74" t="s">
        <v>72</v>
      </c>
      <c r="B74" t="s">
        <v>1697</v>
      </c>
      <c r="C74" t="s">
        <v>74</v>
      </c>
      <c r="D74" t="s">
        <v>74</v>
      </c>
      <c r="E74" t="s">
        <v>74</v>
      </c>
      <c r="F74" t="s">
        <v>1698</v>
      </c>
      <c r="G74" t="s">
        <v>74</v>
      </c>
      <c r="H74" t="s">
        <v>74</v>
      </c>
      <c r="I74" t="s">
        <v>1699</v>
      </c>
      <c r="J74" t="s">
        <v>1700</v>
      </c>
      <c r="K74" t="s">
        <v>74</v>
      </c>
      <c r="L74" t="s">
        <v>74</v>
      </c>
      <c r="M74" t="s">
        <v>78</v>
      </c>
      <c r="N74" t="s">
        <v>79</v>
      </c>
      <c r="O74" t="s">
        <v>74</v>
      </c>
      <c r="P74" t="s">
        <v>74</v>
      </c>
      <c r="Q74" t="s">
        <v>74</v>
      </c>
      <c r="R74" t="s">
        <v>74</v>
      </c>
      <c r="S74" t="s">
        <v>74</v>
      </c>
      <c r="T74" t="s">
        <v>1701</v>
      </c>
      <c r="U74" t="s">
        <v>1702</v>
      </c>
      <c r="V74" t="s">
        <v>1703</v>
      </c>
      <c r="W74" t="s">
        <v>1704</v>
      </c>
      <c r="X74" t="s">
        <v>1705</v>
      </c>
      <c r="Y74" t="s">
        <v>1706</v>
      </c>
      <c r="Z74" t="s">
        <v>1707</v>
      </c>
      <c r="AA74" t="s">
        <v>1708</v>
      </c>
      <c r="AB74" t="s">
        <v>74</v>
      </c>
      <c r="AC74" t="s">
        <v>74</v>
      </c>
      <c r="AD74" t="s">
        <v>74</v>
      </c>
      <c r="AE74" t="s">
        <v>74</v>
      </c>
      <c r="AF74" t="s">
        <v>74</v>
      </c>
      <c r="AG74">
        <v>90</v>
      </c>
      <c r="AH74">
        <v>11</v>
      </c>
      <c r="AI74">
        <v>13</v>
      </c>
      <c r="AJ74">
        <v>1</v>
      </c>
      <c r="AK74">
        <v>21</v>
      </c>
      <c r="AL74" t="s">
        <v>1709</v>
      </c>
      <c r="AM74" t="s">
        <v>1710</v>
      </c>
      <c r="AN74" t="s">
        <v>1711</v>
      </c>
      <c r="AO74" t="s">
        <v>1712</v>
      </c>
      <c r="AP74" t="s">
        <v>1713</v>
      </c>
      <c r="AQ74" t="s">
        <v>74</v>
      </c>
      <c r="AR74" t="s">
        <v>1714</v>
      </c>
      <c r="AS74" t="s">
        <v>1715</v>
      </c>
      <c r="AT74" t="s">
        <v>1716</v>
      </c>
      <c r="AU74">
        <v>2020</v>
      </c>
      <c r="AV74">
        <v>638</v>
      </c>
      <c r="AW74" t="s">
        <v>74</v>
      </c>
      <c r="AX74" t="s">
        <v>74</v>
      </c>
      <c r="AY74" t="s">
        <v>74</v>
      </c>
      <c r="AZ74" t="s">
        <v>74</v>
      </c>
      <c r="BA74" t="s">
        <v>74</v>
      </c>
      <c r="BB74">
        <v>191</v>
      </c>
      <c r="BC74">
        <v>206</v>
      </c>
      <c r="BD74" t="s">
        <v>74</v>
      </c>
      <c r="BE74" t="s">
        <v>1717</v>
      </c>
      <c r="BF74" t="str">
        <f>HYPERLINK("http://dx.doi.org/10.3354/meps13258","http://dx.doi.org/10.3354/meps13258")</f>
        <v>http://dx.doi.org/10.3354/meps13258</v>
      </c>
      <c r="BG74" t="s">
        <v>74</v>
      </c>
      <c r="BH74" t="s">
        <v>74</v>
      </c>
      <c r="BI74">
        <v>16</v>
      </c>
      <c r="BJ74" t="s">
        <v>1718</v>
      </c>
      <c r="BK74" t="s">
        <v>103</v>
      </c>
      <c r="BL74" t="s">
        <v>1719</v>
      </c>
      <c r="BM74" t="s">
        <v>1720</v>
      </c>
      <c r="BN74" t="s">
        <v>74</v>
      </c>
      <c r="BO74" t="s">
        <v>1721</v>
      </c>
      <c r="BP74" t="s">
        <v>74</v>
      </c>
      <c r="BQ74" t="s">
        <v>74</v>
      </c>
      <c r="BR74" t="s">
        <v>106</v>
      </c>
      <c r="BS74" t="s">
        <v>1722</v>
      </c>
      <c r="BT74" t="str">
        <f>HYPERLINK("https%3A%2F%2Fwww.webofscience.com%2Fwos%2Fwoscc%2Ffull-record%2FWOS:000521740400015","View Full Record in Web of Science")</f>
        <v>View Full Record in Web of Science</v>
      </c>
    </row>
    <row r="75" spans="1:72" x14ac:dyDescent="0.15">
      <c r="A75" t="s">
        <v>72</v>
      </c>
      <c r="B75" t="s">
        <v>1723</v>
      </c>
      <c r="C75" t="s">
        <v>74</v>
      </c>
      <c r="D75" t="s">
        <v>74</v>
      </c>
      <c r="E75" t="s">
        <v>74</v>
      </c>
      <c r="F75" t="s">
        <v>1724</v>
      </c>
      <c r="G75" t="s">
        <v>74</v>
      </c>
      <c r="H75" t="s">
        <v>74</v>
      </c>
      <c r="I75" t="s">
        <v>1725</v>
      </c>
      <c r="J75" t="s">
        <v>1726</v>
      </c>
      <c r="K75" t="s">
        <v>74</v>
      </c>
      <c r="L75" t="s">
        <v>74</v>
      </c>
      <c r="M75" t="s">
        <v>78</v>
      </c>
      <c r="N75" t="s">
        <v>79</v>
      </c>
      <c r="O75" t="s">
        <v>74</v>
      </c>
      <c r="P75" t="s">
        <v>74</v>
      </c>
      <c r="Q75" t="s">
        <v>74</v>
      </c>
      <c r="R75" t="s">
        <v>74</v>
      </c>
      <c r="S75" t="s">
        <v>74</v>
      </c>
      <c r="T75" t="s">
        <v>74</v>
      </c>
      <c r="U75" t="s">
        <v>1727</v>
      </c>
      <c r="V75" t="s">
        <v>1728</v>
      </c>
      <c r="W75" t="s">
        <v>1729</v>
      </c>
      <c r="X75" t="s">
        <v>1730</v>
      </c>
      <c r="Y75" t="s">
        <v>1731</v>
      </c>
      <c r="Z75" t="s">
        <v>1732</v>
      </c>
      <c r="AA75" t="s">
        <v>1733</v>
      </c>
      <c r="AB75" t="s">
        <v>1734</v>
      </c>
      <c r="AC75" t="s">
        <v>1735</v>
      </c>
      <c r="AD75" t="s">
        <v>1736</v>
      </c>
      <c r="AE75" t="s">
        <v>1737</v>
      </c>
      <c r="AF75" t="s">
        <v>74</v>
      </c>
      <c r="AG75">
        <v>60</v>
      </c>
      <c r="AH75">
        <v>17</v>
      </c>
      <c r="AI75">
        <v>17</v>
      </c>
      <c r="AJ75">
        <v>0</v>
      </c>
      <c r="AK75">
        <v>3</v>
      </c>
      <c r="AL75" t="s">
        <v>976</v>
      </c>
      <c r="AM75" t="s">
        <v>977</v>
      </c>
      <c r="AN75" t="s">
        <v>978</v>
      </c>
      <c r="AO75" t="s">
        <v>1738</v>
      </c>
      <c r="AP75" t="s">
        <v>1739</v>
      </c>
      <c r="AQ75" t="s">
        <v>74</v>
      </c>
      <c r="AR75" t="s">
        <v>1740</v>
      </c>
      <c r="AS75" t="s">
        <v>1741</v>
      </c>
      <c r="AT75" t="s">
        <v>1716</v>
      </c>
      <c r="AU75">
        <v>2020</v>
      </c>
      <c r="AV75">
        <v>16</v>
      </c>
      <c r="AW75">
        <v>2</v>
      </c>
      <c r="AX75" t="s">
        <v>74</v>
      </c>
      <c r="AY75" t="s">
        <v>74</v>
      </c>
      <c r="AZ75" t="s">
        <v>74</v>
      </c>
      <c r="BA75" t="s">
        <v>74</v>
      </c>
      <c r="BB75">
        <v>555</v>
      </c>
      <c r="BC75">
        <v>573</v>
      </c>
      <c r="BD75" t="s">
        <v>74</v>
      </c>
      <c r="BE75" t="s">
        <v>1742</v>
      </c>
      <c r="BF75" t="str">
        <f>HYPERLINK("http://dx.doi.org/10.5194/cp-16-555-2020","http://dx.doi.org/10.5194/cp-16-555-2020")</f>
        <v>http://dx.doi.org/10.5194/cp-16-555-2020</v>
      </c>
      <c r="BG75" t="s">
        <v>74</v>
      </c>
      <c r="BH75" t="s">
        <v>74</v>
      </c>
      <c r="BI75">
        <v>19</v>
      </c>
      <c r="BJ75" t="s">
        <v>1743</v>
      </c>
      <c r="BK75" t="s">
        <v>103</v>
      </c>
      <c r="BL75" t="s">
        <v>1744</v>
      </c>
      <c r="BM75" t="s">
        <v>1745</v>
      </c>
      <c r="BN75" t="s">
        <v>74</v>
      </c>
      <c r="BO75" t="s">
        <v>987</v>
      </c>
      <c r="BP75" t="s">
        <v>74</v>
      </c>
      <c r="BQ75" t="s">
        <v>74</v>
      </c>
      <c r="BR75" t="s">
        <v>106</v>
      </c>
      <c r="BS75" t="s">
        <v>1746</v>
      </c>
      <c r="BT75" t="str">
        <f>HYPERLINK("https%3A%2F%2Fwww.webofscience.com%2Fwos%2Fwoscc%2Ffull-record%2FWOS:000521159600001","View Full Record in Web of Science")</f>
        <v>View Full Record in Web of Science</v>
      </c>
    </row>
    <row r="76" spans="1:72" x14ac:dyDescent="0.15">
      <c r="A76" t="s">
        <v>72</v>
      </c>
      <c r="B76" t="s">
        <v>1747</v>
      </c>
      <c r="C76" t="s">
        <v>74</v>
      </c>
      <c r="D76" t="s">
        <v>74</v>
      </c>
      <c r="E76" t="s">
        <v>74</v>
      </c>
      <c r="F76" t="s">
        <v>1748</v>
      </c>
      <c r="G76" t="s">
        <v>74</v>
      </c>
      <c r="H76" t="s">
        <v>74</v>
      </c>
      <c r="I76" t="s">
        <v>1749</v>
      </c>
      <c r="J76" t="s">
        <v>1750</v>
      </c>
      <c r="K76" t="s">
        <v>74</v>
      </c>
      <c r="L76" t="s">
        <v>74</v>
      </c>
      <c r="M76" t="s">
        <v>78</v>
      </c>
      <c r="N76" t="s">
        <v>79</v>
      </c>
      <c r="O76" t="s">
        <v>74</v>
      </c>
      <c r="P76" t="s">
        <v>74</v>
      </c>
      <c r="Q76" t="s">
        <v>74</v>
      </c>
      <c r="R76" t="s">
        <v>74</v>
      </c>
      <c r="S76" t="s">
        <v>74</v>
      </c>
      <c r="T76" t="s">
        <v>74</v>
      </c>
      <c r="U76" t="s">
        <v>1751</v>
      </c>
      <c r="V76" t="s">
        <v>1752</v>
      </c>
      <c r="W76" t="s">
        <v>1753</v>
      </c>
      <c r="X76" t="s">
        <v>1754</v>
      </c>
      <c r="Y76" t="s">
        <v>1755</v>
      </c>
      <c r="Z76" t="s">
        <v>1756</v>
      </c>
      <c r="AA76" t="s">
        <v>1757</v>
      </c>
      <c r="AB76" t="s">
        <v>1758</v>
      </c>
      <c r="AC76" t="s">
        <v>1759</v>
      </c>
      <c r="AD76" t="s">
        <v>1760</v>
      </c>
      <c r="AE76" t="s">
        <v>1761</v>
      </c>
      <c r="AF76" t="s">
        <v>74</v>
      </c>
      <c r="AG76">
        <v>56</v>
      </c>
      <c r="AH76">
        <v>24</v>
      </c>
      <c r="AI76">
        <v>27</v>
      </c>
      <c r="AJ76">
        <v>4</v>
      </c>
      <c r="AK76">
        <v>21</v>
      </c>
      <c r="AL76" t="s">
        <v>976</v>
      </c>
      <c r="AM76" t="s">
        <v>977</v>
      </c>
      <c r="AN76" t="s">
        <v>978</v>
      </c>
      <c r="AO76" t="s">
        <v>1762</v>
      </c>
      <c r="AP76" t="s">
        <v>74</v>
      </c>
      <c r="AQ76" t="s">
        <v>74</v>
      </c>
      <c r="AR76" t="s">
        <v>1763</v>
      </c>
      <c r="AS76" t="s">
        <v>1764</v>
      </c>
      <c r="AT76" t="s">
        <v>1716</v>
      </c>
      <c r="AU76">
        <v>2020</v>
      </c>
      <c r="AV76">
        <v>16</v>
      </c>
      <c r="AW76">
        <v>2</v>
      </c>
      <c r="AX76" t="s">
        <v>74</v>
      </c>
      <c r="AY76" t="s">
        <v>74</v>
      </c>
      <c r="AZ76" t="s">
        <v>74</v>
      </c>
      <c r="BA76" t="s">
        <v>74</v>
      </c>
      <c r="BB76">
        <v>373</v>
      </c>
      <c r="BC76">
        <v>388</v>
      </c>
      <c r="BD76" t="s">
        <v>74</v>
      </c>
      <c r="BE76" t="s">
        <v>1765</v>
      </c>
      <c r="BF76" t="str">
        <f>HYPERLINK("http://dx.doi.org/10.5194/os-16-373-2020","http://dx.doi.org/10.5194/os-16-373-2020")</f>
        <v>http://dx.doi.org/10.5194/os-16-373-2020</v>
      </c>
      <c r="BG76" t="s">
        <v>74</v>
      </c>
      <c r="BH76" t="s">
        <v>74</v>
      </c>
      <c r="BI76">
        <v>16</v>
      </c>
      <c r="BJ76" t="s">
        <v>1766</v>
      </c>
      <c r="BK76" t="s">
        <v>103</v>
      </c>
      <c r="BL76" t="s">
        <v>1766</v>
      </c>
      <c r="BM76" t="s">
        <v>1767</v>
      </c>
      <c r="BN76" t="s">
        <v>74</v>
      </c>
      <c r="BO76" t="s">
        <v>987</v>
      </c>
      <c r="BP76" t="s">
        <v>74</v>
      </c>
      <c r="BQ76" t="s">
        <v>74</v>
      </c>
      <c r="BR76" t="s">
        <v>106</v>
      </c>
      <c r="BS76" t="s">
        <v>1768</v>
      </c>
      <c r="BT76" t="str">
        <f>HYPERLINK("https%3A%2F%2Fwww.webofscience.com%2Fwos%2Fwoscc%2Ffull-record%2FWOS:000521161300001","View Full Record in Web of Science")</f>
        <v>View Full Record in Web of Science</v>
      </c>
    </row>
    <row r="77" spans="1:72" x14ac:dyDescent="0.15">
      <c r="A77" t="s">
        <v>72</v>
      </c>
      <c r="B77" t="s">
        <v>1769</v>
      </c>
      <c r="C77" t="s">
        <v>74</v>
      </c>
      <c r="D77" t="s">
        <v>74</v>
      </c>
      <c r="E77" t="s">
        <v>74</v>
      </c>
      <c r="F77" t="s">
        <v>1770</v>
      </c>
      <c r="G77" t="s">
        <v>74</v>
      </c>
      <c r="H77" t="s">
        <v>74</v>
      </c>
      <c r="I77" t="s">
        <v>1771</v>
      </c>
      <c r="J77" t="s">
        <v>1700</v>
      </c>
      <c r="K77" t="s">
        <v>74</v>
      </c>
      <c r="L77" t="s">
        <v>74</v>
      </c>
      <c r="M77" t="s">
        <v>78</v>
      </c>
      <c r="N77" t="s">
        <v>79</v>
      </c>
      <c r="O77" t="s">
        <v>74</v>
      </c>
      <c r="P77" t="s">
        <v>74</v>
      </c>
      <c r="Q77" t="s">
        <v>74</v>
      </c>
      <c r="R77" t="s">
        <v>74</v>
      </c>
      <c r="S77" t="s">
        <v>74</v>
      </c>
      <c r="T77" t="s">
        <v>1772</v>
      </c>
      <c r="U77" t="s">
        <v>1773</v>
      </c>
      <c r="V77" t="s">
        <v>1774</v>
      </c>
      <c r="W77" t="s">
        <v>1775</v>
      </c>
      <c r="X77" t="s">
        <v>1776</v>
      </c>
      <c r="Y77" t="s">
        <v>1777</v>
      </c>
      <c r="Z77" t="s">
        <v>1778</v>
      </c>
      <c r="AA77" t="s">
        <v>74</v>
      </c>
      <c r="AB77" t="s">
        <v>74</v>
      </c>
      <c r="AC77" t="s">
        <v>1779</v>
      </c>
      <c r="AD77" t="s">
        <v>1779</v>
      </c>
      <c r="AE77" t="s">
        <v>1780</v>
      </c>
      <c r="AF77" t="s">
        <v>74</v>
      </c>
      <c r="AG77">
        <v>86</v>
      </c>
      <c r="AH77">
        <v>20</v>
      </c>
      <c r="AI77">
        <v>21</v>
      </c>
      <c r="AJ77">
        <v>5</v>
      </c>
      <c r="AK77">
        <v>26</v>
      </c>
      <c r="AL77" t="s">
        <v>1709</v>
      </c>
      <c r="AM77" t="s">
        <v>1710</v>
      </c>
      <c r="AN77" t="s">
        <v>1711</v>
      </c>
      <c r="AO77" t="s">
        <v>1712</v>
      </c>
      <c r="AP77" t="s">
        <v>1713</v>
      </c>
      <c r="AQ77" t="s">
        <v>74</v>
      </c>
      <c r="AR77" t="s">
        <v>1714</v>
      </c>
      <c r="AS77" t="s">
        <v>1715</v>
      </c>
      <c r="AT77" t="s">
        <v>1716</v>
      </c>
      <c r="AU77">
        <v>2020</v>
      </c>
      <c r="AV77">
        <v>638</v>
      </c>
      <c r="AW77" t="s">
        <v>74</v>
      </c>
      <c r="AX77" t="s">
        <v>74</v>
      </c>
      <c r="AY77" t="s">
        <v>74</v>
      </c>
      <c r="AZ77" t="s">
        <v>74</v>
      </c>
      <c r="BA77" t="s">
        <v>74</v>
      </c>
      <c r="BB77">
        <v>83</v>
      </c>
      <c r="BC77">
        <v>94</v>
      </c>
      <c r="BD77" t="s">
        <v>74</v>
      </c>
      <c r="BE77" t="s">
        <v>1781</v>
      </c>
      <c r="BF77" t="str">
        <f>HYPERLINK("http://dx.doi.org/10.3354/meps13272","http://dx.doi.org/10.3354/meps13272")</f>
        <v>http://dx.doi.org/10.3354/meps13272</v>
      </c>
      <c r="BG77" t="s">
        <v>74</v>
      </c>
      <c r="BH77" t="s">
        <v>74</v>
      </c>
      <c r="BI77">
        <v>12</v>
      </c>
      <c r="BJ77" t="s">
        <v>1718</v>
      </c>
      <c r="BK77" t="s">
        <v>103</v>
      </c>
      <c r="BL77" t="s">
        <v>1719</v>
      </c>
      <c r="BM77" t="s">
        <v>1720</v>
      </c>
      <c r="BN77" t="s">
        <v>74</v>
      </c>
      <c r="BO77" t="s">
        <v>74</v>
      </c>
      <c r="BP77" t="s">
        <v>74</v>
      </c>
      <c r="BQ77" t="s">
        <v>74</v>
      </c>
      <c r="BR77" t="s">
        <v>106</v>
      </c>
      <c r="BS77" t="s">
        <v>1782</v>
      </c>
      <c r="BT77" t="str">
        <f>HYPERLINK("https%3A%2F%2Fwww.webofscience.com%2Fwos%2Fwoscc%2Ffull-record%2FWOS:000521740400007","View Full Record in Web of Science")</f>
        <v>View Full Record in Web of Science</v>
      </c>
    </row>
    <row r="78" spans="1:72" x14ac:dyDescent="0.15">
      <c r="A78" t="s">
        <v>72</v>
      </c>
      <c r="B78" t="s">
        <v>1783</v>
      </c>
      <c r="C78" t="s">
        <v>74</v>
      </c>
      <c r="D78" t="s">
        <v>74</v>
      </c>
      <c r="E78" t="s">
        <v>74</v>
      </c>
      <c r="F78" t="s">
        <v>1784</v>
      </c>
      <c r="G78" t="s">
        <v>74</v>
      </c>
      <c r="H78" t="s">
        <v>74</v>
      </c>
      <c r="I78" t="s">
        <v>1785</v>
      </c>
      <c r="J78" t="s">
        <v>1786</v>
      </c>
      <c r="K78" t="s">
        <v>74</v>
      </c>
      <c r="L78" t="s">
        <v>74</v>
      </c>
      <c r="M78" t="s">
        <v>78</v>
      </c>
      <c r="N78" t="s">
        <v>1787</v>
      </c>
      <c r="O78" t="s">
        <v>74</v>
      </c>
      <c r="P78" t="s">
        <v>74</v>
      </c>
      <c r="Q78" t="s">
        <v>74</v>
      </c>
      <c r="R78" t="s">
        <v>74</v>
      </c>
      <c r="S78" t="s">
        <v>74</v>
      </c>
      <c r="T78" t="s">
        <v>74</v>
      </c>
      <c r="U78" t="s">
        <v>1788</v>
      </c>
      <c r="V78" t="s">
        <v>1789</v>
      </c>
      <c r="W78" t="s">
        <v>1790</v>
      </c>
      <c r="X78" t="s">
        <v>1791</v>
      </c>
      <c r="Y78" t="s">
        <v>1792</v>
      </c>
      <c r="Z78" t="s">
        <v>1793</v>
      </c>
      <c r="AA78" t="s">
        <v>1794</v>
      </c>
      <c r="AB78" t="s">
        <v>1795</v>
      </c>
      <c r="AC78" t="s">
        <v>1796</v>
      </c>
      <c r="AD78" t="s">
        <v>1797</v>
      </c>
      <c r="AE78" t="s">
        <v>1798</v>
      </c>
      <c r="AF78" t="s">
        <v>74</v>
      </c>
      <c r="AG78">
        <v>48</v>
      </c>
      <c r="AH78">
        <v>25</v>
      </c>
      <c r="AI78">
        <v>27</v>
      </c>
      <c r="AJ78">
        <v>2</v>
      </c>
      <c r="AK78">
        <v>28</v>
      </c>
      <c r="AL78" t="s">
        <v>951</v>
      </c>
      <c r="AM78" t="s">
        <v>952</v>
      </c>
      <c r="AN78" t="s">
        <v>953</v>
      </c>
      <c r="AO78" t="s">
        <v>74</v>
      </c>
      <c r="AP78" t="s">
        <v>1799</v>
      </c>
      <c r="AQ78" t="s">
        <v>74</v>
      </c>
      <c r="AR78" t="s">
        <v>1800</v>
      </c>
      <c r="AS78" t="s">
        <v>1801</v>
      </c>
      <c r="AT78" t="s">
        <v>1802</v>
      </c>
      <c r="AU78">
        <v>2020</v>
      </c>
      <c r="AV78">
        <v>7</v>
      </c>
      <c r="AW78">
        <v>1</v>
      </c>
      <c r="AX78" t="s">
        <v>74</v>
      </c>
      <c r="AY78" t="s">
        <v>74</v>
      </c>
      <c r="AZ78" t="s">
        <v>74</v>
      </c>
      <c r="BA78" t="s">
        <v>74</v>
      </c>
      <c r="BB78" t="s">
        <v>74</v>
      </c>
      <c r="BC78" t="s">
        <v>74</v>
      </c>
      <c r="BD78">
        <v>94</v>
      </c>
      <c r="BE78" t="s">
        <v>1803</v>
      </c>
      <c r="BF78" t="str">
        <f>HYPERLINK("http://dx.doi.org/10.1038/s41597-020-0406-x","http://dx.doi.org/10.1038/s41597-020-0406-x")</f>
        <v>http://dx.doi.org/10.1038/s41597-020-0406-x</v>
      </c>
      <c r="BG78" t="s">
        <v>74</v>
      </c>
      <c r="BH78" t="s">
        <v>74</v>
      </c>
      <c r="BI78">
        <v>11</v>
      </c>
      <c r="BJ78" t="s">
        <v>322</v>
      </c>
      <c r="BK78" t="s">
        <v>103</v>
      </c>
      <c r="BL78" t="s">
        <v>323</v>
      </c>
      <c r="BM78" t="s">
        <v>1804</v>
      </c>
      <c r="BN78">
        <v>32188863</v>
      </c>
      <c r="BO78" t="s">
        <v>1805</v>
      </c>
      <c r="BP78" t="s">
        <v>74</v>
      </c>
      <c r="BQ78" t="s">
        <v>74</v>
      </c>
      <c r="BR78" t="s">
        <v>106</v>
      </c>
      <c r="BS78" t="s">
        <v>1806</v>
      </c>
      <c r="BT78" t="str">
        <f>HYPERLINK("https%3A%2F%2Fwww.webofscience.com%2Fwos%2Fwoscc%2Ffull-record%2FWOS:000520699800001","View Full Record in Web of Science")</f>
        <v>View Full Record in Web of Science</v>
      </c>
    </row>
    <row r="79" spans="1:72" x14ac:dyDescent="0.15">
      <c r="A79" t="s">
        <v>72</v>
      </c>
      <c r="B79" t="s">
        <v>1807</v>
      </c>
      <c r="C79" t="s">
        <v>74</v>
      </c>
      <c r="D79" t="s">
        <v>74</v>
      </c>
      <c r="E79" t="s">
        <v>74</v>
      </c>
      <c r="F79" t="s">
        <v>1808</v>
      </c>
      <c r="G79" t="s">
        <v>74</v>
      </c>
      <c r="H79" t="s">
        <v>74</v>
      </c>
      <c r="I79" t="s">
        <v>1809</v>
      </c>
      <c r="J79" t="s">
        <v>1810</v>
      </c>
      <c r="K79" t="s">
        <v>74</v>
      </c>
      <c r="L79" t="s">
        <v>74</v>
      </c>
      <c r="M79" t="s">
        <v>78</v>
      </c>
      <c r="N79" t="s">
        <v>79</v>
      </c>
      <c r="O79" t="s">
        <v>74</v>
      </c>
      <c r="P79" t="s">
        <v>74</v>
      </c>
      <c r="Q79" t="s">
        <v>74</v>
      </c>
      <c r="R79" t="s">
        <v>74</v>
      </c>
      <c r="S79" t="s">
        <v>74</v>
      </c>
      <c r="T79" t="s">
        <v>1811</v>
      </c>
      <c r="U79" t="s">
        <v>1812</v>
      </c>
      <c r="V79" t="s">
        <v>1813</v>
      </c>
      <c r="W79" t="s">
        <v>1814</v>
      </c>
      <c r="X79" t="s">
        <v>1815</v>
      </c>
      <c r="Y79" t="s">
        <v>1816</v>
      </c>
      <c r="Z79" t="s">
        <v>1817</v>
      </c>
      <c r="AA79" t="s">
        <v>1818</v>
      </c>
      <c r="AB79" t="s">
        <v>1819</v>
      </c>
      <c r="AC79" t="s">
        <v>1820</v>
      </c>
      <c r="AD79" t="s">
        <v>568</v>
      </c>
      <c r="AE79" t="s">
        <v>1821</v>
      </c>
      <c r="AF79" t="s">
        <v>74</v>
      </c>
      <c r="AG79">
        <v>95</v>
      </c>
      <c r="AH79">
        <v>16</v>
      </c>
      <c r="AI79">
        <v>19</v>
      </c>
      <c r="AJ79">
        <v>2</v>
      </c>
      <c r="AK79">
        <v>14</v>
      </c>
      <c r="AL79" t="s">
        <v>211</v>
      </c>
      <c r="AM79" t="s">
        <v>212</v>
      </c>
      <c r="AN79" t="s">
        <v>213</v>
      </c>
      <c r="AO79" t="s">
        <v>1822</v>
      </c>
      <c r="AP79" t="s">
        <v>1823</v>
      </c>
      <c r="AQ79" t="s">
        <v>74</v>
      </c>
      <c r="AR79" t="s">
        <v>1824</v>
      </c>
      <c r="AS79" t="s">
        <v>1825</v>
      </c>
      <c r="AT79" t="s">
        <v>733</v>
      </c>
      <c r="AU79">
        <v>2020</v>
      </c>
      <c r="AV79">
        <v>47</v>
      </c>
      <c r="AW79">
        <v>6</v>
      </c>
      <c r="AX79" t="s">
        <v>74</v>
      </c>
      <c r="AY79" t="s">
        <v>74</v>
      </c>
      <c r="AZ79" t="s">
        <v>74</v>
      </c>
      <c r="BA79" t="s">
        <v>74</v>
      </c>
      <c r="BB79">
        <v>1345</v>
      </c>
      <c r="BC79">
        <v>1361</v>
      </c>
      <c r="BD79" t="s">
        <v>74</v>
      </c>
      <c r="BE79" t="s">
        <v>1826</v>
      </c>
      <c r="BF79" t="str">
        <f>HYPERLINK("http://dx.doi.org/10.1111/jbi.13828","http://dx.doi.org/10.1111/jbi.13828")</f>
        <v>http://dx.doi.org/10.1111/jbi.13828</v>
      </c>
      <c r="BG79" t="s">
        <v>74</v>
      </c>
      <c r="BH79" t="s">
        <v>692</v>
      </c>
      <c r="BI79">
        <v>17</v>
      </c>
      <c r="BJ79" t="s">
        <v>1827</v>
      </c>
      <c r="BK79" t="s">
        <v>103</v>
      </c>
      <c r="BL79" t="s">
        <v>1828</v>
      </c>
      <c r="BM79" t="s">
        <v>1829</v>
      </c>
      <c r="BN79" t="s">
        <v>74</v>
      </c>
      <c r="BO79" t="s">
        <v>517</v>
      </c>
      <c r="BP79" t="s">
        <v>74</v>
      </c>
      <c r="BQ79" t="s">
        <v>74</v>
      </c>
      <c r="BR79" t="s">
        <v>106</v>
      </c>
      <c r="BS79" t="s">
        <v>1830</v>
      </c>
      <c r="BT79" t="str">
        <f>HYPERLINK("https%3A%2F%2Fwww.webofscience.com%2Fwos%2Fwoscc%2Ffull-record%2FWOS:000520285500001","View Full Record in Web of Science")</f>
        <v>View Full Record in Web of Science</v>
      </c>
    </row>
    <row r="80" spans="1:72" x14ac:dyDescent="0.15">
      <c r="A80" t="s">
        <v>72</v>
      </c>
      <c r="B80" t="s">
        <v>1831</v>
      </c>
      <c r="C80" t="s">
        <v>74</v>
      </c>
      <c r="D80" t="s">
        <v>74</v>
      </c>
      <c r="E80" t="s">
        <v>74</v>
      </c>
      <c r="F80" t="s">
        <v>1832</v>
      </c>
      <c r="G80" t="s">
        <v>74</v>
      </c>
      <c r="H80" t="s">
        <v>74</v>
      </c>
      <c r="I80" t="s">
        <v>1833</v>
      </c>
      <c r="J80" t="s">
        <v>1364</v>
      </c>
      <c r="K80" t="s">
        <v>74</v>
      </c>
      <c r="L80" t="s">
        <v>74</v>
      </c>
      <c r="M80" t="s">
        <v>78</v>
      </c>
      <c r="N80" t="s">
        <v>79</v>
      </c>
      <c r="O80" t="s">
        <v>74</v>
      </c>
      <c r="P80" t="s">
        <v>74</v>
      </c>
      <c r="Q80" t="s">
        <v>74</v>
      </c>
      <c r="R80" t="s">
        <v>74</v>
      </c>
      <c r="S80" t="s">
        <v>74</v>
      </c>
      <c r="T80" t="s">
        <v>74</v>
      </c>
      <c r="U80" t="s">
        <v>1834</v>
      </c>
      <c r="V80" t="s">
        <v>1835</v>
      </c>
      <c r="W80" t="s">
        <v>1836</v>
      </c>
      <c r="X80" t="s">
        <v>1837</v>
      </c>
      <c r="Y80" t="s">
        <v>1838</v>
      </c>
      <c r="Z80" t="s">
        <v>1839</v>
      </c>
      <c r="AA80" t="s">
        <v>1840</v>
      </c>
      <c r="AB80" t="s">
        <v>1841</v>
      </c>
      <c r="AC80" t="s">
        <v>1842</v>
      </c>
      <c r="AD80" t="s">
        <v>1843</v>
      </c>
      <c r="AE80" t="s">
        <v>1844</v>
      </c>
      <c r="AF80" t="s">
        <v>74</v>
      </c>
      <c r="AG80">
        <v>133</v>
      </c>
      <c r="AH80">
        <v>33</v>
      </c>
      <c r="AI80">
        <v>35</v>
      </c>
      <c r="AJ80">
        <v>1</v>
      </c>
      <c r="AK80">
        <v>15</v>
      </c>
      <c r="AL80" t="s">
        <v>211</v>
      </c>
      <c r="AM80" t="s">
        <v>212</v>
      </c>
      <c r="AN80" t="s">
        <v>213</v>
      </c>
      <c r="AO80" t="s">
        <v>1376</v>
      </c>
      <c r="AP80" t="s">
        <v>1377</v>
      </c>
      <c r="AQ80" t="s">
        <v>74</v>
      </c>
      <c r="AR80" t="s">
        <v>1378</v>
      </c>
      <c r="AS80" t="s">
        <v>1379</v>
      </c>
      <c r="AT80" t="s">
        <v>1380</v>
      </c>
      <c r="AU80">
        <v>2020</v>
      </c>
      <c r="AV80">
        <v>65</v>
      </c>
      <c r="AW80">
        <v>9</v>
      </c>
      <c r="AX80" t="s">
        <v>74</v>
      </c>
      <c r="AY80" t="s">
        <v>74</v>
      </c>
      <c r="AZ80" t="s">
        <v>74</v>
      </c>
      <c r="BA80" t="s">
        <v>74</v>
      </c>
      <c r="BB80">
        <v>2056</v>
      </c>
      <c r="BC80">
        <v>2075</v>
      </c>
      <c r="BD80" t="s">
        <v>74</v>
      </c>
      <c r="BE80" t="s">
        <v>1845</v>
      </c>
      <c r="BF80" t="str">
        <f>HYPERLINK("http://dx.doi.org/10.1002/lno.11437","http://dx.doi.org/10.1002/lno.11437")</f>
        <v>http://dx.doi.org/10.1002/lno.11437</v>
      </c>
      <c r="BG80" t="s">
        <v>74</v>
      </c>
      <c r="BH80" t="s">
        <v>692</v>
      </c>
      <c r="BI80">
        <v>20</v>
      </c>
      <c r="BJ80" t="s">
        <v>1382</v>
      </c>
      <c r="BK80" t="s">
        <v>103</v>
      </c>
      <c r="BL80" t="s">
        <v>1383</v>
      </c>
      <c r="BM80" t="s">
        <v>1384</v>
      </c>
      <c r="BN80" t="s">
        <v>74</v>
      </c>
      <c r="BO80" t="s">
        <v>1385</v>
      </c>
      <c r="BP80" t="s">
        <v>74</v>
      </c>
      <c r="BQ80" t="s">
        <v>74</v>
      </c>
      <c r="BR80" t="s">
        <v>106</v>
      </c>
      <c r="BS80" t="s">
        <v>1846</v>
      </c>
      <c r="BT80" t="str">
        <f>HYPERLINK("https%3A%2F%2Fwww.webofscience.com%2Fwos%2Fwoscc%2Ffull-record%2FWOS:000520277600001","View Full Record in Web of Science")</f>
        <v>View Full Record in Web of Science</v>
      </c>
    </row>
    <row r="81" spans="1:72" x14ac:dyDescent="0.15">
      <c r="A81" t="s">
        <v>72</v>
      </c>
      <c r="B81" t="s">
        <v>1847</v>
      </c>
      <c r="C81" t="s">
        <v>74</v>
      </c>
      <c r="D81" t="s">
        <v>74</v>
      </c>
      <c r="E81" t="s">
        <v>74</v>
      </c>
      <c r="F81" t="s">
        <v>1848</v>
      </c>
      <c r="G81" t="s">
        <v>74</v>
      </c>
      <c r="H81" t="s">
        <v>74</v>
      </c>
      <c r="I81" t="s">
        <v>1849</v>
      </c>
      <c r="J81" t="s">
        <v>1850</v>
      </c>
      <c r="K81" t="s">
        <v>74</v>
      </c>
      <c r="L81" t="s">
        <v>74</v>
      </c>
      <c r="M81" t="s">
        <v>78</v>
      </c>
      <c r="N81" t="s">
        <v>79</v>
      </c>
      <c r="O81" t="s">
        <v>74</v>
      </c>
      <c r="P81" t="s">
        <v>74</v>
      </c>
      <c r="Q81" t="s">
        <v>74</v>
      </c>
      <c r="R81" t="s">
        <v>74</v>
      </c>
      <c r="S81" t="s">
        <v>74</v>
      </c>
      <c r="T81" t="s">
        <v>74</v>
      </c>
      <c r="U81" t="s">
        <v>1851</v>
      </c>
      <c r="V81" t="s">
        <v>1852</v>
      </c>
      <c r="W81" t="s">
        <v>1853</v>
      </c>
      <c r="X81" t="s">
        <v>1854</v>
      </c>
      <c r="Y81" t="s">
        <v>1855</v>
      </c>
      <c r="Z81" t="s">
        <v>1856</v>
      </c>
      <c r="AA81" t="s">
        <v>1857</v>
      </c>
      <c r="AB81" t="s">
        <v>1858</v>
      </c>
      <c r="AC81" t="s">
        <v>1859</v>
      </c>
      <c r="AD81" t="s">
        <v>1860</v>
      </c>
      <c r="AE81" t="s">
        <v>1861</v>
      </c>
      <c r="AF81" t="s">
        <v>74</v>
      </c>
      <c r="AG81">
        <v>65</v>
      </c>
      <c r="AH81">
        <v>151</v>
      </c>
      <c r="AI81">
        <v>158</v>
      </c>
      <c r="AJ81">
        <v>29</v>
      </c>
      <c r="AK81">
        <v>225</v>
      </c>
      <c r="AL81" t="s">
        <v>951</v>
      </c>
      <c r="AM81" t="s">
        <v>952</v>
      </c>
      <c r="AN81" t="s">
        <v>953</v>
      </c>
      <c r="AO81" t="s">
        <v>1862</v>
      </c>
      <c r="AP81" t="s">
        <v>1863</v>
      </c>
      <c r="AQ81" t="s">
        <v>74</v>
      </c>
      <c r="AR81" t="s">
        <v>1850</v>
      </c>
      <c r="AS81" t="s">
        <v>1864</v>
      </c>
      <c r="AT81" t="s">
        <v>1865</v>
      </c>
      <c r="AU81">
        <v>2020</v>
      </c>
      <c r="AV81">
        <v>580</v>
      </c>
      <c r="AW81">
        <v>7801</v>
      </c>
      <c r="AX81" t="s">
        <v>74</v>
      </c>
      <c r="AY81" t="s">
        <v>74</v>
      </c>
      <c r="AZ81" t="s">
        <v>74</v>
      </c>
      <c r="BA81" t="s">
        <v>74</v>
      </c>
      <c r="BB81">
        <v>87</v>
      </c>
      <c r="BC81" t="s">
        <v>759</v>
      </c>
      <c r="BD81" t="s">
        <v>74</v>
      </c>
      <c r="BE81" t="s">
        <v>1866</v>
      </c>
      <c r="BF81" t="str">
        <f>HYPERLINK("http://dx.doi.org/10.1038/s41586-020-2126-y","http://dx.doi.org/10.1038/s41586-020-2126-y")</f>
        <v>http://dx.doi.org/10.1038/s41586-020-2126-y</v>
      </c>
      <c r="BG81" t="s">
        <v>74</v>
      </c>
      <c r="BH81" t="s">
        <v>692</v>
      </c>
      <c r="BI81">
        <v>20</v>
      </c>
      <c r="BJ81" t="s">
        <v>322</v>
      </c>
      <c r="BK81" t="s">
        <v>103</v>
      </c>
      <c r="BL81" t="s">
        <v>323</v>
      </c>
      <c r="BM81" t="s">
        <v>1867</v>
      </c>
      <c r="BN81">
        <v>32238927</v>
      </c>
      <c r="BO81" t="s">
        <v>1868</v>
      </c>
      <c r="BP81" t="s">
        <v>1869</v>
      </c>
      <c r="BQ81" t="s">
        <v>1870</v>
      </c>
      <c r="BR81" t="s">
        <v>106</v>
      </c>
      <c r="BS81" t="s">
        <v>1871</v>
      </c>
      <c r="BT81" t="str">
        <f>HYPERLINK("https%3A%2F%2Fwww.webofscience.com%2Fwos%2Fwoscc%2Ffull-record%2FWOS:000520398000001","View Full Record in Web of Science")</f>
        <v>View Full Record in Web of Science</v>
      </c>
    </row>
    <row r="82" spans="1:72" x14ac:dyDescent="0.15">
      <c r="A82" t="s">
        <v>72</v>
      </c>
      <c r="B82" t="s">
        <v>1872</v>
      </c>
      <c r="C82" t="s">
        <v>74</v>
      </c>
      <c r="D82" t="s">
        <v>74</v>
      </c>
      <c r="E82" t="s">
        <v>74</v>
      </c>
      <c r="F82" t="s">
        <v>1873</v>
      </c>
      <c r="G82" t="s">
        <v>74</v>
      </c>
      <c r="H82" t="s">
        <v>74</v>
      </c>
      <c r="I82" t="s">
        <v>1874</v>
      </c>
      <c r="J82" t="s">
        <v>1240</v>
      </c>
      <c r="K82" t="s">
        <v>74</v>
      </c>
      <c r="L82" t="s">
        <v>74</v>
      </c>
      <c r="M82" t="s">
        <v>78</v>
      </c>
      <c r="N82" t="s">
        <v>79</v>
      </c>
      <c r="O82" t="s">
        <v>74</v>
      </c>
      <c r="P82" t="s">
        <v>74</v>
      </c>
      <c r="Q82" t="s">
        <v>74</v>
      </c>
      <c r="R82" t="s">
        <v>74</v>
      </c>
      <c r="S82" t="s">
        <v>74</v>
      </c>
      <c r="T82" t="s">
        <v>74</v>
      </c>
      <c r="U82" t="s">
        <v>1875</v>
      </c>
      <c r="V82" t="s">
        <v>1876</v>
      </c>
      <c r="W82" t="s">
        <v>1877</v>
      </c>
      <c r="X82" t="s">
        <v>1878</v>
      </c>
      <c r="Y82" t="s">
        <v>1879</v>
      </c>
      <c r="Z82" t="s">
        <v>1880</v>
      </c>
      <c r="AA82" t="s">
        <v>1881</v>
      </c>
      <c r="AB82" t="s">
        <v>1882</v>
      </c>
      <c r="AC82" t="s">
        <v>1883</v>
      </c>
      <c r="AD82" t="s">
        <v>1884</v>
      </c>
      <c r="AE82" t="s">
        <v>1885</v>
      </c>
      <c r="AF82" t="s">
        <v>74</v>
      </c>
      <c r="AG82">
        <v>29</v>
      </c>
      <c r="AH82">
        <v>60</v>
      </c>
      <c r="AI82">
        <v>62</v>
      </c>
      <c r="AJ82">
        <v>12</v>
      </c>
      <c r="AK82">
        <v>67</v>
      </c>
      <c r="AL82" t="s">
        <v>951</v>
      </c>
      <c r="AM82" t="s">
        <v>952</v>
      </c>
      <c r="AN82" t="s">
        <v>953</v>
      </c>
      <c r="AO82" t="s">
        <v>74</v>
      </c>
      <c r="AP82" t="s">
        <v>1252</v>
      </c>
      <c r="AQ82" t="s">
        <v>74</v>
      </c>
      <c r="AR82" t="s">
        <v>1253</v>
      </c>
      <c r="AS82" t="s">
        <v>1254</v>
      </c>
      <c r="AT82" t="s">
        <v>1886</v>
      </c>
      <c r="AU82">
        <v>2020</v>
      </c>
      <c r="AV82">
        <v>11</v>
      </c>
      <c r="AW82">
        <v>1</v>
      </c>
      <c r="AX82" t="s">
        <v>74</v>
      </c>
      <c r="AY82" t="s">
        <v>74</v>
      </c>
      <c r="AZ82" t="s">
        <v>74</v>
      </c>
      <c r="BA82" t="s">
        <v>74</v>
      </c>
      <c r="BB82" t="s">
        <v>74</v>
      </c>
      <c r="BC82" t="s">
        <v>74</v>
      </c>
      <c r="BD82">
        <v>1380</v>
      </c>
      <c r="BE82" t="s">
        <v>1887</v>
      </c>
      <c r="BF82" t="str">
        <f>HYPERLINK("http://dx.doi.org/10.1038/s41467-020-15162-7","http://dx.doi.org/10.1038/s41467-020-15162-7")</f>
        <v>http://dx.doi.org/10.1038/s41467-020-15162-7</v>
      </c>
      <c r="BG82" t="s">
        <v>74</v>
      </c>
      <c r="BH82" t="s">
        <v>74</v>
      </c>
      <c r="BI82">
        <v>11</v>
      </c>
      <c r="BJ82" t="s">
        <v>322</v>
      </c>
      <c r="BK82" t="s">
        <v>103</v>
      </c>
      <c r="BL82" t="s">
        <v>323</v>
      </c>
      <c r="BM82" t="s">
        <v>1888</v>
      </c>
      <c r="BN82">
        <v>32184388</v>
      </c>
      <c r="BO82" t="s">
        <v>276</v>
      </c>
      <c r="BP82" t="s">
        <v>74</v>
      </c>
      <c r="BQ82" t="s">
        <v>74</v>
      </c>
      <c r="BR82" t="s">
        <v>106</v>
      </c>
      <c r="BS82" t="s">
        <v>1889</v>
      </c>
      <c r="BT82" t="str">
        <f>HYPERLINK("https%3A%2F%2Fwww.webofscience.com%2Fwos%2Fwoscc%2Ffull-record%2FWOS:000563556600001","View Full Record in Web of Science")</f>
        <v>View Full Record in Web of Science</v>
      </c>
    </row>
    <row r="83" spans="1:72" x14ac:dyDescent="0.15">
      <c r="A83" t="s">
        <v>72</v>
      </c>
      <c r="B83" t="s">
        <v>1890</v>
      </c>
      <c r="C83" t="s">
        <v>74</v>
      </c>
      <c r="D83" t="s">
        <v>74</v>
      </c>
      <c r="E83" t="s">
        <v>74</v>
      </c>
      <c r="F83" t="s">
        <v>1891</v>
      </c>
      <c r="G83" t="s">
        <v>74</v>
      </c>
      <c r="H83" t="s">
        <v>74</v>
      </c>
      <c r="I83" t="s">
        <v>1892</v>
      </c>
      <c r="J83" t="s">
        <v>1339</v>
      </c>
      <c r="K83" t="s">
        <v>74</v>
      </c>
      <c r="L83" t="s">
        <v>74</v>
      </c>
      <c r="M83" t="s">
        <v>78</v>
      </c>
      <c r="N83" t="s">
        <v>79</v>
      </c>
      <c r="O83" t="s">
        <v>74</v>
      </c>
      <c r="P83" t="s">
        <v>74</v>
      </c>
      <c r="Q83" t="s">
        <v>74</v>
      </c>
      <c r="R83" t="s">
        <v>74</v>
      </c>
      <c r="S83" t="s">
        <v>74</v>
      </c>
      <c r="T83" t="s">
        <v>1893</v>
      </c>
      <c r="U83" t="s">
        <v>1894</v>
      </c>
      <c r="V83" t="s">
        <v>1895</v>
      </c>
      <c r="W83" t="s">
        <v>1896</v>
      </c>
      <c r="X83" t="s">
        <v>1897</v>
      </c>
      <c r="Y83" t="s">
        <v>1898</v>
      </c>
      <c r="Z83" t="s">
        <v>1899</v>
      </c>
      <c r="AA83" t="s">
        <v>1900</v>
      </c>
      <c r="AB83" t="s">
        <v>1901</v>
      </c>
      <c r="AC83" t="s">
        <v>1902</v>
      </c>
      <c r="AD83" t="s">
        <v>1903</v>
      </c>
      <c r="AE83" t="s">
        <v>1904</v>
      </c>
      <c r="AF83" t="s">
        <v>74</v>
      </c>
      <c r="AG83">
        <v>80</v>
      </c>
      <c r="AH83">
        <v>35</v>
      </c>
      <c r="AI83">
        <v>37</v>
      </c>
      <c r="AJ83">
        <v>4</v>
      </c>
      <c r="AK83">
        <v>17</v>
      </c>
      <c r="AL83" t="s">
        <v>658</v>
      </c>
      <c r="AM83" t="s">
        <v>659</v>
      </c>
      <c r="AN83" t="s">
        <v>660</v>
      </c>
      <c r="AO83" t="s">
        <v>74</v>
      </c>
      <c r="AP83" t="s">
        <v>1352</v>
      </c>
      <c r="AQ83" t="s">
        <v>74</v>
      </c>
      <c r="AR83" t="s">
        <v>1353</v>
      </c>
      <c r="AS83" t="s">
        <v>1354</v>
      </c>
      <c r="AT83" t="s">
        <v>1886</v>
      </c>
      <c r="AU83">
        <v>2020</v>
      </c>
      <c r="AV83">
        <v>7</v>
      </c>
      <c r="AW83" t="s">
        <v>74</v>
      </c>
      <c r="AX83" t="s">
        <v>74</v>
      </c>
      <c r="AY83" t="s">
        <v>74</v>
      </c>
      <c r="AZ83" t="s">
        <v>74</v>
      </c>
      <c r="BA83" t="s">
        <v>74</v>
      </c>
      <c r="BB83" t="s">
        <v>74</v>
      </c>
      <c r="BC83" t="s">
        <v>74</v>
      </c>
      <c r="BD83">
        <v>124</v>
      </c>
      <c r="BE83" t="s">
        <v>1905</v>
      </c>
      <c r="BF83" t="str">
        <f>HYPERLINK("http://dx.doi.org/10.3389/fmars.2020.00124","http://dx.doi.org/10.3389/fmars.2020.00124")</f>
        <v>http://dx.doi.org/10.3389/fmars.2020.00124</v>
      </c>
      <c r="BG83" t="s">
        <v>74</v>
      </c>
      <c r="BH83" t="s">
        <v>74</v>
      </c>
      <c r="BI83">
        <v>17</v>
      </c>
      <c r="BJ83" t="s">
        <v>1356</v>
      </c>
      <c r="BK83" t="s">
        <v>103</v>
      </c>
      <c r="BL83" t="s">
        <v>1357</v>
      </c>
      <c r="BM83" t="s">
        <v>1906</v>
      </c>
      <c r="BN83" t="s">
        <v>74</v>
      </c>
      <c r="BO83" t="s">
        <v>1359</v>
      </c>
      <c r="BP83" t="s">
        <v>74</v>
      </c>
      <c r="BQ83" t="s">
        <v>74</v>
      </c>
      <c r="BR83" t="s">
        <v>106</v>
      </c>
      <c r="BS83" t="s">
        <v>1907</v>
      </c>
      <c r="BT83" t="str">
        <f>HYPERLINK("https%3A%2F%2Fwww.webofscience.com%2Fwos%2Fwoscc%2Ffull-record%2FWOS:000521219800001","View Full Record in Web of Science")</f>
        <v>View Full Record in Web of Science</v>
      </c>
    </row>
    <row r="84" spans="1:72" x14ac:dyDescent="0.15">
      <c r="A84" t="s">
        <v>72</v>
      </c>
      <c r="B84" t="s">
        <v>1908</v>
      </c>
      <c r="C84" t="s">
        <v>74</v>
      </c>
      <c r="D84" t="s">
        <v>74</v>
      </c>
      <c r="E84" t="s">
        <v>74</v>
      </c>
      <c r="F84" t="s">
        <v>1909</v>
      </c>
      <c r="G84" t="s">
        <v>74</v>
      </c>
      <c r="H84" t="s">
        <v>74</v>
      </c>
      <c r="I84" t="s">
        <v>1910</v>
      </c>
      <c r="J84" t="s">
        <v>1457</v>
      </c>
      <c r="K84" t="s">
        <v>74</v>
      </c>
      <c r="L84" t="s">
        <v>74</v>
      </c>
      <c r="M84" t="s">
        <v>78</v>
      </c>
      <c r="N84" t="s">
        <v>1911</v>
      </c>
      <c r="O84" t="s">
        <v>74</v>
      </c>
      <c r="P84" t="s">
        <v>74</v>
      </c>
      <c r="Q84" t="s">
        <v>74</v>
      </c>
      <c r="R84" t="s">
        <v>74</v>
      </c>
      <c r="S84" t="s">
        <v>74</v>
      </c>
      <c r="T84" t="s">
        <v>74</v>
      </c>
      <c r="U84" t="s">
        <v>74</v>
      </c>
      <c r="V84" t="s">
        <v>74</v>
      </c>
      <c r="W84" t="s">
        <v>1912</v>
      </c>
      <c r="X84" t="s">
        <v>1913</v>
      </c>
      <c r="Y84" t="s">
        <v>1914</v>
      </c>
      <c r="Z84" t="s">
        <v>1915</v>
      </c>
      <c r="AA84" t="s">
        <v>1916</v>
      </c>
      <c r="AB84" t="s">
        <v>1917</v>
      </c>
      <c r="AC84" t="s">
        <v>1918</v>
      </c>
      <c r="AD84" t="s">
        <v>1919</v>
      </c>
      <c r="AE84" t="s">
        <v>1920</v>
      </c>
      <c r="AF84" t="s">
        <v>74</v>
      </c>
      <c r="AG84">
        <v>9</v>
      </c>
      <c r="AH84">
        <v>0</v>
      </c>
      <c r="AI84">
        <v>0</v>
      </c>
      <c r="AJ84">
        <v>0</v>
      </c>
      <c r="AK84">
        <v>3</v>
      </c>
      <c r="AL84" t="s">
        <v>360</v>
      </c>
      <c r="AM84" t="s">
        <v>361</v>
      </c>
      <c r="AN84" t="s">
        <v>362</v>
      </c>
      <c r="AO84" t="s">
        <v>1470</v>
      </c>
      <c r="AP84" t="s">
        <v>1471</v>
      </c>
      <c r="AQ84" t="s">
        <v>74</v>
      </c>
      <c r="AR84" t="s">
        <v>1472</v>
      </c>
      <c r="AS84" t="s">
        <v>1473</v>
      </c>
      <c r="AT84" t="s">
        <v>690</v>
      </c>
      <c r="AU84">
        <v>2020</v>
      </c>
      <c r="AV84">
        <v>37</v>
      </c>
      <c r="AW84">
        <v>5</v>
      </c>
      <c r="AX84" t="s">
        <v>74</v>
      </c>
      <c r="AY84" t="s">
        <v>74</v>
      </c>
      <c r="AZ84" t="s">
        <v>342</v>
      </c>
      <c r="BA84" t="s">
        <v>74</v>
      </c>
      <c r="BB84">
        <v>423</v>
      </c>
      <c r="BC84">
        <v>430</v>
      </c>
      <c r="BD84" t="s">
        <v>74</v>
      </c>
      <c r="BE84" t="s">
        <v>1921</v>
      </c>
      <c r="BF84" t="str">
        <f>HYPERLINK("http://dx.doi.org/10.1007/s00376-019-9215-6","http://dx.doi.org/10.1007/s00376-019-9215-6")</f>
        <v>http://dx.doi.org/10.1007/s00376-019-9215-6</v>
      </c>
      <c r="BG84" t="s">
        <v>74</v>
      </c>
      <c r="BH84" t="s">
        <v>692</v>
      </c>
      <c r="BI84">
        <v>8</v>
      </c>
      <c r="BJ84" t="s">
        <v>907</v>
      </c>
      <c r="BK84" t="s">
        <v>103</v>
      </c>
      <c r="BL84" t="s">
        <v>907</v>
      </c>
      <c r="BM84" t="s">
        <v>1475</v>
      </c>
      <c r="BN84" t="s">
        <v>74</v>
      </c>
      <c r="BO84" t="s">
        <v>517</v>
      </c>
      <c r="BP84" t="s">
        <v>74</v>
      </c>
      <c r="BQ84" t="s">
        <v>74</v>
      </c>
      <c r="BR84" t="s">
        <v>106</v>
      </c>
      <c r="BS84" t="s">
        <v>1922</v>
      </c>
      <c r="BT84" t="str">
        <f>HYPERLINK("https%3A%2F%2Fwww.webofscience.com%2Fwos%2Fwoscc%2Ffull-record%2FWOS:000520702000001","View Full Record in Web of Science")</f>
        <v>View Full Record in Web of Science</v>
      </c>
    </row>
    <row r="85" spans="1:72" x14ac:dyDescent="0.15">
      <c r="A85" t="s">
        <v>72</v>
      </c>
      <c r="B85" t="s">
        <v>1923</v>
      </c>
      <c r="C85" t="s">
        <v>74</v>
      </c>
      <c r="D85" t="s">
        <v>74</v>
      </c>
      <c r="E85" t="s">
        <v>74</v>
      </c>
      <c r="F85" t="s">
        <v>1924</v>
      </c>
      <c r="G85" t="s">
        <v>74</v>
      </c>
      <c r="H85" t="s">
        <v>74</v>
      </c>
      <c r="I85" t="s">
        <v>1925</v>
      </c>
      <c r="J85" t="s">
        <v>1926</v>
      </c>
      <c r="K85" t="s">
        <v>74</v>
      </c>
      <c r="L85" t="s">
        <v>74</v>
      </c>
      <c r="M85" t="s">
        <v>78</v>
      </c>
      <c r="N85" t="s">
        <v>79</v>
      </c>
      <c r="O85" t="s">
        <v>74</v>
      </c>
      <c r="P85" t="s">
        <v>74</v>
      </c>
      <c r="Q85" t="s">
        <v>74</v>
      </c>
      <c r="R85" t="s">
        <v>74</v>
      </c>
      <c r="S85" t="s">
        <v>74</v>
      </c>
      <c r="T85" t="s">
        <v>74</v>
      </c>
      <c r="U85" t="s">
        <v>1927</v>
      </c>
      <c r="V85" t="s">
        <v>1928</v>
      </c>
      <c r="W85" t="s">
        <v>1929</v>
      </c>
      <c r="X85" t="s">
        <v>1930</v>
      </c>
      <c r="Y85" t="s">
        <v>1931</v>
      </c>
      <c r="Z85" t="s">
        <v>1932</v>
      </c>
      <c r="AA85" t="s">
        <v>1933</v>
      </c>
      <c r="AB85" t="s">
        <v>1934</v>
      </c>
      <c r="AC85" t="s">
        <v>1935</v>
      </c>
      <c r="AD85" t="s">
        <v>1936</v>
      </c>
      <c r="AE85" t="s">
        <v>1937</v>
      </c>
      <c r="AF85" t="s">
        <v>74</v>
      </c>
      <c r="AG85">
        <v>75</v>
      </c>
      <c r="AH85">
        <v>3</v>
      </c>
      <c r="AI85">
        <v>3</v>
      </c>
      <c r="AJ85">
        <v>2</v>
      </c>
      <c r="AK85">
        <v>6</v>
      </c>
      <c r="AL85" t="s">
        <v>1938</v>
      </c>
      <c r="AM85" t="s">
        <v>1939</v>
      </c>
      <c r="AN85" t="s">
        <v>1940</v>
      </c>
      <c r="AO85" t="s">
        <v>1941</v>
      </c>
      <c r="AP85" t="s">
        <v>74</v>
      </c>
      <c r="AQ85" t="s">
        <v>74</v>
      </c>
      <c r="AR85" t="s">
        <v>1926</v>
      </c>
      <c r="AS85" t="s">
        <v>1942</v>
      </c>
      <c r="AT85" t="s">
        <v>1943</v>
      </c>
      <c r="AU85">
        <v>2020</v>
      </c>
      <c r="AV85">
        <v>15</v>
      </c>
      <c r="AW85">
        <v>3</v>
      </c>
      <c r="AX85" t="s">
        <v>74</v>
      </c>
      <c r="AY85" t="s">
        <v>74</v>
      </c>
      <c r="AZ85" t="s">
        <v>74</v>
      </c>
      <c r="BA85" t="s">
        <v>74</v>
      </c>
      <c r="BB85" t="s">
        <v>74</v>
      </c>
      <c r="BC85" t="s">
        <v>74</v>
      </c>
      <c r="BD85" t="s">
        <v>1944</v>
      </c>
      <c r="BE85" t="s">
        <v>1945</v>
      </c>
      <c r="BF85" t="str">
        <f>HYPERLINK("http://dx.doi.org/10.1371/journal.pone.0229322","http://dx.doi.org/10.1371/journal.pone.0229322")</f>
        <v>http://dx.doi.org/10.1371/journal.pone.0229322</v>
      </c>
      <c r="BG85" t="s">
        <v>74</v>
      </c>
      <c r="BH85" t="s">
        <v>74</v>
      </c>
      <c r="BI85">
        <v>21</v>
      </c>
      <c r="BJ85" t="s">
        <v>322</v>
      </c>
      <c r="BK85" t="s">
        <v>103</v>
      </c>
      <c r="BL85" t="s">
        <v>323</v>
      </c>
      <c r="BM85" t="s">
        <v>1946</v>
      </c>
      <c r="BN85">
        <v>32176696</v>
      </c>
      <c r="BO85" t="s">
        <v>276</v>
      </c>
      <c r="BP85" t="s">
        <v>74</v>
      </c>
      <c r="BQ85" t="s">
        <v>74</v>
      </c>
      <c r="BR85" t="s">
        <v>106</v>
      </c>
      <c r="BS85" t="s">
        <v>1947</v>
      </c>
      <c r="BT85" t="str">
        <f>HYPERLINK("https%3A%2F%2Fwww.webofscience.com%2Fwos%2Fwoscc%2Ffull-record%2FWOS:000535291800006","View Full Record in Web of Science")</f>
        <v>View Full Record in Web of Science</v>
      </c>
    </row>
    <row r="86" spans="1:72" x14ac:dyDescent="0.15">
      <c r="A86" t="s">
        <v>72</v>
      </c>
      <c r="B86" t="s">
        <v>1948</v>
      </c>
      <c r="C86" t="s">
        <v>74</v>
      </c>
      <c r="D86" t="s">
        <v>74</v>
      </c>
      <c r="E86" t="s">
        <v>74</v>
      </c>
      <c r="F86" t="s">
        <v>1949</v>
      </c>
      <c r="G86" t="s">
        <v>74</v>
      </c>
      <c r="H86" t="s">
        <v>74</v>
      </c>
      <c r="I86" t="s">
        <v>1950</v>
      </c>
      <c r="J86" t="s">
        <v>940</v>
      </c>
      <c r="K86" t="s">
        <v>74</v>
      </c>
      <c r="L86" t="s">
        <v>74</v>
      </c>
      <c r="M86" t="s">
        <v>78</v>
      </c>
      <c r="N86" t="s">
        <v>79</v>
      </c>
      <c r="O86" t="s">
        <v>74</v>
      </c>
      <c r="P86" t="s">
        <v>74</v>
      </c>
      <c r="Q86" t="s">
        <v>74</v>
      </c>
      <c r="R86" t="s">
        <v>74</v>
      </c>
      <c r="S86" t="s">
        <v>74</v>
      </c>
      <c r="T86" t="s">
        <v>74</v>
      </c>
      <c r="U86" t="s">
        <v>1951</v>
      </c>
      <c r="V86" t="s">
        <v>1952</v>
      </c>
      <c r="W86" t="s">
        <v>1953</v>
      </c>
      <c r="X86" t="s">
        <v>1954</v>
      </c>
      <c r="Y86" t="s">
        <v>1955</v>
      </c>
      <c r="Z86" t="s">
        <v>1956</v>
      </c>
      <c r="AA86" t="s">
        <v>1957</v>
      </c>
      <c r="AB86" t="s">
        <v>1958</v>
      </c>
      <c r="AC86" t="s">
        <v>1959</v>
      </c>
      <c r="AD86" t="s">
        <v>1960</v>
      </c>
      <c r="AE86" t="s">
        <v>1961</v>
      </c>
      <c r="AF86" t="s">
        <v>74</v>
      </c>
      <c r="AG86">
        <v>73</v>
      </c>
      <c r="AH86">
        <v>32</v>
      </c>
      <c r="AI86">
        <v>38</v>
      </c>
      <c r="AJ86">
        <v>2</v>
      </c>
      <c r="AK86">
        <v>15</v>
      </c>
      <c r="AL86" t="s">
        <v>951</v>
      </c>
      <c r="AM86" t="s">
        <v>952</v>
      </c>
      <c r="AN86" t="s">
        <v>953</v>
      </c>
      <c r="AO86" t="s">
        <v>954</v>
      </c>
      <c r="AP86" t="s">
        <v>74</v>
      </c>
      <c r="AQ86" t="s">
        <v>74</v>
      </c>
      <c r="AR86" t="s">
        <v>955</v>
      </c>
      <c r="AS86" t="s">
        <v>956</v>
      </c>
      <c r="AT86" t="s">
        <v>1943</v>
      </c>
      <c r="AU86">
        <v>2020</v>
      </c>
      <c r="AV86">
        <v>10</v>
      </c>
      <c r="AW86">
        <v>1</v>
      </c>
      <c r="AX86" t="s">
        <v>74</v>
      </c>
      <c r="AY86" t="s">
        <v>74</v>
      </c>
      <c r="AZ86" t="s">
        <v>74</v>
      </c>
      <c r="BA86" t="s">
        <v>74</v>
      </c>
      <c r="BB86" t="s">
        <v>74</v>
      </c>
      <c r="BC86" t="s">
        <v>74</v>
      </c>
      <c r="BD86">
        <v>4766</v>
      </c>
      <c r="BE86" t="s">
        <v>1962</v>
      </c>
      <c r="BF86" t="str">
        <f>HYPERLINK("http://dx.doi.org/10.1038/s41598-020-61849-8","http://dx.doi.org/10.1038/s41598-020-61849-8")</f>
        <v>http://dx.doi.org/10.1038/s41598-020-61849-8</v>
      </c>
      <c r="BG86" t="s">
        <v>74</v>
      </c>
      <c r="BH86" t="s">
        <v>74</v>
      </c>
      <c r="BI86">
        <v>11</v>
      </c>
      <c r="BJ86" t="s">
        <v>322</v>
      </c>
      <c r="BK86" t="s">
        <v>103</v>
      </c>
      <c r="BL86" t="s">
        <v>323</v>
      </c>
      <c r="BM86" t="s">
        <v>1963</v>
      </c>
      <c r="BN86">
        <v>32179826</v>
      </c>
      <c r="BO86" t="s">
        <v>276</v>
      </c>
      <c r="BP86" t="s">
        <v>74</v>
      </c>
      <c r="BQ86" t="s">
        <v>74</v>
      </c>
      <c r="BR86" t="s">
        <v>106</v>
      </c>
      <c r="BS86" t="s">
        <v>1964</v>
      </c>
      <c r="BT86" t="str">
        <f>HYPERLINK("https%3A%2F%2Fwww.webofscience.com%2Fwos%2Fwoscc%2Ffull-record%2FWOS:000530995200001","View Full Record in Web of Science")</f>
        <v>View Full Record in Web of Science</v>
      </c>
    </row>
    <row r="87" spans="1:72" x14ac:dyDescent="0.15">
      <c r="A87" t="s">
        <v>72</v>
      </c>
      <c r="B87" t="s">
        <v>1965</v>
      </c>
      <c r="C87" t="s">
        <v>74</v>
      </c>
      <c r="D87" t="s">
        <v>74</v>
      </c>
      <c r="E87" t="s">
        <v>74</v>
      </c>
      <c r="F87" t="s">
        <v>1966</v>
      </c>
      <c r="G87" t="s">
        <v>74</v>
      </c>
      <c r="H87" t="s">
        <v>74</v>
      </c>
      <c r="I87" t="s">
        <v>1967</v>
      </c>
      <c r="J87" t="s">
        <v>1390</v>
      </c>
      <c r="K87" t="s">
        <v>74</v>
      </c>
      <c r="L87" t="s">
        <v>74</v>
      </c>
      <c r="M87" t="s">
        <v>78</v>
      </c>
      <c r="N87" t="s">
        <v>79</v>
      </c>
      <c r="O87" t="s">
        <v>74</v>
      </c>
      <c r="P87" t="s">
        <v>74</v>
      </c>
      <c r="Q87" t="s">
        <v>74</v>
      </c>
      <c r="R87" t="s">
        <v>74</v>
      </c>
      <c r="S87" t="s">
        <v>74</v>
      </c>
      <c r="T87" t="s">
        <v>74</v>
      </c>
      <c r="U87" t="s">
        <v>1968</v>
      </c>
      <c r="V87" t="s">
        <v>1969</v>
      </c>
      <c r="W87" t="s">
        <v>1970</v>
      </c>
      <c r="X87" t="s">
        <v>1971</v>
      </c>
      <c r="Y87" t="s">
        <v>1972</v>
      </c>
      <c r="Z87" t="s">
        <v>1973</v>
      </c>
      <c r="AA87" t="s">
        <v>1974</v>
      </c>
      <c r="AB87" t="s">
        <v>1975</v>
      </c>
      <c r="AC87" t="s">
        <v>1976</v>
      </c>
      <c r="AD87" t="s">
        <v>1977</v>
      </c>
      <c r="AE87" t="s">
        <v>1978</v>
      </c>
      <c r="AF87" t="s">
        <v>74</v>
      </c>
      <c r="AG87">
        <v>54</v>
      </c>
      <c r="AH87">
        <v>6</v>
      </c>
      <c r="AI87">
        <v>6</v>
      </c>
      <c r="AJ87">
        <v>0</v>
      </c>
      <c r="AK87">
        <v>10</v>
      </c>
      <c r="AL87" t="s">
        <v>976</v>
      </c>
      <c r="AM87" t="s">
        <v>977</v>
      </c>
      <c r="AN87" t="s">
        <v>978</v>
      </c>
      <c r="AO87" t="s">
        <v>1399</v>
      </c>
      <c r="AP87" t="s">
        <v>1400</v>
      </c>
      <c r="AQ87" t="s">
        <v>74</v>
      </c>
      <c r="AR87" t="s">
        <v>1390</v>
      </c>
      <c r="AS87" t="s">
        <v>1401</v>
      </c>
      <c r="AT87" t="s">
        <v>1943</v>
      </c>
      <c r="AU87">
        <v>2020</v>
      </c>
      <c r="AV87">
        <v>17</v>
      </c>
      <c r="AW87">
        <v>5</v>
      </c>
      <c r="AX87" t="s">
        <v>74</v>
      </c>
      <c r="AY87" t="s">
        <v>74</v>
      </c>
      <c r="AZ87" t="s">
        <v>74</v>
      </c>
      <c r="BA87" t="s">
        <v>74</v>
      </c>
      <c r="BB87">
        <v>1309</v>
      </c>
      <c r="BC87">
        <v>1326</v>
      </c>
      <c r="BD87" t="s">
        <v>74</v>
      </c>
      <c r="BE87" t="s">
        <v>1979</v>
      </c>
      <c r="BF87" t="str">
        <f>HYPERLINK("http://dx.doi.org/10.5194/bg-17-1309-2020","http://dx.doi.org/10.5194/bg-17-1309-2020")</f>
        <v>http://dx.doi.org/10.5194/bg-17-1309-2020</v>
      </c>
      <c r="BG87" t="s">
        <v>74</v>
      </c>
      <c r="BH87" t="s">
        <v>74</v>
      </c>
      <c r="BI87">
        <v>18</v>
      </c>
      <c r="BJ87" t="s">
        <v>1404</v>
      </c>
      <c r="BK87" t="s">
        <v>103</v>
      </c>
      <c r="BL87" t="s">
        <v>1405</v>
      </c>
      <c r="BM87" t="s">
        <v>1980</v>
      </c>
      <c r="BN87" t="s">
        <v>74</v>
      </c>
      <c r="BO87" t="s">
        <v>1981</v>
      </c>
      <c r="BP87" t="s">
        <v>74</v>
      </c>
      <c r="BQ87" t="s">
        <v>74</v>
      </c>
      <c r="BR87" t="s">
        <v>106</v>
      </c>
      <c r="BS87" t="s">
        <v>1982</v>
      </c>
      <c r="BT87" t="str">
        <f>HYPERLINK("https%3A%2F%2Fwww.webofscience.com%2Fwos%2Fwoscc%2Ffull-record%2FWOS:000520412900001","View Full Record in Web of Science")</f>
        <v>View Full Record in Web of Science</v>
      </c>
    </row>
    <row r="88" spans="1:72" x14ac:dyDescent="0.15">
      <c r="A88" t="s">
        <v>72</v>
      </c>
      <c r="B88" t="s">
        <v>1983</v>
      </c>
      <c r="C88" t="s">
        <v>74</v>
      </c>
      <c r="D88" t="s">
        <v>74</v>
      </c>
      <c r="E88" t="s">
        <v>74</v>
      </c>
      <c r="F88" t="s">
        <v>1984</v>
      </c>
      <c r="G88" t="s">
        <v>74</v>
      </c>
      <c r="H88" t="s">
        <v>74</v>
      </c>
      <c r="I88" t="s">
        <v>1985</v>
      </c>
      <c r="J88" t="s">
        <v>1986</v>
      </c>
      <c r="K88" t="s">
        <v>74</v>
      </c>
      <c r="L88" t="s">
        <v>74</v>
      </c>
      <c r="M88" t="s">
        <v>78</v>
      </c>
      <c r="N88" t="s">
        <v>79</v>
      </c>
      <c r="O88" t="s">
        <v>74</v>
      </c>
      <c r="P88" t="s">
        <v>74</v>
      </c>
      <c r="Q88" t="s">
        <v>74</v>
      </c>
      <c r="R88" t="s">
        <v>74</v>
      </c>
      <c r="S88" t="s">
        <v>74</v>
      </c>
      <c r="T88" t="s">
        <v>1987</v>
      </c>
      <c r="U88" t="s">
        <v>1988</v>
      </c>
      <c r="V88" t="s">
        <v>1989</v>
      </c>
      <c r="W88" t="s">
        <v>1990</v>
      </c>
      <c r="X88" t="s">
        <v>1991</v>
      </c>
      <c r="Y88" t="s">
        <v>1992</v>
      </c>
      <c r="Z88" t="s">
        <v>1993</v>
      </c>
      <c r="AA88" t="s">
        <v>1994</v>
      </c>
      <c r="AB88" t="s">
        <v>74</v>
      </c>
      <c r="AC88" t="s">
        <v>1995</v>
      </c>
      <c r="AD88" t="s">
        <v>1996</v>
      </c>
      <c r="AE88" t="s">
        <v>1997</v>
      </c>
      <c r="AF88" t="s">
        <v>74</v>
      </c>
      <c r="AG88">
        <v>35</v>
      </c>
      <c r="AH88">
        <v>4</v>
      </c>
      <c r="AI88">
        <v>4</v>
      </c>
      <c r="AJ88">
        <v>2</v>
      </c>
      <c r="AK88">
        <v>16</v>
      </c>
      <c r="AL88" t="s">
        <v>211</v>
      </c>
      <c r="AM88" t="s">
        <v>212</v>
      </c>
      <c r="AN88" t="s">
        <v>213</v>
      </c>
      <c r="AO88" t="s">
        <v>1998</v>
      </c>
      <c r="AP88" t="s">
        <v>1999</v>
      </c>
      <c r="AQ88" t="s">
        <v>74</v>
      </c>
      <c r="AR88" t="s">
        <v>2000</v>
      </c>
      <c r="AS88" t="s">
        <v>2001</v>
      </c>
      <c r="AT88" t="s">
        <v>2002</v>
      </c>
      <c r="AU88">
        <v>2020</v>
      </c>
      <c r="AV88">
        <v>40</v>
      </c>
      <c r="AW88">
        <v>9</v>
      </c>
      <c r="AX88" t="s">
        <v>74</v>
      </c>
      <c r="AY88" t="s">
        <v>74</v>
      </c>
      <c r="AZ88" t="s">
        <v>74</v>
      </c>
      <c r="BA88" t="s">
        <v>74</v>
      </c>
      <c r="BB88">
        <v>4228</v>
      </c>
      <c r="BC88">
        <v>4241</v>
      </c>
      <c r="BD88" t="s">
        <v>74</v>
      </c>
      <c r="BE88" t="s">
        <v>2003</v>
      </c>
      <c r="BF88" t="str">
        <f>HYPERLINK("http://dx.doi.org/10.1002/joc.6455","http://dx.doi.org/10.1002/joc.6455")</f>
        <v>http://dx.doi.org/10.1002/joc.6455</v>
      </c>
      <c r="BG88" t="s">
        <v>74</v>
      </c>
      <c r="BH88" t="s">
        <v>692</v>
      </c>
      <c r="BI88">
        <v>14</v>
      </c>
      <c r="BJ88" t="s">
        <v>907</v>
      </c>
      <c r="BK88" t="s">
        <v>103</v>
      </c>
      <c r="BL88" t="s">
        <v>907</v>
      </c>
      <c r="BM88" t="s">
        <v>2004</v>
      </c>
      <c r="BN88" t="s">
        <v>74</v>
      </c>
      <c r="BO88" t="s">
        <v>74</v>
      </c>
      <c r="BP88" t="s">
        <v>74</v>
      </c>
      <c r="BQ88" t="s">
        <v>74</v>
      </c>
      <c r="BR88" t="s">
        <v>106</v>
      </c>
      <c r="BS88" t="s">
        <v>2005</v>
      </c>
      <c r="BT88" t="str">
        <f>HYPERLINK("https%3A%2F%2Fwww.webofscience.com%2Fwos%2Fwoscc%2Ffull-record%2FWOS:000519811100001","View Full Record in Web of Science")</f>
        <v>View Full Record in Web of Science</v>
      </c>
    </row>
    <row r="89" spans="1:72" x14ac:dyDescent="0.15">
      <c r="A89" t="s">
        <v>72</v>
      </c>
      <c r="B89" t="s">
        <v>2006</v>
      </c>
      <c r="C89" t="s">
        <v>74</v>
      </c>
      <c r="D89" t="s">
        <v>74</v>
      </c>
      <c r="E89" t="s">
        <v>74</v>
      </c>
      <c r="F89" t="s">
        <v>2007</v>
      </c>
      <c r="G89" t="s">
        <v>74</v>
      </c>
      <c r="H89" t="s">
        <v>74</v>
      </c>
      <c r="I89" t="s">
        <v>2008</v>
      </c>
      <c r="J89" t="s">
        <v>888</v>
      </c>
      <c r="K89" t="s">
        <v>74</v>
      </c>
      <c r="L89" t="s">
        <v>74</v>
      </c>
      <c r="M89" t="s">
        <v>78</v>
      </c>
      <c r="N89" t="s">
        <v>79</v>
      </c>
      <c r="O89" t="s">
        <v>74</v>
      </c>
      <c r="P89" t="s">
        <v>74</v>
      </c>
      <c r="Q89" t="s">
        <v>74</v>
      </c>
      <c r="R89" t="s">
        <v>74</v>
      </c>
      <c r="S89" t="s">
        <v>74</v>
      </c>
      <c r="T89" t="s">
        <v>74</v>
      </c>
      <c r="U89" t="s">
        <v>2009</v>
      </c>
      <c r="V89" t="s">
        <v>2010</v>
      </c>
      <c r="W89" t="s">
        <v>2011</v>
      </c>
      <c r="X89" t="s">
        <v>2012</v>
      </c>
      <c r="Y89" t="s">
        <v>2013</v>
      </c>
      <c r="Z89" t="s">
        <v>2014</v>
      </c>
      <c r="AA89" t="s">
        <v>2015</v>
      </c>
      <c r="AB89" t="s">
        <v>2016</v>
      </c>
      <c r="AC89" t="s">
        <v>2017</v>
      </c>
      <c r="AD89" t="s">
        <v>2018</v>
      </c>
      <c r="AE89" t="s">
        <v>2019</v>
      </c>
      <c r="AF89" t="s">
        <v>74</v>
      </c>
      <c r="AG89">
        <v>125</v>
      </c>
      <c r="AH89">
        <v>10</v>
      </c>
      <c r="AI89">
        <v>10</v>
      </c>
      <c r="AJ89">
        <v>0</v>
      </c>
      <c r="AK89">
        <v>18</v>
      </c>
      <c r="AL89" t="s">
        <v>855</v>
      </c>
      <c r="AM89" t="s">
        <v>266</v>
      </c>
      <c r="AN89" t="s">
        <v>856</v>
      </c>
      <c r="AO89" t="s">
        <v>900</v>
      </c>
      <c r="AP89" t="s">
        <v>901</v>
      </c>
      <c r="AQ89" t="s">
        <v>74</v>
      </c>
      <c r="AR89" t="s">
        <v>902</v>
      </c>
      <c r="AS89" t="s">
        <v>903</v>
      </c>
      <c r="AT89" t="s">
        <v>1943</v>
      </c>
      <c r="AU89">
        <v>2020</v>
      </c>
      <c r="AV89">
        <v>125</v>
      </c>
      <c r="AW89">
        <v>5</v>
      </c>
      <c r="AX89" t="s">
        <v>74</v>
      </c>
      <c r="AY89" t="s">
        <v>74</v>
      </c>
      <c r="AZ89" t="s">
        <v>74</v>
      </c>
      <c r="BA89" t="s">
        <v>74</v>
      </c>
      <c r="BB89" t="s">
        <v>74</v>
      </c>
      <c r="BC89" t="s">
        <v>74</v>
      </c>
      <c r="BD89" t="s">
        <v>2020</v>
      </c>
      <c r="BE89" t="s">
        <v>2021</v>
      </c>
      <c r="BF89" t="str">
        <f>HYPERLINK("http://dx.doi.org/10.1029/2019JD032191","http://dx.doi.org/10.1029/2019JD032191")</f>
        <v>http://dx.doi.org/10.1029/2019JD032191</v>
      </c>
      <c r="BG89" t="s">
        <v>74</v>
      </c>
      <c r="BH89" t="s">
        <v>74</v>
      </c>
      <c r="BI89">
        <v>20</v>
      </c>
      <c r="BJ89" t="s">
        <v>907</v>
      </c>
      <c r="BK89" t="s">
        <v>103</v>
      </c>
      <c r="BL89" t="s">
        <v>907</v>
      </c>
      <c r="BM89" t="s">
        <v>2022</v>
      </c>
      <c r="BN89" t="s">
        <v>74</v>
      </c>
      <c r="BO89" t="s">
        <v>1721</v>
      </c>
      <c r="BP89" t="s">
        <v>74</v>
      </c>
      <c r="BQ89" t="s">
        <v>74</v>
      </c>
      <c r="BR89" t="s">
        <v>106</v>
      </c>
      <c r="BS89" t="s">
        <v>2023</v>
      </c>
      <c r="BT89" t="str">
        <f>HYPERLINK("https%3A%2F%2Fwww.webofscience.com%2Fwos%2Fwoscc%2Ffull-record%2FWOS:000519602000013","View Full Record in Web of Science")</f>
        <v>View Full Record in Web of Science</v>
      </c>
    </row>
    <row r="90" spans="1:72" x14ac:dyDescent="0.15">
      <c r="A90" t="s">
        <v>72</v>
      </c>
      <c r="B90" t="s">
        <v>2024</v>
      </c>
      <c r="C90" t="s">
        <v>74</v>
      </c>
      <c r="D90" t="s">
        <v>74</v>
      </c>
      <c r="E90" t="s">
        <v>74</v>
      </c>
      <c r="F90" t="s">
        <v>2025</v>
      </c>
      <c r="G90" t="s">
        <v>74</v>
      </c>
      <c r="H90" t="s">
        <v>74</v>
      </c>
      <c r="I90" t="s">
        <v>2026</v>
      </c>
      <c r="J90" t="s">
        <v>741</v>
      </c>
      <c r="K90" t="s">
        <v>74</v>
      </c>
      <c r="L90" t="s">
        <v>74</v>
      </c>
      <c r="M90" t="s">
        <v>78</v>
      </c>
      <c r="N90" t="s">
        <v>79</v>
      </c>
      <c r="O90" t="s">
        <v>74</v>
      </c>
      <c r="P90" t="s">
        <v>74</v>
      </c>
      <c r="Q90" t="s">
        <v>74</v>
      </c>
      <c r="R90" t="s">
        <v>74</v>
      </c>
      <c r="S90" t="s">
        <v>74</v>
      </c>
      <c r="T90" t="s">
        <v>74</v>
      </c>
      <c r="U90" t="s">
        <v>2027</v>
      </c>
      <c r="V90" t="s">
        <v>2028</v>
      </c>
      <c r="W90" t="s">
        <v>2029</v>
      </c>
      <c r="X90" t="s">
        <v>2030</v>
      </c>
      <c r="Y90" t="s">
        <v>2031</v>
      </c>
      <c r="Z90" t="s">
        <v>2032</v>
      </c>
      <c r="AA90" t="s">
        <v>2033</v>
      </c>
      <c r="AB90" t="s">
        <v>2034</v>
      </c>
      <c r="AC90" t="s">
        <v>74</v>
      </c>
      <c r="AD90" t="s">
        <v>74</v>
      </c>
      <c r="AE90" t="s">
        <v>74</v>
      </c>
      <c r="AF90" t="s">
        <v>74</v>
      </c>
      <c r="AG90">
        <v>49</v>
      </c>
      <c r="AH90">
        <v>77</v>
      </c>
      <c r="AI90">
        <v>84</v>
      </c>
      <c r="AJ90">
        <v>14</v>
      </c>
      <c r="AK90">
        <v>95</v>
      </c>
      <c r="AL90" t="s">
        <v>753</v>
      </c>
      <c r="AM90" t="s">
        <v>166</v>
      </c>
      <c r="AN90" t="s">
        <v>754</v>
      </c>
      <c r="AO90" t="s">
        <v>755</v>
      </c>
      <c r="AP90" t="s">
        <v>756</v>
      </c>
      <c r="AQ90" t="s">
        <v>74</v>
      </c>
      <c r="AR90" t="s">
        <v>757</v>
      </c>
      <c r="AS90" t="s">
        <v>758</v>
      </c>
      <c r="AT90" t="s">
        <v>128</v>
      </c>
      <c r="AU90">
        <v>2020</v>
      </c>
      <c r="AV90">
        <v>13</v>
      </c>
      <c r="AW90">
        <v>4</v>
      </c>
      <c r="AX90" t="s">
        <v>74</v>
      </c>
      <c r="AY90" t="s">
        <v>74</v>
      </c>
      <c r="AZ90" t="s">
        <v>74</v>
      </c>
      <c r="BA90" t="s">
        <v>74</v>
      </c>
      <c r="BB90">
        <v>275</v>
      </c>
      <c r="BC90" t="s">
        <v>759</v>
      </c>
      <c r="BD90" t="s">
        <v>74</v>
      </c>
      <c r="BE90" t="s">
        <v>2035</v>
      </c>
      <c r="BF90" t="str">
        <f>HYPERLINK("http://dx.doi.org/10.1038/s41561-020-0546-9","http://dx.doi.org/10.1038/s41561-020-0546-9")</f>
        <v>http://dx.doi.org/10.1038/s41561-020-0546-9</v>
      </c>
      <c r="BG90" t="s">
        <v>74</v>
      </c>
      <c r="BH90" t="s">
        <v>692</v>
      </c>
      <c r="BI90">
        <v>18</v>
      </c>
      <c r="BJ90" t="s">
        <v>246</v>
      </c>
      <c r="BK90" t="s">
        <v>103</v>
      </c>
      <c r="BL90" t="s">
        <v>247</v>
      </c>
      <c r="BM90" t="s">
        <v>761</v>
      </c>
      <c r="BN90" t="s">
        <v>74</v>
      </c>
      <c r="BO90" t="s">
        <v>74</v>
      </c>
      <c r="BP90" t="s">
        <v>74</v>
      </c>
      <c r="BQ90" t="s">
        <v>74</v>
      </c>
      <c r="BR90" t="s">
        <v>106</v>
      </c>
      <c r="BS90" t="s">
        <v>2036</v>
      </c>
      <c r="BT90" t="str">
        <f>HYPERLINK("https%3A%2F%2Fwww.webofscience.com%2Fwos%2Fwoscc%2Ffull-record%2FWOS:000519843400005","View Full Record in Web of Science")</f>
        <v>View Full Record in Web of Science</v>
      </c>
    </row>
    <row r="91" spans="1:72" x14ac:dyDescent="0.15">
      <c r="A91" t="s">
        <v>72</v>
      </c>
      <c r="B91" t="s">
        <v>2037</v>
      </c>
      <c r="C91" t="s">
        <v>74</v>
      </c>
      <c r="D91" t="s">
        <v>74</v>
      </c>
      <c r="E91" t="s">
        <v>74</v>
      </c>
      <c r="F91" t="s">
        <v>2038</v>
      </c>
      <c r="G91" t="s">
        <v>74</v>
      </c>
      <c r="H91" t="s">
        <v>74</v>
      </c>
      <c r="I91" t="s">
        <v>2039</v>
      </c>
      <c r="J91" t="s">
        <v>2040</v>
      </c>
      <c r="K91" t="s">
        <v>74</v>
      </c>
      <c r="L91" t="s">
        <v>74</v>
      </c>
      <c r="M91" t="s">
        <v>78</v>
      </c>
      <c r="N91" t="s">
        <v>79</v>
      </c>
      <c r="O91" t="s">
        <v>74</v>
      </c>
      <c r="P91" t="s">
        <v>74</v>
      </c>
      <c r="Q91" t="s">
        <v>74</v>
      </c>
      <c r="R91" t="s">
        <v>74</v>
      </c>
      <c r="S91" t="s">
        <v>74</v>
      </c>
      <c r="T91" t="s">
        <v>2041</v>
      </c>
      <c r="U91" t="s">
        <v>2042</v>
      </c>
      <c r="V91" t="s">
        <v>2043</v>
      </c>
      <c r="W91" t="s">
        <v>2044</v>
      </c>
      <c r="X91" t="s">
        <v>2045</v>
      </c>
      <c r="Y91" t="s">
        <v>2046</v>
      </c>
      <c r="Z91" t="s">
        <v>2047</v>
      </c>
      <c r="AA91" t="s">
        <v>2048</v>
      </c>
      <c r="AB91" t="s">
        <v>2049</v>
      </c>
      <c r="AC91" t="s">
        <v>2050</v>
      </c>
      <c r="AD91" t="s">
        <v>2051</v>
      </c>
      <c r="AE91" t="s">
        <v>2052</v>
      </c>
      <c r="AF91" t="s">
        <v>74</v>
      </c>
      <c r="AG91">
        <v>63</v>
      </c>
      <c r="AH91">
        <v>19</v>
      </c>
      <c r="AI91">
        <v>20</v>
      </c>
      <c r="AJ91">
        <v>11</v>
      </c>
      <c r="AK91">
        <v>37</v>
      </c>
      <c r="AL91" t="s">
        <v>1607</v>
      </c>
      <c r="AM91" t="s">
        <v>545</v>
      </c>
      <c r="AN91" t="s">
        <v>1608</v>
      </c>
      <c r="AO91" t="s">
        <v>2053</v>
      </c>
      <c r="AP91" t="s">
        <v>74</v>
      </c>
      <c r="AQ91" t="s">
        <v>74</v>
      </c>
      <c r="AR91" t="s">
        <v>2040</v>
      </c>
      <c r="AS91" t="s">
        <v>2054</v>
      </c>
      <c r="AT91" t="s">
        <v>1943</v>
      </c>
      <c r="AU91">
        <v>2020</v>
      </c>
      <c r="AV91">
        <v>8</v>
      </c>
      <c r="AW91">
        <v>1</v>
      </c>
      <c r="AX91" t="s">
        <v>74</v>
      </c>
      <c r="AY91" t="s">
        <v>74</v>
      </c>
      <c r="AZ91" t="s">
        <v>74</v>
      </c>
      <c r="BA91" t="s">
        <v>74</v>
      </c>
      <c r="BB91" t="s">
        <v>74</v>
      </c>
      <c r="BC91" t="s">
        <v>74</v>
      </c>
      <c r="BD91">
        <v>37</v>
      </c>
      <c r="BE91" t="s">
        <v>2055</v>
      </c>
      <c r="BF91" t="str">
        <f>HYPERLINK("http://dx.doi.org/10.1186/s40168-020-00809-w","http://dx.doi.org/10.1186/s40168-020-00809-w")</f>
        <v>http://dx.doi.org/10.1186/s40168-020-00809-w</v>
      </c>
      <c r="BG91" t="s">
        <v>74</v>
      </c>
      <c r="BH91" t="s">
        <v>74</v>
      </c>
      <c r="BI91">
        <v>12</v>
      </c>
      <c r="BJ91" t="s">
        <v>273</v>
      </c>
      <c r="BK91" t="s">
        <v>103</v>
      </c>
      <c r="BL91" t="s">
        <v>273</v>
      </c>
      <c r="BM91" t="s">
        <v>2056</v>
      </c>
      <c r="BN91">
        <v>32178729</v>
      </c>
      <c r="BO91" t="s">
        <v>1359</v>
      </c>
      <c r="BP91" t="s">
        <v>74</v>
      </c>
      <c r="BQ91" t="s">
        <v>74</v>
      </c>
      <c r="BR91" t="s">
        <v>106</v>
      </c>
      <c r="BS91" t="s">
        <v>2057</v>
      </c>
      <c r="BT91" t="str">
        <f>HYPERLINK("https%3A%2F%2Fwww.webofscience.com%2Fwos%2Fwoscc%2Ffull-record%2FWOS:000521362700001","View Full Record in Web of Science")</f>
        <v>View Full Record in Web of Science</v>
      </c>
    </row>
    <row r="92" spans="1:72" x14ac:dyDescent="0.15">
      <c r="A92" t="s">
        <v>72</v>
      </c>
      <c r="B92" t="s">
        <v>2058</v>
      </c>
      <c r="C92" t="s">
        <v>74</v>
      </c>
      <c r="D92" t="s">
        <v>74</v>
      </c>
      <c r="E92" t="s">
        <v>74</v>
      </c>
      <c r="F92" t="s">
        <v>2059</v>
      </c>
      <c r="G92" t="s">
        <v>74</v>
      </c>
      <c r="H92" t="s">
        <v>74</v>
      </c>
      <c r="I92" t="s">
        <v>2060</v>
      </c>
      <c r="J92" t="s">
        <v>1926</v>
      </c>
      <c r="K92" t="s">
        <v>74</v>
      </c>
      <c r="L92" t="s">
        <v>74</v>
      </c>
      <c r="M92" t="s">
        <v>78</v>
      </c>
      <c r="N92" t="s">
        <v>79</v>
      </c>
      <c r="O92" t="s">
        <v>74</v>
      </c>
      <c r="P92" t="s">
        <v>74</v>
      </c>
      <c r="Q92" t="s">
        <v>74</v>
      </c>
      <c r="R92" t="s">
        <v>74</v>
      </c>
      <c r="S92" t="s">
        <v>74</v>
      </c>
      <c r="T92" t="s">
        <v>74</v>
      </c>
      <c r="U92" t="s">
        <v>2061</v>
      </c>
      <c r="V92" t="s">
        <v>2062</v>
      </c>
      <c r="W92" t="s">
        <v>2063</v>
      </c>
      <c r="X92" t="s">
        <v>2064</v>
      </c>
      <c r="Y92" t="s">
        <v>2065</v>
      </c>
      <c r="Z92" t="s">
        <v>2066</v>
      </c>
      <c r="AA92" t="s">
        <v>2067</v>
      </c>
      <c r="AB92" t="s">
        <v>2068</v>
      </c>
      <c r="AC92" t="s">
        <v>2069</v>
      </c>
      <c r="AD92" t="s">
        <v>2070</v>
      </c>
      <c r="AE92" t="s">
        <v>2071</v>
      </c>
      <c r="AF92" t="s">
        <v>74</v>
      </c>
      <c r="AG92">
        <v>86</v>
      </c>
      <c r="AH92">
        <v>11</v>
      </c>
      <c r="AI92">
        <v>14</v>
      </c>
      <c r="AJ92">
        <v>2</v>
      </c>
      <c r="AK92">
        <v>11</v>
      </c>
      <c r="AL92" t="s">
        <v>1938</v>
      </c>
      <c r="AM92" t="s">
        <v>1939</v>
      </c>
      <c r="AN92" t="s">
        <v>1940</v>
      </c>
      <c r="AO92" t="s">
        <v>1941</v>
      </c>
      <c r="AP92" t="s">
        <v>74</v>
      </c>
      <c r="AQ92" t="s">
        <v>74</v>
      </c>
      <c r="AR92" t="s">
        <v>1926</v>
      </c>
      <c r="AS92" t="s">
        <v>1942</v>
      </c>
      <c r="AT92" t="s">
        <v>1943</v>
      </c>
      <c r="AU92">
        <v>2020</v>
      </c>
      <c r="AV92">
        <v>15</v>
      </c>
      <c r="AW92">
        <v>3</v>
      </c>
      <c r="AX92" t="s">
        <v>74</v>
      </c>
      <c r="AY92" t="s">
        <v>74</v>
      </c>
      <c r="AZ92" t="s">
        <v>74</v>
      </c>
      <c r="BA92" t="s">
        <v>74</v>
      </c>
      <c r="BB92" t="s">
        <v>74</v>
      </c>
      <c r="BC92" t="s">
        <v>74</v>
      </c>
      <c r="BD92" t="s">
        <v>2072</v>
      </c>
      <c r="BE92" t="s">
        <v>2073</v>
      </c>
      <c r="BF92" t="str">
        <f>HYPERLINK("http://dx.doi.org/10.1371/journal.pone.0230262","http://dx.doi.org/10.1371/journal.pone.0230262")</f>
        <v>http://dx.doi.org/10.1371/journal.pone.0230262</v>
      </c>
      <c r="BG92" t="s">
        <v>74</v>
      </c>
      <c r="BH92" t="s">
        <v>74</v>
      </c>
      <c r="BI92">
        <v>23</v>
      </c>
      <c r="BJ92" t="s">
        <v>322</v>
      </c>
      <c r="BK92" t="s">
        <v>103</v>
      </c>
      <c r="BL92" t="s">
        <v>323</v>
      </c>
      <c r="BM92" t="s">
        <v>1946</v>
      </c>
      <c r="BN92">
        <v>32176713</v>
      </c>
      <c r="BO92" t="s">
        <v>2074</v>
      </c>
      <c r="BP92" t="s">
        <v>74</v>
      </c>
      <c r="BQ92" t="s">
        <v>74</v>
      </c>
      <c r="BR92" t="s">
        <v>106</v>
      </c>
      <c r="BS92" t="s">
        <v>2075</v>
      </c>
      <c r="BT92" t="str">
        <f>HYPERLINK("https%3A%2F%2Fwww.webofscience.com%2Fwos%2Fwoscc%2Ffull-record%2FWOS:000535291800021","View Full Record in Web of Science")</f>
        <v>View Full Record in Web of Science</v>
      </c>
    </row>
    <row r="93" spans="1:72" x14ac:dyDescent="0.15">
      <c r="A93" t="s">
        <v>72</v>
      </c>
      <c r="B93" t="s">
        <v>2076</v>
      </c>
      <c r="C93" t="s">
        <v>74</v>
      </c>
      <c r="D93" t="s">
        <v>74</v>
      </c>
      <c r="E93" t="s">
        <v>74</v>
      </c>
      <c r="F93" t="s">
        <v>2077</v>
      </c>
      <c r="G93" t="s">
        <v>74</v>
      </c>
      <c r="H93" t="s">
        <v>74</v>
      </c>
      <c r="I93" t="s">
        <v>2078</v>
      </c>
      <c r="J93" t="s">
        <v>2079</v>
      </c>
      <c r="K93" t="s">
        <v>74</v>
      </c>
      <c r="L93" t="s">
        <v>74</v>
      </c>
      <c r="M93" t="s">
        <v>78</v>
      </c>
      <c r="N93" t="s">
        <v>79</v>
      </c>
      <c r="O93" t="s">
        <v>74</v>
      </c>
      <c r="P93" t="s">
        <v>74</v>
      </c>
      <c r="Q93" t="s">
        <v>74</v>
      </c>
      <c r="R93" t="s">
        <v>74</v>
      </c>
      <c r="S93" t="s">
        <v>74</v>
      </c>
      <c r="T93" t="s">
        <v>2080</v>
      </c>
      <c r="U93" t="s">
        <v>2081</v>
      </c>
      <c r="V93" t="s">
        <v>2082</v>
      </c>
      <c r="W93" t="s">
        <v>2083</v>
      </c>
      <c r="X93" t="s">
        <v>2084</v>
      </c>
      <c r="Y93" t="s">
        <v>2085</v>
      </c>
      <c r="Z93" t="s">
        <v>2086</v>
      </c>
      <c r="AA93" t="s">
        <v>2087</v>
      </c>
      <c r="AB93" t="s">
        <v>74</v>
      </c>
      <c r="AC93" t="s">
        <v>74</v>
      </c>
      <c r="AD93" t="s">
        <v>74</v>
      </c>
      <c r="AE93" t="s">
        <v>74</v>
      </c>
      <c r="AF93" t="s">
        <v>74</v>
      </c>
      <c r="AG93">
        <v>15</v>
      </c>
      <c r="AH93">
        <v>5</v>
      </c>
      <c r="AI93">
        <v>5</v>
      </c>
      <c r="AJ93">
        <v>1</v>
      </c>
      <c r="AK93">
        <v>6</v>
      </c>
      <c r="AL93" t="s">
        <v>434</v>
      </c>
      <c r="AM93" t="s">
        <v>435</v>
      </c>
      <c r="AN93" t="s">
        <v>436</v>
      </c>
      <c r="AO93" t="s">
        <v>2088</v>
      </c>
      <c r="AP93" t="s">
        <v>74</v>
      </c>
      <c r="AQ93" t="s">
        <v>74</v>
      </c>
      <c r="AR93" t="s">
        <v>2089</v>
      </c>
      <c r="AS93" t="s">
        <v>2090</v>
      </c>
      <c r="AT93" t="s">
        <v>2091</v>
      </c>
      <c r="AU93">
        <v>2020</v>
      </c>
      <c r="AV93">
        <v>232</v>
      </c>
      <c r="AW93" t="s">
        <v>74</v>
      </c>
      <c r="AX93" t="s">
        <v>74</v>
      </c>
      <c r="AY93" t="s">
        <v>74</v>
      </c>
      <c r="AZ93" t="s">
        <v>74</v>
      </c>
      <c r="BA93" t="s">
        <v>74</v>
      </c>
      <c r="BB93" t="s">
        <v>74</v>
      </c>
      <c r="BC93" t="s">
        <v>74</v>
      </c>
      <c r="BD93">
        <v>106204</v>
      </c>
      <c r="BE93" t="s">
        <v>2092</v>
      </c>
      <c r="BF93" t="str">
        <f>HYPERLINK("http://dx.doi.org/10.1016/j.quascirev.2020.106204","http://dx.doi.org/10.1016/j.quascirev.2020.106204")</f>
        <v>http://dx.doi.org/10.1016/j.quascirev.2020.106204</v>
      </c>
      <c r="BG93" t="s">
        <v>74</v>
      </c>
      <c r="BH93" t="s">
        <v>74</v>
      </c>
      <c r="BI93">
        <v>4</v>
      </c>
      <c r="BJ93" t="s">
        <v>1307</v>
      </c>
      <c r="BK93" t="s">
        <v>103</v>
      </c>
      <c r="BL93" t="s">
        <v>1308</v>
      </c>
      <c r="BM93" t="s">
        <v>2093</v>
      </c>
      <c r="BN93" t="s">
        <v>74</v>
      </c>
      <c r="BO93" t="s">
        <v>298</v>
      </c>
      <c r="BP93" t="s">
        <v>74</v>
      </c>
      <c r="BQ93" t="s">
        <v>74</v>
      </c>
      <c r="BR93" t="s">
        <v>106</v>
      </c>
      <c r="BS93" t="s">
        <v>2094</v>
      </c>
      <c r="BT93" t="str">
        <f>HYPERLINK("https%3A%2F%2Fwww.webofscience.com%2Fwos%2Fwoscc%2Ffull-record%2FWOS:000525784300004","View Full Record in Web of Science")</f>
        <v>View Full Record in Web of Science</v>
      </c>
    </row>
    <row r="94" spans="1:72" x14ac:dyDescent="0.15">
      <c r="A94" t="s">
        <v>72</v>
      </c>
      <c r="B94" t="s">
        <v>2095</v>
      </c>
      <c r="C94" t="s">
        <v>74</v>
      </c>
      <c r="D94" t="s">
        <v>74</v>
      </c>
      <c r="E94" t="s">
        <v>74</v>
      </c>
      <c r="F94" t="s">
        <v>2096</v>
      </c>
      <c r="G94" t="s">
        <v>74</v>
      </c>
      <c r="H94" t="s">
        <v>74</v>
      </c>
      <c r="I94" t="s">
        <v>2097</v>
      </c>
      <c r="J94" t="s">
        <v>2098</v>
      </c>
      <c r="K94" t="s">
        <v>74</v>
      </c>
      <c r="L94" t="s">
        <v>74</v>
      </c>
      <c r="M94" t="s">
        <v>78</v>
      </c>
      <c r="N94" t="s">
        <v>79</v>
      </c>
      <c r="O94" t="s">
        <v>74</v>
      </c>
      <c r="P94" t="s">
        <v>74</v>
      </c>
      <c r="Q94" t="s">
        <v>74</v>
      </c>
      <c r="R94" t="s">
        <v>74</v>
      </c>
      <c r="S94" t="s">
        <v>74</v>
      </c>
      <c r="T94" t="s">
        <v>2099</v>
      </c>
      <c r="U94" t="s">
        <v>2100</v>
      </c>
      <c r="V94" t="s">
        <v>2101</v>
      </c>
      <c r="W94" t="s">
        <v>2102</v>
      </c>
      <c r="X94" t="s">
        <v>2103</v>
      </c>
      <c r="Y94" t="s">
        <v>2104</v>
      </c>
      <c r="Z94" t="s">
        <v>2105</v>
      </c>
      <c r="AA94" t="s">
        <v>2106</v>
      </c>
      <c r="AB94" t="s">
        <v>2107</v>
      </c>
      <c r="AC94" t="s">
        <v>2108</v>
      </c>
      <c r="AD94" t="s">
        <v>2108</v>
      </c>
      <c r="AE94" t="s">
        <v>2109</v>
      </c>
      <c r="AF94" t="s">
        <v>74</v>
      </c>
      <c r="AG94">
        <v>39</v>
      </c>
      <c r="AH94">
        <v>10</v>
      </c>
      <c r="AI94">
        <v>11</v>
      </c>
      <c r="AJ94">
        <v>5</v>
      </c>
      <c r="AK94">
        <v>21</v>
      </c>
      <c r="AL94" t="s">
        <v>289</v>
      </c>
      <c r="AM94" t="s">
        <v>290</v>
      </c>
      <c r="AN94" t="s">
        <v>291</v>
      </c>
      <c r="AO94" t="s">
        <v>2110</v>
      </c>
      <c r="AP94" t="s">
        <v>2111</v>
      </c>
      <c r="AQ94" t="s">
        <v>74</v>
      </c>
      <c r="AR94" t="s">
        <v>2112</v>
      </c>
      <c r="AS94" t="s">
        <v>2113</v>
      </c>
      <c r="AT94" t="s">
        <v>2091</v>
      </c>
      <c r="AU94">
        <v>2020</v>
      </c>
      <c r="AV94">
        <v>1141</v>
      </c>
      <c r="AW94" t="s">
        <v>74</v>
      </c>
      <c r="AX94" t="s">
        <v>74</v>
      </c>
      <c r="AY94" t="s">
        <v>74</v>
      </c>
      <c r="AZ94" t="s">
        <v>74</v>
      </c>
      <c r="BA94" t="s">
        <v>74</v>
      </c>
      <c r="BB94" t="s">
        <v>74</v>
      </c>
      <c r="BC94" t="s">
        <v>74</v>
      </c>
      <c r="BD94">
        <v>122028</v>
      </c>
      <c r="BE94" t="s">
        <v>2114</v>
      </c>
      <c r="BF94" t="str">
        <f>HYPERLINK("http://dx.doi.org/10.1016/j.jchromb.2020.122028","http://dx.doi.org/10.1016/j.jchromb.2020.122028")</f>
        <v>http://dx.doi.org/10.1016/j.jchromb.2020.122028</v>
      </c>
      <c r="BG94" t="s">
        <v>74</v>
      </c>
      <c r="BH94" t="s">
        <v>74</v>
      </c>
      <c r="BI94">
        <v>10</v>
      </c>
      <c r="BJ94" t="s">
        <v>2115</v>
      </c>
      <c r="BK94" t="s">
        <v>103</v>
      </c>
      <c r="BL94" t="s">
        <v>2116</v>
      </c>
      <c r="BM94" t="s">
        <v>2117</v>
      </c>
      <c r="BN94">
        <v>32109749</v>
      </c>
      <c r="BO94" t="s">
        <v>193</v>
      </c>
      <c r="BP94" t="s">
        <v>74</v>
      </c>
      <c r="BQ94" t="s">
        <v>74</v>
      </c>
      <c r="BR94" t="s">
        <v>106</v>
      </c>
      <c r="BS94" t="s">
        <v>2118</v>
      </c>
      <c r="BT94" t="str">
        <f>HYPERLINK("https%3A%2F%2Fwww.webofscience.com%2Fwos%2Fwoscc%2Ffull-record%2FWOS:000518869300012","View Full Record in Web of Science")</f>
        <v>View Full Record in Web of Science</v>
      </c>
    </row>
    <row r="95" spans="1:72" x14ac:dyDescent="0.15">
      <c r="A95" t="s">
        <v>72</v>
      </c>
      <c r="B95" t="s">
        <v>2119</v>
      </c>
      <c r="C95" t="s">
        <v>74</v>
      </c>
      <c r="D95" t="s">
        <v>74</v>
      </c>
      <c r="E95" t="s">
        <v>74</v>
      </c>
      <c r="F95" t="s">
        <v>2120</v>
      </c>
      <c r="G95" t="s">
        <v>74</v>
      </c>
      <c r="H95" t="s">
        <v>74</v>
      </c>
      <c r="I95" t="s">
        <v>2121</v>
      </c>
      <c r="J95" t="s">
        <v>2122</v>
      </c>
      <c r="K95" t="s">
        <v>74</v>
      </c>
      <c r="L95" t="s">
        <v>74</v>
      </c>
      <c r="M95" t="s">
        <v>78</v>
      </c>
      <c r="N95" t="s">
        <v>79</v>
      </c>
      <c r="O95" t="s">
        <v>74</v>
      </c>
      <c r="P95" t="s">
        <v>74</v>
      </c>
      <c r="Q95" t="s">
        <v>74</v>
      </c>
      <c r="R95" t="s">
        <v>74</v>
      </c>
      <c r="S95" t="s">
        <v>74</v>
      </c>
      <c r="T95" t="s">
        <v>2123</v>
      </c>
      <c r="U95" t="s">
        <v>2124</v>
      </c>
      <c r="V95" t="s">
        <v>2125</v>
      </c>
      <c r="W95" t="s">
        <v>2126</v>
      </c>
      <c r="X95" t="s">
        <v>74</v>
      </c>
      <c r="Y95" t="s">
        <v>2127</v>
      </c>
      <c r="Z95" t="s">
        <v>2128</v>
      </c>
      <c r="AA95" t="s">
        <v>74</v>
      </c>
      <c r="AB95" t="s">
        <v>2129</v>
      </c>
      <c r="AC95" t="s">
        <v>2130</v>
      </c>
      <c r="AD95" t="s">
        <v>2131</v>
      </c>
      <c r="AE95" t="s">
        <v>2132</v>
      </c>
      <c r="AF95" t="s">
        <v>74</v>
      </c>
      <c r="AG95">
        <v>66</v>
      </c>
      <c r="AH95">
        <v>22</v>
      </c>
      <c r="AI95">
        <v>23</v>
      </c>
      <c r="AJ95">
        <v>4</v>
      </c>
      <c r="AK95">
        <v>32</v>
      </c>
      <c r="AL95" t="s">
        <v>165</v>
      </c>
      <c r="AM95" t="s">
        <v>166</v>
      </c>
      <c r="AN95" t="s">
        <v>167</v>
      </c>
      <c r="AO95" t="s">
        <v>2133</v>
      </c>
      <c r="AP95" t="s">
        <v>2134</v>
      </c>
      <c r="AQ95" t="s">
        <v>74</v>
      </c>
      <c r="AR95" t="s">
        <v>2135</v>
      </c>
      <c r="AS95" t="s">
        <v>2136</v>
      </c>
      <c r="AT95" t="s">
        <v>2091</v>
      </c>
      <c r="AU95">
        <v>2020</v>
      </c>
      <c r="AV95">
        <v>239</v>
      </c>
      <c r="AW95" t="s">
        <v>74</v>
      </c>
      <c r="AX95" t="s">
        <v>74</v>
      </c>
      <c r="AY95" t="s">
        <v>74</v>
      </c>
      <c r="AZ95" t="s">
        <v>74</v>
      </c>
      <c r="BA95" t="s">
        <v>74</v>
      </c>
      <c r="BB95" t="s">
        <v>74</v>
      </c>
      <c r="BC95" t="s">
        <v>74</v>
      </c>
      <c r="BD95">
        <v>111617</v>
      </c>
      <c r="BE95" t="s">
        <v>2137</v>
      </c>
      <c r="BF95" t="str">
        <f>HYPERLINK("http://dx.doi.org/10.1016/j.rse.2019.111617","http://dx.doi.org/10.1016/j.rse.2019.111617")</f>
        <v>http://dx.doi.org/10.1016/j.rse.2019.111617</v>
      </c>
      <c r="BG95" t="s">
        <v>74</v>
      </c>
      <c r="BH95" t="s">
        <v>74</v>
      </c>
      <c r="BI95">
        <v>10</v>
      </c>
      <c r="BJ95" t="s">
        <v>2138</v>
      </c>
      <c r="BK95" t="s">
        <v>103</v>
      </c>
      <c r="BL95" t="s">
        <v>2139</v>
      </c>
      <c r="BM95" t="s">
        <v>2140</v>
      </c>
      <c r="BN95" t="s">
        <v>74</v>
      </c>
      <c r="BO95" t="s">
        <v>148</v>
      </c>
      <c r="BP95" t="s">
        <v>74</v>
      </c>
      <c r="BQ95" t="s">
        <v>74</v>
      </c>
      <c r="BR95" t="s">
        <v>106</v>
      </c>
      <c r="BS95" t="s">
        <v>2141</v>
      </c>
      <c r="BT95" t="str">
        <f>HYPERLINK("https%3A%2F%2Fwww.webofscience.com%2Fwos%2Fwoscc%2Ffull-record%2FWOS:000518694400008","View Full Record in Web of Science")</f>
        <v>View Full Record in Web of Science</v>
      </c>
    </row>
    <row r="96" spans="1:72" x14ac:dyDescent="0.15">
      <c r="A96" t="s">
        <v>72</v>
      </c>
      <c r="B96" t="s">
        <v>2142</v>
      </c>
      <c r="C96" t="s">
        <v>74</v>
      </c>
      <c r="D96" t="s">
        <v>74</v>
      </c>
      <c r="E96" t="s">
        <v>74</v>
      </c>
      <c r="F96" t="s">
        <v>2143</v>
      </c>
      <c r="G96" t="s">
        <v>74</v>
      </c>
      <c r="H96" t="s">
        <v>74</v>
      </c>
      <c r="I96" t="s">
        <v>2144</v>
      </c>
      <c r="J96" t="s">
        <v>2122</v>
      </c>
      <c r="K96" t="s">
        <v>74</v>
      </c>
      <c r="L96" t="s">
        <v>74</v>
      </c>
      <c r="M96" t="s">
        <v>78</v>
      </c>
      <c r="N96" t="s">
        <v>79</v>
      </c>
      <c r="O96" t="s">
        <v>74</v>
      </c>
      <c r="P96" t="s">
        <v>74</v>
      </c>
      <c r="Q96" t="s">
        <v>74</v>
      </c>
      <c r="R96" t="s">
        <v>74</v>
      </c>
      <c r="S96" t="s">
        <v>74</v>
      </c>
      <c r="T96" t="s">
        <v>2145</v>
      </c>
      <c r="U96" t="s">
        <v>2146</v>
      </c>
      <c r="V96" t="s">
        <v>2147</v>
      </c>
      <c r="W96" t="s">
        <v>2148</v>
      </c>
      <c r="X96" t="s">
        <v>2149</v>
      </c>
      <c r="Y96" t="s">
        <v>2150</v>
      </c>
      <c r="Z96" t="s">
        <v>2151</v>
      </c>
      <c r="AA96" t="s">
        <v>2152</v>
      </c>
      <c r="AB96" t="s">
        <v>2153</v>
      </c>
      <c r="AC96" t="s">
        <v>2154</v>
      </c>
      <c r="AD96" t="s">
        <v>2155</v>
      </c>
      <c r="AE96" t="s">
        <v>2156</v>
      </c>
      <c r="AF96" t="s">
        <v>74</v>
      </c>
      <c r="AG96">
        <v>52</v>
      </c>
      <c r="AH96">
        <v>48</v>
      </c>
      <c r="AI96">
        <v>53</v>
      </c>
      <c r="AJ96">
        <v>23</v>
      </c>
      <c r="AK96">
        <v>178</v>
      </c>
      <c r="AL96" t="s">
        <v>165</v>
      </c>
      <c r="AM96" t="s">
        <v>166</v>
      </c>
      <c r="AN96" t="s">
        <v>167</v>
      </c>
      <c r="AO96" t="s">
        <v>2133</v>
      </c>
      <c r="AP96" t="s">
        <v>2134</v>
      </c>
      <c r="AQ96" t="s">
        <v>74</v>
      </c>
      <c r="AR96" t="s">
        <v>2135</v>
      </c>
      <c r="AS96" t="s">
        <v>2136</v>
      </c>
      <c r="AT96" t="s">
        <v>2091</v>
      </c>
      <c r="AU96">
        <v>2020</v>
      </c>
      <c r="AV96">
        <v>239</v>
      </c>
      <c r="AW96" t="s">
        <v>74</v>
      </c>
      <c r="AX96" t="s">
        <v>74</v>
      </c>
      <c r="AY96" t="s">
        <v>74</v>
      </c>
      <c r="AZ96" t="s">
        <v>74</v>
      </c>
      <c r="BA96" t="s">
        <v>74</v>
      </c>
      <c r="BB96" t="s">
        <v>74</v>
      </c>
      <c r="BC96" t="s">
        <v>74</v>
      </c>
      <c r="BD96">
        <v>111671</v>
      </c>
      <c r="BE96" t="s">
        <v>2157</v>
      </c>
      <c r="BF96" t="str">
        <f>HYPERLINK("http://dx.doi.org/10.1016/j.rse.2020.111671","http://dx.doi.org/10.1016/j.rse.2020.111671")</f>
        <v>http://dx.doi.org/10.1016/j.rse.2020.111671</v>
      </c>
      <c r="BG96" t="s">
        <v>74</v>
      </c>
      <c r="BH96" t="s">
        <v>74</v>
      </c>
      <c r="BI96">
        <v>10</v>
      </c>
      <c r="BJ96" t="s">
        <v>2138</v>
      </c>
      <c r="BK96" t="s">
        <v>103</v>
      </c>
      <c r="BL96" t="s">
        <v>2139</v>
      </c>
      <c r="BM96" t="s">
        <v>2140</v>
      </c>
      <c r="BN96" t="s">
        <v>74</v>
      </c>
      <c r="BO96" t="s">
        <v>74</v>
      </c>
      <c r="BP96" t="s">
        <v>74</v>
      </c>
      <c r="BQ96" t="s">
        <v>74</v>
      </c>
      <c r="BR96" t="s">
        <v>106</v>
      </c>
      <c r="BS96" t="s">
        <v>2158</v>
      </c>
      <c r="BT96" t="str">
        <f>HYPERLINK("https%3A%2F%2Fwww.webofscience.com%2Fwos%2Fwoscc%2Ffull-record%2FWOS:000518694400038","View Full Record in Web of Science")</f>
        <v>View Full Record in Web of Science</v>
      </c>
    </row>
    <row r="97" spans="1:72" x14ac:dyDescent="0.15">
      <c r="A97" t="s">
        <v>72</v>
      </c>
      <c r="B97" t="s">
        <v>2159</v>
      </c>
      <c r="C97" t="s">
        <v>74</v>
      </c>
      <c r="D97" t="s">
        <v>74</v>
      </c>
      <c r="E97" t="s">
        <v>74</v>
      </c>
      <c r="F97" t="s">
        <v>2160</v>
      </c>
      <c r="G97" t="s">
        <v>74</v>
      </c>
      <c r="H97" t="s">
        <v>74</v>
      </c>
      <c r="I97" t="s">
        <v>2161</v>
      </c>
      <c r="J97" t="s">
        <v>1179</v>
      </c>
      <c r="K97" t="s">
        <v>74</v>
      </c>
      <c r="L97" t="s">
        <v>74</v>
      </c>
      <c r="M97" t="s">
        <v>78</v>
      </c>
      <c r="N97" t="s">
        <v>79</v>
      </c>
      <c r="O97" t="s">
        <v>74</v>
      </c>
      <c r="P97" t="s">
        <v>74</v>
      </c>
      <c r="Q97" t="s">
        <v>74</v>
      </c>
      <c r="R97" t="s">
        <v>74</v>
      </c>
      <c r="S97" t="s">
        <v>74</v>
      </c>
      <c r="T97" t="s">
        <v>2162</v>
      </c>
      <c r="U97" t="s">
        <v>2163</v>
      </c>
      <c r="V97" t="s">
        <v>2164</v>
      </c>
      <c r="W97" t="s">
        <v>2165</v>
      </c>
      <c r="X97" t="s">
        <v>2166</v>
      </c>
      <c r="Y97" t="s">
        <v>2167</v>
      </c>
      <c r="Z97" t="s">
        <v>2168</v>
      </c>
      <c r="AA97" t="s">
        <v>2169</v>
      </c>
      <c r="AB97" t="s">
        <v>2170</v>
      </c>
      <c r="AC97" t="s">
        <v>2171</v>
      </c>
      <c r="AD97" t="s">
        <v>2172</v>
      </c>
      <c r="AE97" t="s">
        <v>2173</v>
      </c>
      <c r="AF97" t="s">
        <v>74</v>
      </c>
      <c r="AG97">
        <v>37</v>
      </c>
      <c r="AH97">
        <v>2</v>
      </c>
      <c r="AI97">
        <v>5</v>
      </c>
      <c r="AJ97">
        <v>3</v>
      </c>
      <c r="AK97">
        <v>66</v>
      </c>
      <c r="AL97" t="s">
        <v>289</v>
      </c>
      <c r="AM97" t="s">
        <v>290</v>
      </c>
      <c r="AN97" t="s">
        <v>291</v>
      </c>
      <c r="AO97" t="s">
        <v>1191</v>
      </c>
      <c r="AP97" t="s">
        <v>1192</v>
      </c>
      <c r="AQ97" t="s">
        <v>74</v>
      </c>
      <c r="AR97" t="s">
        <v>1193</v>
      </c>
      <c r="AS97" t="s">
        <v>1194</v>
      </c>
      <c r="AT97" t="s">
        <v>2091</v>
      </c>
      <c r="AU97">
        <v>2020</v>
      </c>
      <c r="AV97">
        <v>708</v>
      </c>
      <c r="AW97" t="s">
        <v>74</v>
      </c>
      <c r="AX97" t="s">
        <v>74</v>
      </c>
      <c r="AY97" t="s">
        <v>74</v>
      </c>
      <c r="AZ97" t="s">
        <v>74</v>
      </c>
      <c r="BA97" t="s">
        <v>74</v>
      </c>
      <c r="BB97" t="s">
        <v>74</v>
      </c>
      <c r="BC97" t="s">
        <v>74</v>
      </c>
      <c r="BD97">
        <v>134833</v>
      </c>
      <c r="BE97" t="s">
        <v>2174</v>
      </c>
      <c r="BF97" t="str">
        <f>HYPERLINK("http://dx.doi.org/10.1016/j.scitotenv.2019.134833","http://dx.doi.org/10.1016/j.scitotenv.2019.134833")</f>
        <v>http://dx.doi.org/10.1016/j.scitotenv.2019.134833</v>
      </c>
      <c r="BG97" t="s">
        <v>74</v>
      </c>
      <c r="BH97" t="s">
        <v>74</v>
      </c>
      <c r="BI97">
        <v>11</v>
      </c>
      <c r="BJ97" t="s">
        <v>1196</v>
      </c>
      <c r="BK97" t="s">
        <v>103</v>
      </c>
      <c r="BL97" t="s">
        <v>219</v>
      </c>
      <c r="BM97" t="s">
        <v>2175</v>
      </c>
      <c r="BN97">
        <v>31796276</v>
      </c>
      <c r="BO97" t="s">
        <v>74</v>
      </c>
      <c r="BP97" t="s">
        <v>74</v>
      </c>
      <c r="BQ97" t="s">
        <v>74</v>
      </c>
      <c r="BR97" t="s">
        <v>106</v>
      </c>
      <c r="BS97" t="s">
        <v>2176</v>
      </c>
      <c r="BT97" t="str">
        <f>HYPERLINK("https%3A%2F%2Fwww.webofscience.com%2Fwos%2Fwoscc%2Ffull-record%2FWOS:000506214900016","View Full Record in Web of Science")</f>
        <v>View Full Record in Web of Science</v>
      </c>
    </row>
    <row r="98" spans="1:72" x14ac:dyDescent="0.15">
      <c r="A98" t="s">
        <v>72</v>
      </c>
      <c r="B98" t="s">
        <v>2177</v>
      </c>
      <c r="C98" t="s">
        <v>74</v>
      </c>
      <c r="D98" t="s">
        <v>74</v>
      </c>
      <c r="E98" t="s">
        <v>74</v>
      </c>
      <c r="F98" t="s">
        <v>2178</v>
      </c>
      <c r="G98" t="s">
        <v>74</v>
      </c>
      <c r="H98" t="s">
        <v>74</v>
      </c>
      <c r="I98" t="s">
        <v>2179</v>
      </c>
      <c r="J98" t="s">
        <v>2180</v>
      </c>
      <c r="K98" t="s">
        <v>74</v>
      </c>
      <c r="L98" t="s">
        <v>74</v>
      </c>
      <c r="M98" t="s">
        <v>78</v>
      </c>
      <c r="N98" t="s">
        <v>79</v>
      </c>
      <c r="O98" t="s">
        <v>74</v>
      </c>
      <c r="P98" t="s">
        <v>74</v>
      </c>
      <c r="Q98" t="s">
        <v>74</v>
      </c>
      <c r="R98" t="s">
        <v>74</v>
      </c>
      <c r="S98" t="s">
        <v>74</v>
      </c>
      <c r="T98" t="s">
        <v>2181</v>
      </c>
      <c r="U98" t="s">
        <v>2182</v>
      </c>
      <c r="V98" t="s">
        <v>2183</v>
      </c>
      <c r="W98" t="s">
        <v>2184</v>
      </c>
      <c r="X98" t="s">
        <v>2185</v>
      </c>
      <c r="Y98" t="s">
        <v>2186</v>
      </c>
      <c r="Z98" t="s">
        <v>2187</v>
      </c>
      <c r="AA98" t="s">
        <v>2188</v>
      </c>
      <c r="AB98" t="s">
        <v>2189</v>
      </c>
      <c r="AC98" t="s">
        <v>2190</v>
      </c>
      <c r="AD98" t="s">
        <v>2191</v>
      </c>
      <c r="AE98" t="s">
        <v>2192</v>
      </c>
      <c r="AF98" t="s">
        <v>74</v>
      </c>
      <c r="AG98">
        <v>51</v>
      </c>
      <c r="AH98">
        <v>27</v>
      </c>
      <c r="AI98">
        <v>28</v>
      </c>
      <c r="AJ98">
        <v>1</v>
      </c>
      <c r="AK98">
        <v>7</v>
      </c>
      <c r="AL98" t="s">
        <v>289</v>
      </c>
      <c r="AM98" t="s">
        <v>290</v>
      </c>
      <c r="AN98" t="s">
        <v>291</v>
      </c>
      <c r="AO98" t="s">
        <v>2193</v>
      </c>
      <c r="AP98" t="s">
        <v>2194</v>
      </c>
      <c r="AQ98" t="s">
        <v>74</v>
      </c>
      <c r="AR98" t="s">
        <v>2195</v>
      </c>
      <c r="AS98" t="s">
        <v>2196</v>
      </c>
      <c r="AT98" t="s">
        <v>2091</v>
      </c>
      <c r="AU98">
        <v>2020</v>
      </c>
      <c r="AV98">
        <v>534</v>
      </c>
      <c r="AW98" t="s">
        <v>74</v>
      </c>
      <c r="AX98" t="s">
        <v>74</v>
      </c>
      <c r="AY98" t="s">
        <v>74</v>
      </c>
      <c r="AZ98" t="s">
        <v>74</v>
      </c>
      <c r="BA98" t="s">
        <v>74</v>
      </c>
      <c r="BB98" t="s">
        <v>74</v>
      </c>
      <c r="BC98" t="s">
        <v>74</v>
      </c>
      <c r="BD98">
        <v>116065</v>
      </c>
      <c r="BE98" t="s">
        <v>2197</v>
      </c>
      <c r="BF98" t="str">
        <f>HYPERLINK("http://dx.doi.org/10.1016/j.epsl.2020.116065","http://dx.doi.org/10.1016/j.epsl.2020.116065")</f>
        <v>http://dx.doi.org/10.1016/j.epsl.2020.116065</v>
      </c>
      <c r="BG98" t="s">
        <v>74</v>
      </c>
      <c r="BH98" t="s">
        <v>74</v>
      </c>
      <c r="BI98">
        <v>11</v>
      </c>
      <c r="BJ98" t="s">
        <v>442</v>
      </c>
      <c r="BK98" t="s">
        <v>103</v>
      </c>
      <c r="BL98" t="s">
        <v>442</v>
      </c>
      <c r="BM98" t="s">
        <v>2198</v>
      </c>
      <c r="BN98" t="s">
        <v>74</v>
      </c>
      <c r="BO98" t="s">
        <v>2199</v>
      </c>
      <c r="BP98" t="s">
        <v>74</v>
      </c>
      <c r="BQ98" t="s">
        <v>74</v>
      </c>
      <c r="BR98" t="s">
        <v>106</v>
      </c>
      <c r="BS98" t="s">
        <v>2200</v>
      </c>
      <c r="BT98" t="str">
        <f>HYPERLINK("https%3A%2F%2Fwww.webofscience.com%2Fwos%2Fwoscc%2Ffull-record%2FWOS:000515198200002","View Full Record in Web of Science")</f>
        <v>View Full Record in Web of Science</v>
      </c>
    </row>
    <row r="99" spans="1:72" x14ac:dyDescent="0.15">
      <c r="A99" t="s">
        <v>72</v>
      </c>
      <c r="B99" t="s">
        <v>2201</v>
      </c>
      <c r="C99" t="s">
        <v>74</v>
      </c>
      <c r="D99" t="s">
        <v>74</v>
      </c>
      <c r="E99" t="s">
        <v>74</v>
      </c>
      <c r="F99" t="s">
        <v>2202</v>
      </c>
      <c r="G99" t="s">
        <v>74</v>
      </c>
      <c r="H99" t="s">
        <v>74</v>
      </c>
      <c r="I99" t="s">
        <v>2203</v>
      </c>
      <c r="J99" t="s">
        <v>2180</v>
      </c>
      <c r="K99" t="s">
        <v>74</v>
      </c>
      <c r="L99" t="s">
        <v>74</v>
      </c>
      <c r="M99" t="s">
        <v>78</v>
      </c>
      <c r="N99" t="s">
        <v>79</v>
      </c>
      <c r="O99" t="s">
        <v>74</v>
      </c>
      <c r="P99" t="s">
        <v>74</v>
      </c>
      <c r="Q99" t="s">
        <v>74</v>
      </c>
      <c r="R99" t="s">
        <v>74</v>
      </c>
      <c r="S99" t="s">
        <v>74</v>
      </c>
      <c r="T99" t="s">
        <v>2204</v>
      </c>
      <c r="U99" t="s">
        <v>2205</v>
      </c>
      <c r="V99" t="s">
        <v>2206</v>
      </c>
      <c r="W99" t="s">
        <v>2207</v>
      </c>
      <c r="X99" t="s">
        <v>2208</v>
      </c>
      <c r="Y99" t="s">
        <v>2209</v>
      </c>
      <c r="Z99" t="s">
        <v>2210</v>
      </c>
      <c r="AA99" t="s">
        <v>2211</v>
      </c>
      <c r="AB99" t="s">
        <v>2212</v>
      </c>
      <c r="AC99" t="s">
        <v>2213</v>
      </c>
      <c r="AD99" t="s">
        <v>2214</v>
      </c>
      <c r="AE99" t="s">
        <v>2215</v>
      </c>
      <c r="AF99" t="s">
        <v>74</v>
      </c>
      <c r="AG99">
        <v>54</v>
      </c>
      <c r="AH99">
        <v>33</v>
      </c>
      <c r="AI99">
        <v>37</v>
      </c>
      <c r="AJ99">
        <v>0</v>
      </c>
      <c r="AK99">
        <v>24</v>
      </c>
      <c r="AL99" t="s">
        <v>289</v>
      </c>
      <c r="AM99" t="s">
        <v>290</v>
      </c>
      <c r="AN99" t="s">
        <v>291</v>
      </c>
      <c r="AO99" t="s">
        <v>2193</v>
      </c>
      <c r="AP99" t="s">
        <v>2194</v>
      </c>
      <c r="AQ99" t="s">
        <v>74</v>
      </c>
      <c r="AR99" t="s">
        <v>2195</v>
      </c>
      <c r="AS99" t="s">
        <v>2196</v>
      </c>
      <c r="AT99" t="s">
        <v>2091</v>
      </c>
      <c r="AU99">
        <v>2020</v>
      </c>
      <c r="AV99">
        <v>534</v>
      </c>
      <c r="AW99" t="s">
        <v>74</v>
      </c>
      <c r="AX99" t="s">
        <v>74</v>
      </c>
      <c r="AY99" t="s">
        <v>74</v>
      </c>
      <c r="AZ99" t="s">
        <v>74</v>
      </c>
      <c r="BA99" t="s">
        <v>74</v>
      </c>
      <c r="BB99" t="s">
        <v>74</v>
      </c>
      <c r="BC99" t="s">
        <v>74</v>
      </c>
      <c r="BD99">
        <v>116077</v>
      </c>
      <c r="BE99" t="s">
        <v>2216</v>
      </c>
      <c r="BF99" t="str">
        <f>HYPERLINK("http://dx.doi.org/10.1016/j.epsl.2020.116077","http://dx.doi.org/10.1016/j.epsl.2020.116077")</f>
        <v>http://dx.doi.org/10.1016/j.epsl.2020.116077</v>
      </c>
      <c r="BG99" t="s">
        <v>74</v>
      </c>
      <c r="BH99" t="s">
        <v>74</v>
      </c>
      <c r="BI99">
        <v>12</v>
      </c>
      <c r="BJ99" t="s">
        <v>442</v>
      </c>
      <c r="BK99" t="s">
        <v>103</v>
      </c>
      <c r="BL99" t="s">
        <v>442</v>
      </c>
      <c r="BM99" t="s">
        <v>2198</v>
      </c>
      <c r="BN99" t="s">
        <v>74</v>
      </c>
      <c r="BO99" t="s">
        <v>148</v>
      </c>
      <c r="BP99" t="s">
        <v>74</v>
      </c>
      <c r="BQ99" t="s">
        <v>74</v>
      </c>
      <c r="BR99" t="s">
        <v>106</v>
      </c>
      <c r="BS99" t="s">
        <v>2217</v>
      </c>
      <c r="BT99" t="str">
        <f>HYPERLINK("https%3A%2F%2Fwww.webofscience.com%2Fwos%2Fwoscc%2Ffull-record%2FWOS:000515198200019","View Full Record in Web of Science")</f>
        <v>View Full Record in Web of Science</v>
      </c>
    </row>
    <row r="100" spans="1:72" x14ac:dyDescent="0.15">
      <c r="A100" t="s">
        <v>72</v>
      </c>
      <c r="B100" t="s">
        <v>2218</v>
      </c>
      <c r="C100" t="s">
        <v>74</v>
      </c>
      <c r="D100" t="s">
        <v>74</v>
      </c>
      <c r="E100" t="s">
        <v>74</v>
      </c>
      <c r="F100" t="s">
        <v>2219</v>
      </c>
      <c r="G100" t="s">
        <v>74</v>
      </c>
      <c r="H100" t="s">
        <v>74</v>
      </c>
      <c r="I100" t="s">
        <v>2220</v>
      </c>
      <c r="J100" t="s">
        <v>2180</v>
      </c>
      <c r="K100" t="s">
        <v>74</v>
      </c>
      <c r="L100" t="s">
        <v>74</v>
      </c>
      <c r="M100" t="s">
        <v>78</v>
      </c>
      <c r="N100" t="s">
        <v>79</v>
      </c>
      <c r="O100" t="s">
        <v>74</v>
      </c>
      <c r="P100" t="s">
        <v>74</v>
      </c>
      <c r="Q100" t="s">
        <v>74</v>
      </c>
      <c r="R100" t="s">
        <v>74</v>
      </c>
      <c r="S100" t="s">
        <v>74</v>
      </c>
      <c r="T100" t="s">
        <v>2221</v>
      </c>
      <c r="U100" t="s">
        <v>2222</v>
      </c>
      <c r="V100" t="s">
        <v>2223</v>
      </c>
      <c r="W100" t="s">
        <v>2224</v>
      </c>
      <c r="X100" t="s">
        <v>2225</v>
      </c>
      <c r="Y100" t="s">
        <v>2226</v>
      </c>
      <c r="Z100" t="s">
        <v>2227</v>
      </c>
      <c r="AA100" t="s">
        <v>2228</v>
      </c>
      <c r="AB100" t="s">
        <v>2229</v>
      </c>
      <c r="AC100" t="s">
        <v>2230</v>
      </c>
      <c r="AD100" t="s">
        <v>2231</v>
      </c>
      <c r="AE100" t="s">
        <v>2232</v>
      </c>
      <c r="AF100" t="s">
        <v>74</v>
      </c>
      <c r="AG100">
        <v>51</v>
      </c>
      <c r="AH100">
        <v>6</v>
      </c>
      <c r="AI100">
        <v>6</v>
      </c>
      <c r="AJ100">
        <v>0</v>
      </c>
      <c r="AK100">
        <v>14</v>
      </c>
      <c r="AL100" t="s">
        <v>289</v>
      </c>
      <c r="AM100" t="s">
        <v>290</v>
      </c>
      <c r="AN100" t="s">
        <v>291</v>
      </c>
      <c r="AO100" t="s">
        <v>2193</v>
      </c>
      <c r="AP100" t="s">
        <v>2194</v>
      </c>
      <c r="AQ100" t="s">
        <v>74</v>
      </c>
      <c r="AR100" t="s">
        <v>2195</v>
      </c>
      <c r="AS100" t="s">
        <v>2196</v>
      </c>
      <c r="AT100" t="s">
        <v>2091</v>
      </c>
      <c r="AU100">
        <v>2020</v>
      </c>
      <c r="AV100">
        <v>534</v>
      </c>
      <c r="AW100" t="s">
        <v>74</v>
      </c>
      <c r="AX100" t="s">
        <v>74</v>
      </c>
      <c r="AY100" t="s">
        <v>74</v>
      </c>
      <c r="AZ100" t="s">
        <v>74</v>
      </c>
      <c r="BA100" t="s">
        <v>74</v>
      </c>
      <c r="BB100" t="s">
        <v>74</v>
      </c>
      <c r="BC100" t="s">
        <v>74</v>
      </c>
      <c r="BD100">
        <v>116045</v>
      </c>
      <c r="BE100" t="s">
        <v>2233</v>
      </c>
      <c r="BF100" t="str">
        <f>HYPERLINK("http://dx.doi.org/10.1016/j.epsl.2019.116045","http://dx.doi.org/10.1016/j.epsl.2019.116045")</f>
        <v>http://dx.doi.org/10.1016/j.epsl.2019.116045</v>
      </c>
      <c r="BG100" t="s">
        <v>74</v>
      </c>
      <c r="BH100" t="s">
        <v>74</v>
      </c>
      <c r="BI100">
        <v>9</v>
      </c>
      <c r="BJ100" t="s">
        <v>442</v>
      </c>
      <c r="BK100" t="s">
        <v>103</v>
      </c>
      <c r="BL100" t="s">
        <v>442</v>
      </c>
      <c r="BM100" t="s">
        <v>2198</v>
      </c>
      <c r="BN100" t="s">
        <v>74</v>
      </c>
      <c r="BO100" t="s">
        <v>298</v>
      </c>
      <c r="BP100" t="s">
        <v>74</v>
      </c>
      <c r="BQ100" t="s">
        <v>74</v>
      </c>
      <c r="BR100" t="s">
        <v>106</v>
      </c>
      <c r="BS100" t="s">
        <v>2234</v>
      </c>
      <c r="BT100" t="str">
        <f>HYPERLINK("https%3A%2F%2Fwww.webofscience.com%2Fwos%2Fwoscc%2Ffull-record%2FWOS:000515198200023","View Full Record in Web of Science")</f>
        <v>View Full Record in Web of Science</v>
      </c>
    </row>
    <row r="101" spans="1:72" x14ac:dyDescent="0.15">
      <c r="A101" t="s">
        <v>72</v>
      </c>
      <c r="B101" t="s">
        <v>2235</v>
      </c>
      <c r="C101" t="s">
        <v>74</v>
      </c>
      <c r="D101" t="s">
        <v>74</v>
      </c>
      <c r="E101" t="s">
        <v>74</v>
      </c>
      <c r="F101" t="s">
        <v>2236</v>
      </c>
      <c r="G101" t="s">
        <v>74</v>
      </c>
      <c r="H101" t="s">
        <v>74</v>
      </c>
      <c r="I101" t="s">
        <v>2237</v>
      </c>
      <c r="J101" t="s">
        <v>2180</v>
      </c>
      <c r="K101" t="s">
        <v>74</v>
      </c>
      <c r="L101" t="s">
        <v>74</v>
      </c>
      <c r="M101" t="s">
        <v>78</v>
      </c>
      <c r="N101" t="s">
        <v>79</v>
      </c>
      <c r="O101" t="s">
        <v>74</v>
      </c>
      <c r="P101" t="s">
        <v>74</v>
      </c>
      <c r="Q101" t="s">
        <v>74</v>
      </c>
      <c r="R101" t="s">
        <v>74</v>
      </c>
      <c r="S101" t="s">
        <v>74</v>
      </c>
      <c r="T101" t="s">
        <v>2238</v>
      </c>
      <c r="U101" t="s">
        <v>2239</v>
      </c>
      <c r="V101" t="s">
        <v>2240</v>
      </c>
      <c r="W101" t="s">
        <v>2241</v>
      </c>
      <c r="X101" t="s">
        <v>2242</v>
      </c>
      <c r="Y101" t="s">
        <v>2243</v>
      </c>
      <c r="Z101" t="s">
        <v>2244</v>
      </c>
      <c r="AA101" t="s">
        <v>2245</v>
      </c>
      <c r="AB101" t="s">
        <v>2246</v>
      </c>
      <c r="AC101" t="s">
        <v>2247</v>
      </c>
      <c r="AD101" t="s">
        <v>2248</v>
      </c>
      <c r="AE101" t="s">
        <v>2249</v>
      </c>
      <c r="AF101" t="s">
        <v>74</v>
      </c>
      <c r="AG101">
        <v>85</v>
      </c>
      <c r="AH101">
        <v>21</v>
      </c>
      <c r="AI101">
        <v>21</v>
      </c>
      <c r="AJ101">
        <v>3</v>
      </c>
      <c r="AK101">
        <v>21</v>
      </c>
      <c r="AL101" t="s">
        <v>289</v>
      </c>
      <c r="AM101" t="s">
        <v>290</v>
      </c>
      <c r="AN101" t="s">
        <v>291</v>
      </c>
      <c r="AO101" t="s">
        <v>2193</v>
      </c>
      <c r="AP101" t="s">
        <v>2194</v>
      </c>
      <c r="AQ101" t="s">
        <v>74</v>
      </c>
      <c r="AR101" t="s">
        <v>2195</v>
      </c>
      <c r="AS101" t="s">
        <v>2196</v>
      </c>
      <c r="AT101" t="s">
        <v>2091</v>
      </c>
      <c r="AU101">
        <v>2020</v>
      </c>
      <c r="AV101">
        <v>534</v>
      </c>
      <c r="AW101" t="s">
        <v>74</v>
      </c>
      <c r="AX101" t="s">
        <v>74</v>
      </c>
      <c r="AY101" t="s">
        <v>74</v>
      </c>
      <c r="AZ101" t="s">
        <v>74</v>
      </c>
      <c r="BA101" t="s">
        <v>74</v>
      </c>
      <c r="BB101" t="s">
        <v>74</v>
      </c>
      <c r="BC101" t="s">
        <v>74</v>
      </c>
      <c r="BD101">
        <v>116071</v>
      </c>
      <c r="BE101" t="s">
        <v>2250</v>
      </c>
      <c r="BF101" t="str">
        <f>HYPERLINK("http://dx.doi.org/10.1016/j.epsl.2020.116071","http://dx.doi.org/10.1016/j.epsl.2020.116071")</f>
        <v>http://dx.doi.org/10.1016/j.epsl.2020.116071</v>
      </c>
      <c r="BG101" t="s">
        <v>74</v>
      </c>
      <c r="BH101" t="s">
        <v>74</v>
      </c>
      <c r="BI101">
        <v>13</v>
      </c>
      <c r="BJ101" t="s">
        <v>442</v>
      </c>
      <c r="BK101" t="s">
        <v>103</v>
      </c>
      <c r="BL101" t="s">
        <v>442</v>
      </c>
      <c r="BM101" t="s">
        <v>2198</v>
      </c>
      <c r="BN101" t="s">
        <v>74</v>
      </c>
      <c r="BO101" t="s">
        <v>74</v>
      </c>
      <c r="BP101" t="s">
        <v>74</v>
      </c>
      <c r="BQ101" t="s">
        <v>74</v>
      </c>
      <c r="BR101" t="s">
        <v>106</v>
      </c>
      <c r="BS101" t="s">
        <v>2251</v>
      </c>
      <c r="BT101" t="str">
        <f>HYPERLINK("https%3A%2F%2Fwww.webofscience.com%2Fwos%2Fwoscc%2Ffull-record%2FWOS:000515198200006","View Full Record in Web of Science")</f>
        <v>View Full Record in Web of Science</v>
      </c>
    </row>
    <row r="102" spans="1:72" x14ac:dyDescent="0.15">
      <c r="A102" t="s">
        <v>72</v>
      </c>
      <c r="B102" t="s">
        <v>2252</v>
      </c>
      <c r="C102" t="s">
        <v>74</v>
      </c>
      <c r="D102" t="s">
        <v>74</v>
      </c>
      <c r="E102" t="s">
        <v>74</v>
      </c>
      <c r="F102" t="s">
        <v>2253</v>
      </c>
      <c r="G102" t="s">
        <v>74</v>
      </c>
      <c r="H102" t="s">
        <v>74</v>
      </c>
      <c r="I102" t="s">
        <v>2254</v>
      </c>
      <c r="J102" t="s">
        <v>2255</v>
      </c>
      <c r="K102" t="s">
        <v>74</v>
      </c>
      <c r="L102" t="s">
        <v>74</v>
      </c>
      <c r="M102" t="s">
        <v>78</v>
      </c>
      <c r="N102" t="s">
        <v>79</v>
      </c>
      <c r="O102" t="s">
        <v>74</v>
      </c>
      <c r="P102" t="s">
        <v>74</v>
      </c>
      <c r="Q102" t="s">
        <v>74</v>
      </c>
      <c r="R102" t="s">
        <v>74</v>
      </c>
      <c r="S102" t="s">
        <v>74</v>
      </c>
      <c r="T102" t="s">
        <v>2256</v>
      </c>
      <c r="U102" t="s">
        <v>2257</v>
      </c>
      <c r="V102" t="s">
        <v>2258</v>
      </c>
      <c r="W102" t="s">
        <v>2259</v>
      </c>
      <c r="X102" t="s">
        <v>2260</v>
      </c>
      <c r="Y102" t="s">
        <v>2261</v>
      </c>
      <c r="Z102" t="s">
        <v>2262</v>
      </c>
      <c r="AA102" t="s">
        <v>2263</v>
      </c>
      <c r="AB102" t="s">
        <v>2264</v>
      </c>
      <c r="AC102" t="s">
        <v>2265</v>
      </c>
      <c r="AD102" t="s">
        <v>2266</v>
      </c>
      <c r="AE102" t="s">
        <v>2267</v>
      </c>
      <c r="AF102" t="s">
        <v>74</v>
      </c>
      <c r="AG102">
        <v>81</v>
      </c>
      <c r="AH102">
        <v>37</v>
      </c>
      <c r="AI102">
        <v>38</v>
      </c>
      <c r="AJ102">
        <v>14</v>
      </c>
      <c r="AK102">
        <v>165</v>
      </c>
      <c r="AL102" t="s">
        <v>434</v>
      </c>
      <c r="AM102" t="s">
        <v>435</v>
      </c>
      <c r="AN102" t="s">
        <v>436</v>
      </c>
      <c r="AO102" t="s">
        <v>2268</v>
      </c>
      <c r="AP102" t="s">
        <v>2269</v>
      </c>
      <c r="AQ102" t="s">
        <v>74</v>
      </c>
      <c r="AR102" t="s">
        <v>2270</v>
      </c>
      <c r="AS102" t="s">
        <v>2271</v>
      </c>
      <c r="AT102" t="s">
        <v>2091</v>
      </c>
      <c r="AU102">
        <v>2020</v>
      </c>
      <c r="AV102">
        <v>171</v>
      </c>
      <c r="AW102" t="s">
        <v>74</v>
      </c>
      <c r="AX102" t="s">
        <v>74</v>
      </c>
      <c r="AY102" t="s">
        <v>74</v>
      </c>
      <c r="AZ102" t="s">
        <v>74</v>
      </c>
      <c r="BA102" t="s">
        <v>74</v>
      </c>
      <c r="BB102" t="s">
        <v>74</v>
      </c>
      <c r="BC102" t="s">
        <v>74</v>
      </c>
      <c r="BD102">
        <v>115434</v>
      </c>
      <c r="BE102" t="s">
        <v>2272</v>
      </c>
      <c r="BF102" t="str">
        <f>HYPERLINK("http://dx.doi.org/10.1016/j.watres.2019.115434","http://dx.doi.org/10.1016/j.watres.2019.115434")</f>
        <v>http://dx.doi.org/10.1016/j.watres.2019.115434</v>
      </c>
      <c r="BG102" t="s">
        <v>74</v>
      </c>
      <c r="BH102" t="s">
        <v>74</v>
      </c>
      <c r="BI102">
        <v>12</v>
      </c>
      <c r="BJ102" t="s">
        <v>2273</v>
      </c>
      <c r="BK102" t="s">
        <v>103</v>
      </c>
      <c r="BL102" t="s">
        <v>2274</v>
      </c>
      <c r="BM102" t="s">
        <v>2275</v>
      </c>
      <c r="BN102">
        <v>31927092</v>
      </c>
      <c r="BO102" t="s">
        <v>74</v>
      </c>
      <c r="BP102" t="s">
        <v>74</v>
      </c>
      <c r="BQ102" t="s">
        <v>74</v>
      </c>
      <c r="BR102" t="s">
        <v>106</v>
      </c>
      <c r="BS102" t="s">
        <v>2276</v>
      </c>
      <c r="BT102" t="str">
        <f>HYPERLINK("https%3A%2F%2Fwww.webofscience.com%2Fwos%2Fwoscc%2Ffull-record%2FWOS:000514748900057","View Full Record in Web of Science")</f>
        <v>View Full Record in Web of Science</v>
      </c>
    </row>
    <row r="103" spans="1:72" x14ac:dyDescent="0.15">
      <c r="A103" t="s">
        <v>72</v>
      </c>
      <c r="B103" t="s">
        <v>2277</v>
      </c>
      <c r="C103" t="s">
        <v>74</v>
      </c>
      <c r="D103" t="s">
        <v>74</v>
      </c>
      <c r="E103" t="s">
        <v>74</v>
      </c>
      <c r="F103" t="s">
        <v>2278</v>
      </c>
      <c r="G103" t="s">
        <v>74</v>
      </c>
      <c r="H103" t="s">
        <v>74</v>
      </c>
      <c r="I103" t="s">
        <v>2279</v>
      </c>
      <c r="J103" t="s">
        <v>421</v>
      </c>
      <c r="K103" t="s">
        <v>74</v>
      </c>
      <c r="L103" t="s">
        <v>74</v>
      </c>
      <c r="M103" t="s">
        <v>78</v>
      </c>
      <c r="N103" t="s">
        <v>79</v>
      </c>
      <c r="O103" t="s">
        <v>74</v>
      </c>
      <c r="P103" t="s">
        <v>74</v>
      </c>
      <c r="Q103" t="s">
        <v>74</v>
      </c>
      <c r="R103" t="s">
        <v>74</v>
      </c>
      <c r="S103" t="s">
        <v>74</v>
      </c>
      <c r="T103" t="s">
        <v>2280</v>
      </c>
      <c r="U103" t="s">
        <v>2281</v>
      </c>
      <c r="V103" t="s">
        <v>2282</v>
      </c>
      <c r="W103" t="s">
        <v>2283</v>
      </c>
      <c r="X103" t="s">
        <v>2284</v>
      </c>
      <c r="Y103" t="s">
        <v>2285</v>
      </c>
      <c r="Z103" t="s">
        <v>2286</v>
      </c>
      <c r="AA103" t="s">
        <v>2287</v>
      </c>
      <c r="AB103" t="s">
        <v>2288</v>
      </c>
      <c r="AC103" t="s">
        <v>2289</v>
      </c>
      <c r="AD103" t="s">
        <v>2290</v>
      </c>
      <c r="AE103" t="s">
        <v>2291</v>
      </c>
      <c r="AF103" t="s">
        <v>74</v>
      </c>
      <c r="AG103">
        <v>81</v>
      </c>
      <c r="AH103">
        <v>12</v>
      </c>
      <c r="AI103">
        <v>13</v>
      </c>
      <c r="AJ103">
        <v>0</v>
      </c>
      <c r="AK103">
        <v>19</v>
      </c>
      <c r="AL103" t="s">
        <v>434</v>
      </c>
      <c r="AM103" t="s">
        <v>435</v>
      </c>
      <c r="AN103" t="s">
        <v>436</v>
      </c>
      <c r="AO103" t="s">
        <v>437</v>
      </c>
      <c r="AP103" t="s">
        <v>438</v>
      </c>
      <c r="AQ103" t="s">
        <v>74</v>
      </c>
      <c r="AR103" t="s">
        <v>439</v>
      </c>
      <c r="AS103" t="s">
        <v>440</v>
      </c>
      <c r="AT103" t="s">
        <v>2091</v>
      </c>
      <c r="AU103">
        <v>2020</v>
      </c>
      <c r="AV103">
        <v>273</v>
      </c>
      <c r="AW103" t="s">
        <v>74</v>
      </c>
      <c r="AX103" t="s">
        <v>74</v>
      </c>
      <c r="AY103" t="s">
        <v>74</v>
      </c>
      <c r="AZ103" t="s">
        <v>74</v>
      </c>
      <c r="BA103" t="s">
        <v>74</v>
      </c>
      <c r="BB103">
        <v>205</v>
      </c>
      <c r="BC103">
        <v>225</v>
      </c>
      <c r="BD103" t="s">
        <v>74</v>
      </c>
      <c r="BE103" t="s">
        <v>2292</v>
      </c>
      <c r="BF103" t="str">
        <f>HYPERLINK("http://dx.doi.org/10.1016/j.gca.2020.01.036","http://dx.doi.org/10.1016/j.gca.2020.01.036")</f>
        <v>http://dx.doi.org/10.1016/j.gca.2020.01.036</v>
      </c>
      <c r="BG103" t="s">
        <v>74</v>
      </c>
      <c r="BH103" t="s">
        <v>74</v>
      </c>
      <c r="BI103">
        <v>21</v>
      </c>
      <c r="BJ103" t="s">
        <v>442</v>
      </c>
      <c r="BK103" t="s">
        <v>103</v>
      </c>
      <c r="BL103" t="s">
        <v>442</v>
      </c>
      <c r="BM103" t="s">
        <v>2293</v>
      </c>
      <c r="BN103" t="s">
        <v>74</v>
      </c>
      <c r="BO103" t="s">
        <v>148</v>
      </c>
      <c r="BP103" t="s">
        <v>74</v>
      </c>
      <c r="BQ103" t="s">
        <v>74</v>
      </c>
      <c r="BR103" t="s">
        <v>106</v>
      </c>
      <c r="BS103" t="s">
        <v>2294</v>
      </c>
      <c r="BT103" t="str">
        <f>HYPERLINK("https%3A%2F%2Fwww.webofscience.com%2Fwos%2Fwoscc%2Ffull-record%2FWOS:000514832600012","View Full Record in Web of Science")</f>
        <v>View Full Record in Web of Science</v>
      </c>
    </row>
    <row r="104" spans="1:72" x14ac:dyDescent="0.15">
      <c r="A104" t="s">
        <v>72</v>
      </c>
      <c r="B104" t="s">
        <v>2295</v>
      </c>
      <c r="C104" t="s">
        <v>74</v>
      </c>
      <c r="D104" t="s">
        <v>74</v>
      </c>
      <c r="E104" t="s">
        <v>74</v>
      </c>
      <c r="F104" t="s">
        <v>2296</v>
      </c>
      <c r="G104" t="s">
        <v>74</v>
      </c>
      <c r="H104" t="s">
        <v>74</v>
      </c>
      <c r="I104" t="s">
        <v>2297</v>
      </c>
      <c r="J104" t="s">
        <v>1179</v>
      </c>
      <c r="K104" t="s">
        <v>74</v>
      </c>
      <c r="L104" t="s">
        <v>74</v>
      </c>
      <c r="M104" t="s">
        <v>78</v>
      </c>
      <c r="N104" t="s">
        <v>79</v>
      </c>
      <c r="O104" t="s">
        <v>74</v>
      </c>
      <c r="P104" t="s">
        <v>74</v>
      </c>
      <c r="Q104" t="s">
        <v>74</v>
      </c>
      <c r="R104" t="s">
        <v>74</v>
      </c>
      <c r="S104" t="s">
        <v>74</v>
      </c>
      <c r="T104" t="s">
        <v>2298</v>
      </c>
      <c r="U104" t="s">
        <v>2299</v>
      </c>
      <c r="V104" t="s">
        <v>2300</v>
      </c>
      <c r="W104" t="s">
        <v>2301</v>
      </c>
      <c r="X104" t="s">
        <v>2302</v>
      </c>
      <c r="Y104" t="s">
        <v>2303</v>
      </c>
      <c r="Z104" t="s">
        <v>2304</v>
      </c>
      <c r="AA104" t="s">
        <v>2305</v>
      </c>
      <c r="AB104" t="s">
        <v>2306</v>
      </c>
      <c r="AC104" t="s">
        <v>2307</v>
      </c>
      <c r="AD104" t="s">
        <v>2308</v>
      </c>
      <c r="AE104" t="s">
        <v>2309</v>
      </c>
      <c r="AF104" t="s">
        <v>74</v>
      </c>
      <c r="AG104">
        <v>40</v>
      </c>
      <c r="AH104">
        <v>29</v>
      </c>
      <c r="AI104">
        <v>31</v>
      </c>
      <c r="AJ104">
        <v>3</v>
      </c>
      <c r="AK104">
        <v>35</v>
      </c>
      <c r="AL104" t="s">
        <v>289</v>
      </c>
      <c r="AM104" t="s">
        <v>290</v>
      </c>
      <c r="AN104" t="s">
        <v>291</v>
      </c>
      <c r="AO104" t="s">
        <v>1191</v>
      </c>
      <c r="AP104" t="s">
        <v>1192</v>
      </c>
      <c r="AQ104" t="s">
        <v>74</v>
      </c>
      <c r="AR104" t="s">
        <v>1193</v>
      </c>
      <c r="AS104" t="s">
        <v>1194</v>
      </c>
      <c r="AT104" t="s">
        <v>2091</v>
      </c>
      <c r="AU104">
        <v>2020</v>
      </c>
      <c r="AV104">
        <v>708</v>
      </c>
      <c r="AW104" t="s">
        <v>74</v>
      </c>
      <c r="AX104" t="s">
        <v>74</v>
      </c>
      <c r="AY104" t="s">
        <v>74</v>
      </c>
      <c r="AZ104" t="s">
        <v>74</v>
      </c>
      <c r="BA104" t="s">
        <v>74</v>
      </c>
      <c r="BB104" t="s">
        <v>74</v>
      </c>
      <c r="BC104" t="s">
        <v>74</v>
      </c>
      <c r="BD104">
        <v>134600</v>
      </c>
      <c r="BE104" t="s">
        <v>2310</v>
      </c>
      <c r="BF104" t="str">
        <f>HYPERLINK("http://dx.doi.org/10.1016/j.scitotenv.2019.134600","http://dx.doi.org/10.1016/j.scitotenv.2019.134600")</f>
        <v>http://dx.doi.org/10.1016/j.scitotenv.2019.134600</v>
      </c>
      <c r="BG104" t="s">
        <v>74</v>
      </c>
      <c r="BH104" t="s">
        <v>74</v>
      </c>
      <c r="BI104">
        <v>16</v>
      </c>
      <c r="BJ104" t="s">
        <v>1196</v>
      </c>
      <c r="BK104" t="s">
        <v>103</v>
      </c>
      <c r="BL104" t="s">
        <v>219</v>
      </c>
      <c r="BM104" t="s">
        <v>2175</v>
      </c>
      <c r="BN104">
        <v>31767337</v>
      </c>
      <c r="BO104" t="s">
        <v>175</v>
      </c>
      <c r="BP104" t="s">
        <v>74</v>
      </c>
      <c r="BQ104" t="s">
        <v>74</v>
      </c>
      <c r="BR104" t="s">
        <v>106</v>
      </c>
      <c r="BS104" t="s">
        <v>2311</v>
      </c>
      <c r="BT104" t="str">
        <f>HYPERLINK("https%3A%2F%2Fwww.webofscience.com%2Fwos%2Fwoscc%2Ffull-record%2FWOS:000506214900032","View Full Record in Web of Science")</f>
        <v>View Full Record in Web of Science</v>
      </c>
    </row>
    <row r="105" spans="1:72" x14ac:dyDescent="0.15">
      <c r="A105" t="s">
        <v>72</v>
      </c>
      <c r="B105" t="s">
        <v>2312</v>
      </c>
      <c r="C105" t="s">
        <v>74</v>
      </c>
      <c r="D105" t="s">
        <v>74</v>
      </c>
      <c r="E105" t="s">
        <v>74</v>
      </c>
      <c r="F105" t="s">
        <v>2313</v>
      </c>
      <c r="G105" t="s">
        <v>74</v>
      </c>
      <c r="H105" t="s">
        <v>74</v>
      </c>
      <c r="I105" t="s">
        <v>2314</v>
      </c>
      <c r="J105" t="s">
        <v>1457</v>
      </c>
      <c r="K105" t="s">
        <v>74</v>
      </c>
      <c r="L105" t="s">
        <v>74</v>
      </c>
      <c r="M105" t="s">
        <v>78</v>
      </c>
      <c r="N105" t="s">
        <v>79</v>
      </c>
      <c r="O105" t="s">
        <v>74</v>
      </c>
      <c r="P105" t="s">
        <v>74</v>
      </c>
      <c r="Q105" t="s">
        <v>74</v>
      </c>
      <c r="R105" t="s">
        <v>74</v>
      </c>
      <c r="S105" t="s">
        <v>74</v>
      </c>
      <c r="T105" t="s">
        <v>2315</v>
      </c>
      <c r="U105" t="s">
        <v>2316</v>
      </c>
      <c r="V105" t="s">
        <v>2317</v>
      </c>
      <c r="W105" t="s">
        <v>2318</v>
      </c>
      <c r="X105" t="s">
        <v>2319</v>
      </c>
      <c r="Y105" t="s">
        <v>2320</v>
      </c>
      <c r="Z105" t="s">
        <v>2321</v>
      </c>
      <c r="AA105" t="s">
        <v>2322</v>
      </c>
      <c r="AB105" t="s">
        <v>2323</v>
      </c>
      <c r="AC105" t="s">
        <v>2324</v>
      </c>
      <c r="AD105" t="s">
        <v>2325</v>
      </c>
      <c r="AE105" t="s">
        <v>2326</v>
      </c>
      <c r="AF105" t="s">
        <v>74</v>
      </c>
      <c r="AG105">
        <v>46</v>
      </c>
      <c r="AH105">
        <v>11</v>
      </c>
      <c r="AI105">
        <v>12</v>
      </c>
      <c r="AJ105">
        <v>1</v>
      </c>
      <c r="AK105">
        <v>11</v>
      </c>
      <c r="AL105" t="s">
        <v>360</v>
      </c>
      <c r="AM105" t="s">
        <v>361</v>
      </c>
      <c r="AN105" t="s">
        <v>362</v>
      </c>
      <c r="AO105" t="s">
        <v>1470</v>
      </c>
      <c r="AP105" t="s">
        <v>1471</v>
      </c>
      <c r="AQ105" t="s">
        <v>74</v>
      </c>
      <c r="AR105" t="s">
        <v>1472</v>
      </c>
      <c r="AS105" t="s">
        <v>1473</v>
      </c>
      <c r="AT105" t="s">
        <v>690</v>
      </c>
      <c r="AU105">
        <v>2020</v>
      </c>
      <c r="AV105">
        <v>37</v>
      </c>
      <c r="AW105">
        <v>5</v>
      </c>
      <c r="AX105" t="s">
        <v>74</v>
      </c>
      <c r="AY105" t="s">
        <v>74</v>
      </c>
      <c r="AZ105" t="s">
        <v>342</v>
      </c>
      <c r="BA105" t="s">
        <v>74</v>
      </c>
      <c r="BB105">
        <v>494</v>
      </c>
      <c r="BC105">
        <v>504</v>
      </c>
      <c r="BD105" t="s">
        <v>74</v>
      </c>
      <c r="BE105" t="s">
        <v>2327</v>
      </c>
      <c r="BF105" t="str">
        <f>HYPERLINK("http://dx.doi.org/10.1007/s00376-019-9196-5","http://dx.doi.org/10.1007/s00376-019-9196-5")</f>
        <v>http://dx.doi.org/10.1007/s00376-019-9196-5</v>
      </c>
      <c r="BG105" t="s">
        <v>74</v>
      </c>
      <c r="BH105" t="s">
        <v>692</v>
      </c>
      <c r="BI105">
        <v>11</v>
      </c>
      <c r="BJ105" t="s">
        <v>907</v>
      </c>
      <c r="BK105" t="s">
        <v>103</v>
      </c>
      <c r="BL105" t="s">
        <v>907</v>
      </c>
      <c r="BM105" t="s">
        <v>1475</v>
      </c>
      <c r="BN105" t="s">
        <v>74</v>
      </c>
      <c r="BO105" t="s">
        <v>74</v>
      </c>
      <c r="BP105" t="s">
        <v>74</v>
      </c>
      <c r="BQ105" t="s">
        <v>74</v>
      </c>
      <c r="BR105" t="s">
        <v>106</v>
      </c>
      <c r="BS105" t="s">
        <v>2328</v>
      </c>
      <c r="BT105" t="str">
        <f>HYPERLINK("https%3A%2F%2Fwww.webofscience.com%2Fwos%2Fwoscc%2Ffull-record%2FWOS:000520701900001","View Full Record in Web of Science")</f>
        <v>View Full Record in Web of Science</v>
      </c>
    </row>
    <row r="106" spans="1:72" x14ac:dyDescent="0.15">
      <c r="A106" t="s">
        <v>72</v>
      </c>
      <c r="B106" t="s">
        <v>2329</v>
      </c>
      <c r="C106" t="s">
        <v>74</v>
      </c>
      <c r="D106" t="s">
        <v>74</v>
      </c>
      <c r="E106" t="s">
        <v>74</v>
      </c>
      <c r="F106" t="s">
        <v>2330</v>
      </c>
      <c r="G106" t="s">
        <v>74</v>
      </c>
      <c r="H106" t="s">
        <v>74</v>
      </c>
      <c r="I106" t="s">
        <v>2331</v>
      </c>
      <c r="J106" t="s">
        <v>2332</v>
      </c>
      <c r="K106" t="s">
        <v>74</v>
      </c>
      <c r="L106" t="s">
        <v>74</v>
      </c>
      <c r="M106" t="s">
        <v>78</v>
      </c>
      <c r="N106" t="s">
        <v>79</v>
      </c>
      <c r="O106" t="s">
        <v>74</v>
      </c>
      <c r="P106" t="s">
        <v>74</v>
      </c>
      <c r="Q106" t="s">
        <v>74</v>
      </c>
      <c r="R106" t="s">
        <v>74</v>
      </c>
      <c r="S106" t="s">
        <v>74</v>
      </c>
      <c r="T106" t="s">
        <v>74</v>
      </c>
      <c r="U106" t="s">
        <v>2333</v>
      </c>
      <c r="V106" t="s">
        <v>2334</v>
      </c>
      <c r="W106" t="s">
        <v>2335</v>
      </c>
      <c r="X106" t="s">
        <v>2336</v>
      </c>
      <c r="Y106" t="s">
        <v>2337</v>
      </c>
      <c r="Z106" t="s">
        <v>2338</v>
      </c>
      <c r="AA106" t="s">
        <v>2339</v>
      </c>
      <c r="AB106" t="s">
        <v>2340</v>
      </c>
      <c r="AC106" t="s">
        <v>2341</v>
      </c>
      <c r="AD106" t="s">
        <v>2342</v>
      </c>
      <c r="AE106" t="s">
        <v>2343</v>
      </c>
      <c r="AF106" t="s">
        <v>74</v>
      </c>
      <c r="AG106">
        <v>32</v>
      </c>
      <c r="AH106">
        <v>34</v>
      </c>
      <c r="AI106">
        <v>36</v>
      </c>
      <c r="AJ106">
        <v>3</v>
      </c>
      <c r="AK106">
        <v>10</v>
      </c>
      <c r="AL106" t="s">
        <v>976</v>
      </c>
      <c r="AM106" t="s">
        <v>977</v>
      </c>
      <c r="AN106" t="s">
        <v>978</v>
      </c>
      <c r="AO106" t="s">
        <v>2344</v>
      </c>
      <c r="AP106" t="s">
        <v>2345</v>
      </c>
      <c r="AQ106" t="s">
        <v>74</v>
      </c>
      <c r="AR106" t="s">
        <v>2346</v>
      </c>
      <c r="AS106" t="s">
        <v>2347</v>
      </c>
      <c r="AT106" t="s">
        <v>2348</v>
      </c>
      <c r="AU106">
        <v>2020</v>
      </c>
      <c r="AV106">
        <v>13</v>
      </c>
      <c r="AW106">
        <v>3</v>
      </c>
      <c r="AX106" t="s">
        <v>74</v>
      </c>
      <c r="AY106" t="s">
        <v>74</v>
      </c>
      <c r="AZ106" t="s">
        <v>74</v>
      </c>
      <c r="BA106" t="s">
        <v>74</v>
      </c>
      <c r="BB106">
        <v>1165</v>
      </c>
      <c r="BC106">
        <v>1178</v>
      </c>
      <c r="BD106" t="s">
        <v>74</v>
      </c>
      <c r="BE106" t="s">
        <v>2349</v>
      </c>
      <c r="BF106" t="str">
        <f>HYPERLINK("http://dx.doi.org/10.5194/gmd-13-1165-2020","http://dx.doi.org/10.5194/gmd-13-1165-2020")</f>
        <v>http://dx.doi.org/10.5194/gmd-13-1165-2020</v>
      </c>
      <c r="BG106" t="s">
        <v>74</v>
      </c>
      <c r="BH106" t="s">
        <v>74</v>
      </c>
      <c r="BI106">
        <v>14</v>
      </c>
      <c r="BJ106" t="s">
        <v>246</v>
      </c>
      <c r="BK106" t="s">
        <v>103</v>
      </c>
      <c r="BL106" t="s">
        <v>247</v>
      </c>
      <c r="BM106" t="s">
        <v>2350</v>
      </c>
      <c r="BN106" t="s">
        <v>74</v>
      </c>
      <c r="BO106" t="s">
        <v>1101</v>
      </c>
      <c r="BP106" t="s">
        <v>74</v>
      </c>
      <c r="BQ106" t="s">
        <v>74</v>
      </c>
      <c r="BR106" t="s">
        <v>106</v>
      </c>
      <c r="BS106" t="s">
        <v>2351</v>
      </c>
      <c r="BT106" t="str">
        <f>HYPERLINK("https%3A%2F%2Fwww.webofscience.com%2Fwos%2Fwoscc%2Ffull-record%2FWOS:000519932000003","View Full Record in Web of Science")</f>
        <v>View Full Record in Web of Science</v>
      </c>
    </row>
    <row r="107" spans="1:72" x14ac:dyDescent="0.15">
      <c r="A107" t="s">
        <v>72</v>
      </c>
      <c r="B107" t="s">
        <v>2352</v>
      </c>
      <c r="C107" t="s">
        <v>74</v>
      </c>
      <c r="D107" t="s">
        <v>74</v>
      </c>
      <c r="E107" t="s">
        <v>74</v>
      </c>
      <c r="F107" t="s">
        <v>2353</v>
      </c>
      <c r="G107" t="s">
        <v>74</v>
      </c>
      <c r="H107" t="s">
        <v>74</v>
      </c>
      <c r="I107" t="s">
        <v>2354</v>
      </c>
      <c r="J107" t="s">
        <v>1750</v>
      </c>
      <c r="K107" t="s">
        <v>74</v>
      </c>
      <c r="L107" t="s">
        <v>74</v>
      </c>
      <c r="M107" t="s">
        <v>78</v>
      </c>
      <c r="N107" t="s">
        <v>79</v>
      </c>
      <c r="O107" t="s">
        <v>74</v>
      </c>
      <c r="P107" t="s">
        <v>74</v>
      </c>
      <c r="Q107" t="s">
        <v>74</v>
      </c>
      <c r="R107" t="s">
        <v>74</v>
      </c>
      <c r="S107" t="s">
        <v>74</v>
      </c>
      <c r="T107" t="s">
        <v>74</v>
      </c>
      <c r="U107" t="s">
        <v>2355</v>
      </c>
      <c r="V107" t="s">
        <v>2356</v>
      </c>
      <c r="W107" t="s">
        <v>2357</v>
      </c>
      <c r="X107" t="s">
        <v>2358</v>
      </c>
      <c r="Y107" t="s">
        <v>2359</v>
      </c>
      <c r="Z107" t="s">
        <v>2360</v>
      </c>
      <c r="AA107" t="s">
        <v>2361</v>
      </c>
      <c r="AB107" t="s">
        <v>2362</v>
      </c>
      <c r="AC107" t="s">
        <v>2363</v>
      </c>
      <c r="AD107" t="s">
        <v>2364</v>
      </c>
      <c r="AE107" t="s">
        <v>2365</v>
      </c>
      <c r="AF107" t="s">
        <v>74</v>
      </c>
      <c r="AG107">
        <v>34</v>
      </c>
      <c r="AH107">
        <v>7</v>
      </c>
      <c r="AI107">
        <v>7</v>
      </c>
      <c r="AJ107">
        <v>0</v>
      </c>
      <c r="AK107">
        <v>3</v>
      </c>
      <c r="AL107" t="s">
        <v>976</v>
      </c>
      <c r="AM107" t="s">
        <v>977</v>
      </c>
      <c r="AN107" t="s">
        <v>978</v>
      </c>
      <c r="AO107" t="s">
        <v>1762</v>
      </c>
      <c r="AP107" t="s">
        <v>74</v>
      </c>
      <c r="AQ107" t="s">
        <v>74</v>
      </c>
      <c r="AR107" t="s">
        <v>1763</v>
      </c>
      <c r="AS107" t="s">
        <v>1764</v>
      </c>
      <c r="AT107" t="s">
        <v>2348</v>
      </c>
      <c r="AU107">
        <v>2020</v>
      </c>
      <c r="AV107">
        <v>16</v>
      </c>
      <c r="AW107">
        <v>2</v>
      </c>
      <c r="AX107" t="s">
        <v>74</v>
      </c>
      <c r="AY107" t="s">
        <v>74</v>
      </c>
      <c r="AZ107" t="s">
        <v>74</v>
      </c>
      <c r="BA107" t="s">
        <v>74</v>
      </c>
      <c r="BB107">
        <v>323</v>
      </c>
      <c r="BC107">
        <v>336</v>
      </c>
      <c r="BD107" t="s">
        <v>74</v>
      </c>
      <c r="BE107" t="s">
        <v>2366</v>
      </c>
      <c r="BF107" t="str">
        <f>HYPERLINK("http://dx.doi.org/10.5194/os-16-323-2020","http://dx.doi.org/10.5194/os-16-323-2020")</f>
        <v>http://dx.doi.org/10.5194/os-16-323-2020</v>
      </c>
      <c r="BG107" t="s">
        <v>74</v>
      </c>
      <c r="BH107" t="s">
        <v>74</v>
      </c>
      <c r="BI107">
        <v>14</v>
      </c>
      <c r="BJ107" t="s">
        <v>1766</v>
      </c>
      <c r="BK107" t="s">
        <v>103</v>
      </c>
      <c r="BL107" t="s">
        <v>1766</v>
      </c>
      <c r="BM107" t="s">
        <v>2367</v>
      </c>
      <c r="BN107" t="s">
        <v>74</v>
      </c>
      <c r="BO107" t="s">
        <v>2368</v>
      </c>
      <c r="BP107" t="s">
        <v>74</v>
      </c>
      <c r="BQ107" t="s">
        <v>74</v>
      </c>
      <c r="BR107" t="s">
        <v>106</v>
      </c>
      <c r="BS107" t="s">
        <v>2369</v>
      </c>
      <c r="BT107" t="str">
        <f>HYPERLINK("https%3A%2F%2Fwww.webofscience.com%2Fwos%2Fwoscc%2Ffull-record%2FWOS:000519933100001","View Full Record in Web of Science")</f>
        <v>View Full Record in Web of Science</v>
      </c>
    </row>
    <row r="108" spans="1:72" x14ac:dyDescent="0.15">
      <c r="A108" t="s">
        <v>72</v>
      </c>
      <c r="B108" t="s">
        <v>2370</v>
      </c>
      <c r="C108" t="s">
        <v>74</v>
      </c>
      <c r="D108" t="s">
        <v>74</v>
      </c>
      <c r="E108" t="s">
        <v>74</v>
      </c>
      <c r="F108" t="s">
        <v>2371</v>
      </c>
      <c r="G108" t="s">
        <v>74</v>
      </c>
      <c r="H108" t="s">
        <v>74</v>
      </c>
      <c r="I108" t="s">
        <v>2372</v>
      </c>
      <c r="J108" t="s">
        <v>2373</v>
      </c>
      <c r="K108" t="s">
        <v>74</v>
      </c>
      <c r="L108" t="s">
        <v>74</v>
      </c>
      <c r="M108" t="s">
        <v>78</v>
      </c>
      <c r="N108" t="s">
        <v>79</v>
      </c>
      <c r="O108" t="s">
        <v>74</v>
      </c>
      <c r="P108" t="s">
        <v>74</v>
      </c>
      <c r="Q108" t="s">
        <v>74</v>
      </c>
      <c r="R108" t="s">
        <v>74</v>
      </c>
      <c r="S108" t="s">
        <v>74</v>
      </c>
      <c r="T108" t="s">
        <v>2374</v>
      </c>
      <c r="U108" t="s">
        <v>2375</v>
      </c>
      <c r="V108" t="s">
        <v>2376</v>
      </c>
      <c r="W108" t="s">
        <v>2377</v>
      </c>
      <c r="X108" t="s">
        <v>2378</v>
      </c>
      <c r="Y108" t="s">
        <v>2379</v>
      </c>
      <c r="Z108" t="s">
        <v>2380</v>
      </c>
      <c r="AA108" t="s">
        <v>2381</v>
      </c>
      <c r="AB108" t="s">
        <v>2382</v>
      </c>
      <c r="AC108" t="s">
        <v>2383</v>
      </c>
      <c r="AD108" t="s">
        <v>2384</v>
      </c>
      <c r="AE108" t="s">
        <v>2385</v>
      </c>
      <c r="AF108" t="s">
        <v>74</v>
      </c>
      <c r="AG108">
        <v>59</v>
      </c>
      <c r="AH108">
        <v>6</v>
      </c>
      <c r="AI108">
        <v>6</v>
      </c>
      <c r="AJ108">
        <v>1</v>
      </c>
      <c r="AK108">
        <v>12</v>
      </c>
      <c r="AL108" t="s">
        <v>2386</v>
      </c>
      <c r="AM108" t="s">
        <v>545</v>
      </c>
      <c r="AN108" t="s">
        <v>2387</v>
      </c>
      <c r="AO108" t="s">
        <v>2388</v>
      </c>
      <c r="AP108" t="s">
        <v>74</v>
      </c>
      <c r="AQ108" t="s">
        <v>74</v>
      </c>
      <c r="AR108" t="s">
        <v>2389</v>
      </c>
      <c r="AS108" t="s">
        <v>2390</v>
      </c>
      <c r="AT108" t="s">
        <v>2348</v>
      </c>
      <c r="AU108">
        <v>2020</v>
      </c>
      <c r="AV108">
        <v>72</v>
      </c>
      <c r="AW108">
        <v>1</v>
      </c>
      <c r="AX108" t="s">
        <v>74</v>
      </c>
      <c r="AY108" t="s">
        <v>74</v>
      </c>
      <c r="AZ108" t="s">
        <v>74</v>
      </c>
      <c r="BA108" t="s">
        <v>74</v>
      </c>
      <c r="BB108" t="s">
        <v>74</v>
      </c>
      <c r="BC108" t="s">
        <v>74</v>
      </c>
      <c r="BD108">
        <v>35</v>
      </c>
      <c r="BE108" t="s">
        <v>2391</v>
      </c>
      <c r="BF108" t="str">
        <f>HYPERLINK("http://dx.doi.org/10.1186/s40623-020-01157-7","http://dx.doi.org/10.1186/s40623-020-01157-7")</f>
        <v>http://dx.doi.org/10.1186/s40623-020-01157-7</v>
      </c>
      <c r="BG108" t="s">
        <v>74</v>
      </c>
      <c r="BH108" t="s">
        <v>74</v>
      </c>
      <c r="BI108">
        <v>16</v>
      </c>
      <c r="BJ108" t="s">
        <v>246</v>
      </c>
      <c r="BK108" t="s">
        <v>103</v>
      </c>
      <c r="BL108" t="s">
        <v>247</v>
      </c>
      <c r="BM108" t="s">
        <v>2392</v>
      </c>
      <c r="BN108" t="s">
        <v>74</v>
      </c>
      <c r="BO108" t="s">
        <v>1359</v>
      </c>
      <c r="BP108" t="s">
        <v>74</v>
      </c>
      <c r="BQ108" t="s">
        <v>74</v>
      </c>
      <c r="BR108" t="s">
        <v>106</v>
      </c>
      <c r="BS108" t="s">
        <v>2393</v>
      </c>
      <c r="BT108" t="str">
        <f>HYPERLINK("https%3A%2F%2Fwww.webofscience.com%2Fwos%2Fwoscc%2Ffull-record%2FWOS:000519352600001","View Full Record in Web of Science")</f>
        <v>View Full Record in Web of Science</v>
      </c>
    </row>
    <row r="109" spans="1:72" x14ac:dyDescent="0.15">
      <c r="A109" t="s">
        <v>72</v>
      </c>
      <c r="B109" t="s">
        <v>2394</v>
      </c>
      <c r="C109" t="s">
        <v>74</v>
      </c>
      <c r="D109" t="s">
        <v>74</v>
      </c>
      <c r="E109" t="s">
        <v>74</v>
      </c>
      <c r="F109" t="s">
        <v>2395</v>
      </c>
      <c r="G109" t="s">
        <v>74</v>
      </c>
      <c r="H109" t="s">
        <v>74</v>
      </c>
      <c r="I109" t="s">
        <v>2396</v>
      </c>
      <c r="J109" t="s">
        <v>1726</v>
      </c>
      <c r="K109" t="s">
        <v>74</v>
      </c>
      <c r="L109" t="s">
        <v>74</v>
      </c>
      <c r="M109" t="s">
        <v>78</v>
      </c>
      <c r="N109" t="s">
        <v>79</v>
      </c>
      <c r="O109" t="s">
        <v>74</v>
      </c>
      <c r="P109" t="s">
        <v>74</v>
      </c>
      <c r="Q109" t="s">
        <v>74</v>
      </c>
      <c r="R109" t="s">
        <v>74</v>
      </c>
      <c r="S109" t="s">
        <v>74</v>
      </c>
      <c r="T109" t="s">
        <v>74</v>
      </c>
      <c r="U109" t="s">
        <v>2397</v>
      </c>
      <c r="V109" t="s">
        <v>2398</v>
      </c>
      <c r="W109" t="s">
        <v>2399</v>
      </c>
      <c r="X109" t="s">
        <v>2400</v>
      </c>
      <c r="Y109" t="s">
        <v>2401</v>
      </c>
      <c r="Z109" t="s">
        <v>2402</v>
      </c>
      <c r="AA109" t="s">
        <v>2403</v>
      </c>
      <c r="AB109" t="s">
        <v>2404</v>
      </c>
      <c r="AC109" t="s">
        <v>2405</v>
      </c>
      <c r="AD109" t="s">
        <v>2406</v>
      </c>
      <c r="AE109" t="s">
        <v>2407</v>
      </c>
      <c r="AF109" t="s">
        <v>74</v>
      </c>
      <c r="AG109">
        <v>60</v>
      </c>
      <c r="AH109">
        <v>4</v>
      </c>
      <c r="AI109">
        <v>4</v>
      </c>
      <c r="AJ109">
        <v>0</v>
      </c>
      <c r="AK109">
        <v>9</v>
      </c>
      <c r="AL109" t="s">
        <v>976</v>
      </c>
      <c r="AM109" t="s">
        <v>977</v>
      </c>
      <c r="AN109" t="s">
        <v>978</v>
      </c>
      <c r="AO109" t="s">
        <v>1738</v>
      </c>
      <c r="AP109" t="s">
        <v>1739</v>
      </c>
      <c r="AQ109" t="s">
        <v>74</v>
      </c>
      <c r="AR109" t="s">
        <v>1740</v>
      </c>
      <c r="AS109" t="s">
        <v>1741</v>
      </c>
      <c r="AT109" t="s">
        <v>2408</v>
      </c>
      <c r="AU109">
        <v>2020</v>
      </c>
      <c r="AV109">
        <v>16</v>
      </c>
      <c r="AW109">
        <v>2</v>
      </c>
      <c r="AX109" t="s">
        <v>74</v>
      </c>
      <c r="AY109" t="s">
        <v>74</v>
      </c>
      <c r="AZ109" t="s">
        <v>74</v>
      </c>
      <c r="BA109" t="s">
        <v>74</v>
      </c>
      <c r="BB109">
        <v>503</v>
      </c>
      <c r="BC109">
        <v>522</v>
      </c>
      <c r="BD109" t="s">
        <v>74</v>
      </c>
      <c r="BE109" t="s">
        <v>2409</v>
      </c>
      <c r="BF109" t="str">
        <f>HYPERLINK("http://dx.doi.org/10.5194/cp-16-503-2020","http://dx.doi.org/10.5194/cp-16-503-2020")</f>
        <v>http://dx.doi.org/10.5194/cp-16-503-2020</v>
      </c>
      <c r="BG109" t="s">
        <v>74</v>
      </c>
      <c r="BH109" t="s">
        <v>74</v>
      </c>
      <c r="BI109">
        <v>20</v>
      </c>
      <c r="BJ109" t="s">
        <v>1743</v>
      </c>
      <c r="BK109" t="s">
        <v>103</v>
      </c>
      <c r="BL109" t="s">
        <v>1744</v>
      </c>
      <c r="BM109" t="s">
        <v>2410</v>
      </c>
      <c r="BN109" t="s">
        <v>74</v>
      </c>
      <c r="BO109" t="s">
        <v>1310</v>
      </c>
      <c r="BP109" t="s">
        <v>74</v>
      </c>
      <c r="BQ109" t="s">
        <v>74</v>
      </c>
      <c r="BR109" t="s">
        <v>106</v>
      </c>
      <c r="BS109" t="s">
        <v>2411</v>
      </c>
      <c r="BT109" t="str">
        <f>HYPERLINK("https%3A%2F%2Fwww.webofscience.com%2Fwos%2Fwoscc%2Ffull-record%2FWOS:000519882400001","View Full Record in Web of Science")</f>
        <v>View Full Record in Web of Science</v>
      </c>
    </row>
    <row r="110" spans="1:72" x14ac:dyDescent="0.15">
      <c r="A110" t="s">
        <v>72</v>
      </c>
      <c r="B110" t="s">
        <v>2412</v>
      </c>
      <c r="C110" t="s">
        <v>74</v>
      </c>
      <c r="D110" t="s">
        <v>74</v>
      </c>
      <c r="E110" t="s">
        <v>74</v>
      </c>
      <c r="F110" t="s">
        <v>2413</v>
      </c>
      <c r="G110" t="s">
        <v>74</v>
      </c>
      <c r="H110" t="s">
        <v>74</v>
      </c>
      <c r="I110" t="s">
        <v>2414</v>
      </c>
      <c r="J110" t="s">
        <v>1339</v>
      </c>
      <c r="K110" t="s">
        <v>74</v>
      </c>
      <c r="L110" t="s">
        <v>74</v>
      </c>
      <c r="M110" t="s">
        <v>78</v>
      </c>
      <c r="N110" t="s">
        <v>1434</v>
      </c>
      <c r="O110" t="s">
        <v>74</v>
      </c>
      <c r="P110" t="s">
        <v>74</v>
      </c>
      <c r="Q110" t="s">
        <v>74</v>
      </c>
      <c r="R110" t="s">
        <v>74</v>
      </c>
      <c r="S110" t="s">
        <v>74</v>
      </c>
      <c r="T110" t="s">
        <v>2415</v>
      </c>
      <c r="U110" t="s">
        <v>2416</v>
      </c>
      <c r="V110" t="s">
        <v>2417</v>
      </c>
      <c r="W110" t="s">
        <v>2418</v>
      </c>
      <c r="X110" t="s">
        <v>2419</v>
      </c>
      <c r="Y110" t="s">
        <v>2420</v>
      </c>
      <c r="Z110" t="s">
        <v>2421</v>
      </c>
      <c r="AA110" t="s">
        <v>2422</v>
      </c>
      <c r="AB110" t="s">
        <v>2423</v>
      </c>
      <c r="AC110" t="s">
        <v>2424</v>
      </c>
      <c r="AD110" t="s">
        <v>2425</v>
      </c>
      <c r="AE110" t="s">
        <v>2426</v>
      </c>
      <c r="AF110" t="s">
        <v>74</v>
      </c>
      <c r="AG110">
        <v>77</v>
      </c>
      <c r="AH110">
        <v>1</v>
      </c>
      <c r="AI110">
        <v>1</v>
      </c>
      <c r="AJ110">
        <v>1</v>
      </c>
      <c r="AK110">
        <v>22</v>
      </c>
      <c r="AL110" t="s">
        <v>658</v>
      </c>
      <c r="AM110" t="s">
        <v>659</v>
      </c>
      <c r="AN110" t="s">
        <v>660</v>
      </c>
      <c r="AO110" t="s">
        <v>74</v>
      </c>
      <c r="AP110" t="s">
        <v>1352</v>
      </c>
      <c r="AQ110" t="s">
        <v>74</v>
      </c>
      <c r="AR110" t="s">
        <v>1353</v>
      </c>
      <c r="AS110" t="s">
        <v>1354</v>
      </c>
      <c r="AT110" t="s">
        <v>2408</v>
      </c>
      <c r="AU110">
        <v>2020</v>
      </c>
      <c r="AV110">
        <v>7</v>
      </c>
      <c r="AW110" t="s">
        <v>74</v>
      </c>
      <c r="AX110" t="s">
        <v>74</v>
      </c>
      <c r="AY110" t="s">
        <v>74</v>
      </c>
      <c r="AZ110" t="s">
        <v>74</v>
      </c>
      <c r="BA110" t="s">
        <v>74</v>
      </c>
      <c r="BB110" t="s">
        <v>74</v>
      </c>
      <c r="BC110" t="s">
        <v>74</v>
      </c>
      <c r="BD110">
        <v>146</v>
      </c>
      <c r="BE110" t="s">
        <v>2427</v>
      </c>
      <c r="BF110" t="str">
        <f>HYPERLINK("http://dx.doi.org/10.3389/fmars.2020.00146","http://dx.doi.org/10.3389/fmars.2020.00146")</f>
        <v>http://dx.doi.org/10.3389/fmars.2020.00146</v>
      </c>
      <c r="BG110" t="s">
        <v>74</v>
      </c>
      <c r="BH110" t="s">
        <v>74</v>
      </c>
      <c r="BI110">
        <v>8</v>
      </c>
      <c r="BJ110" t="s">
        <v>1356</v>
      </c>
      <c r="BK110" t="s">
        <v>103</v>
      </c>
      <c r="BL110" t="s">
        <v>1357</v>
      </c>
      <c r="BM110" t="s">
        <v>2428</v>
      </c>
      <c r="BN110" t="s">
        <v>74</v>
      </c>
      <c r="BO110" t="s">
        <v>276</v>
      </c>
      <c r="BP110" t="s">
        <v>74</v>
      </c>
      <c r="BQ110" t="s">
        <v>74</v>
      </c>
      <c r="BR110" t="s">
        <v>106</v>
      </c>
      <c r="BS110" t="s">
        <v>2429</v>
      </c>
      <c r="BT110" t="str">
        <f>HYPERLINK("https%3A%2F%2Fwww.webofscience.com%2Fwos%2Fwoscc%2Ffull-record%2FWOS:000519015800001","View Full Record in Web of Science")</f>
        <v>View Full Record in Web of Science</v>
      </c>
    </row>
    <row r="111" spans="1:72" x14ac:dyDescent="0.15">
      <c r="A111" t="s">
        <v>72</v>
      </c>
      <c r="B111" t="s">
        <v>2430</v>
      </c>
      <c r="C111" t="s">
        <v>74</v>
      </c>
      <c r="D111" t="s">
        <v>74</v>
      </c>
      <c r="E111" t="s">
        <v>74</v>
      </c>
      <c r="F111" t="s">
        <v>2431</v>
      </c>
      <c r="G111" t="s">
        <v>74</v>
      </c>
      <c r="H111" t="s">
        <v>74</v>
      </c>
      <c r="I111" t="s">
        <v>2432</v>
      </c>
      <c r="J111" t="s">
        <v>1926</v>
      </c>
      <c r="K111" t="s">
        <v>74</v>
      </c>
      <c r="L111" t="s">
        <v>74</v>
      </c>
      <c r="M111" t="s">
        <v>78</v>
      </c>
      <c r="N111" t="s">
        <v>79</v>
      </c>
      <c r="O111" t="s">
        <v>74</v>
      </c>
      <c r="P111" t="s">
        <v>74</v>
      </c>
      <c r="Q111" t="s">
        <v>74</v>
      </c>
      <c r="R111" t="s">
        <v>74</v>
      </c>
      <c r="S111" t="s">
        <v>74</v>
      </c>
      <c r="T111" t="s">
        <v>74</v>
      </c>
      <c r="U111" t="s">
        <v>2433</v>
      </c>
      <c r="V111" t="s">
        <v>2434</v>
      </c>
      <c r="W111" t="s">
        <v>2435</v>
      </c>
      <c r="X111" t="s">
        <v>2436</v>
      </c>
      <c r="Y111" t="s">
        <v>2437</v>
      </c>
      <c r="Z111" t="s">
        <v>2438</v>
      </c>
      <c r="AA111" t="s">
        <v>2439</v>
      </c>
      <c r="AB111" t="s">
        <v>2440</v>
      </c>
      <c r="AC111" t="s">
        <v>2441</v>
      </c>
      <c r="AD111" t="s">
        <v>2442</v>
      </c>
      <c r="AE111" t="s">
        <v>2443</v>
      </c>
      <c r="AF111" t="s">
        <v>74</v>
      </c>
      <c r="AG111">
        <v>74</v>
      </c>
      <c r="AH111">
        <v>32</v>
      </c>
      <c r="AI111">
        <v>33</v>
      </c>
      <c r="AJ111">
        <v>2</v>
      </c>
      <c r="AK111">
        <v>9</v>
      </c>
      <c r="AL111" t="s">
        <v>1938</v>
      </c>
      <c r="AM111" t="s">
        <v>1939</v>
      </c>
      <c r="AN111" t="s">
        <v>1940</v>
      </c>
      <c r="AO111" t="s">
        <v>1941</v>
      </c>
      <c r="AP111" t="s">
        <v>74</v>
      </c>
      <c r="AQ111" t="s">
        <v>74</v>
      </c>
      <c r="AR111" t="s">
        <v>1926</v>
      </c>
      <c r="AS111" t="s">
        <v>1942</v>
      </c>
      <c r="AT111" t="s">
        <v>2408</v>
      </c>
      <c r="AU111">
        <v>2020</v>
      </c>
      <c r="AV111">
        <v>15</v>
      </c>
      <c r="AW111">
        <v>3</v>
      </c>
      <c r="AX111" t="s">
        <v>74</v>
      </c>
      <c r="AY111" t="s">
        <v>74</v>
      </c>
      <c r="AZ111" t="s">
        <v>74</v>
      </c>
      <c r="BA111" t="s">
        <v>74</v>
      </c>
      <c r="BB111" t="s">
        <v>74</v>
      </c>
      <c r="BC111" t="s">
        <v>74</v>
      </c>
      <c r="BD111" t="s">
        <v>2444</v>
      </c>
      <c r="BE111" t="s">
        <v>2445</v>
      </c>
      <c r="BF111" t="str">
        <f>HYPERLINK("http://dx.doi.org/10.1371/journal.pone.0229259","http://dx.doi.org/10.1371/journal.pone.0229259")</f>
        <v>http://dx.doi.org/10.1371/journal.pone.0229259</v>
      </c>
      <c r="BG111" t="s">
        <v>74</v>
      </c>
      <c r="BH111" t="s">
        <v>74</v>
      </c>
      <c r="BI111">
        <v>23</v>
      </c>
      <c r="BJ111" t="s">
        <v>322</v>
      </c>
      <c r="BK111" t="s">
        <v>103</v>
      </c>
      <c r="BL111" t="s">
        <v>323</v>
      </c>
      <c r="BM111" t="s">
        <v>2446</v>
      </c>
      <c r="BN111">
        <v>32160219</v>
      </c>
      <c r="BO111" t="s">
        <v>276</v>
      </c>
      <c r="BP111" t="s">
        <v>74</v>
      </c>
      <c r="BQ111" t="s">
        <v>74</v>
      </c>
      <c r="BR111" t="s">
        <v>106</v>
      </c>
      <c r="BS111" t="s">
        <v>2447</v>
      </c>
      <c r="BT111" t="str">
        <f>HYPERLINK("https%3A%2F%2Fwww.webofscience.com%2Fwos%2Fwoscc%2Ffull-record%2FWOS:000535284700020","View Full Record in Web of Science")</f>
        <v>View Full Record in Web of Science</v>
      </c>
    </row>
    <row r="112" spans="1:72" x14ac:dyDescent="0.15">
      <c r="A112" t="s">
        <v>72</v>
      </c>
      <c r="B112" t="s">
        <v>2448</v>
      </c>
      <c r="C112" t="s">
        <v>74</v>
      </c>
      <c r="D112" t="s">
        <v>74</v>
      </c>
      <c r="E112" t="s">
        <v>74</v>
      </c>
      <c r="F112" t="s">
        <v>2449</v>
      </c>
      <c r="G112" t="s">
        <v>74</v>
      </c>
      <c r="H112" t="s">
        <v>74</v>
      </c>
      <c r="I112" t="s">
        <v>2450</v>
      </c>
      <c r="J112" t="s">
        <v>2451</v>
      </c>
      <c r="K112" t="s">
        <v>74</v>
      </c>
      <c r="L112" t="s">
        <v>74</v>
      </c>
      <c r="M112" t="s">
        <v>78</v>
      </c>
      <c r="N112" t="s">
        <v>79</v>
      </c>
      <c r="O112" t="s">
        <v>74</v>
      </c>
      <c r="P112" t="s">
        <v>74</v>
      </c>
      <c r="Q112" t="s">
        <v>74</v>
      </c>
      <c r="R112" t="s">
        <v>74</v>
      </c>
      <c r="S112" t="s">
        <v>74</v>
      </c>
      <c r="T112" t="s">
        <v>2452</v>
      </c>
      <c r="U112" t="s">
        <v>2453</v>
      </c>
      <c r="V112" t="s">
        <v>2454</v>
      </c>
      <c r="W112" t="s">
        <v>2455</v>
      </c>
      <c r="X112" t="s">
        <v>2456</v>
      </c>
      <c r="Y112" t="s">
        <v>2457</v>
      </c>
      <c r="Z112" t="s">
        <v>2458</v>
      </c>
      <c r="AA112" t="s">
        <v>2459</v>
      </c>
      <c r="AB112" t="s">
        <v>2460</v>
      </c>
      <c r="AC112" t="s">
        <v>2461</v>
      </c>
      <c r="AD112" t="s">
        <v>2462</v>
      </c>
      <c r="AE112" t="s">
        <v>2463</v>
      </c>
      <c r="AF112" t="s">
        <v>74</v>
      </c>
      <c r="AG112">
        <v>79</v>
      </c>
      <c r="AH112">
        <v>9</v>
      </c>
      <c r="AI112">
        <v>9</v>
      </c>
      <c r="AJ112">
        <v>1</v>
      </c>
      <c r="AK112">
        <v>21</v>
      </c>
      <c r="AL112" t="s">
        <v>2464</v>
      </c>
      <c r="AM112" t="s">
        <v>545</v>
      </c>
      <c r="AN112" t="s">
        <v>2465</v>
      </c>
      <c r="AO112" t="s">
        <v>2466</v>
      </c>
      <c r="AP112" t="s">
        <v>2467</v>
      </c>
      <c r="AQ112" t="s">
        <v>74</v>
      </c>
      <c r="AR112" t="s">
        <v>2451</v>
      </c>
      <c r="AS112" t="s">
        <v>2468</v>
      </c>
      <c r="AT112" t="s">
        <v>2002</v>
      </c>
      <c r="AU112">
        <v>2020</v>
      </c>
      <c r="AV112">
        <v>30</v>
      </c>
      <c r="AW112">
        <v>7</v>
      </c>
      <c r="AX112" t="s">
        <v>74</v>
      </c>
      <c r="AY112" t="s">
        <v>74</v>
      </c>
      <c r="AZ112" t="s">
        <v>74</v>
      </c>
      <c r="BA112" t="s">
        <v>74</v>
      </c>
      <c r="BB112">
        <v>953</v>
      </c>
      <c r="BC112">
        <v>965</v>
      </c>
      <c r="BD112">
        <v>959683620908654</v>
      </c>
      <c r="BE112" t="s">
        <v>2469</v>
      </c>
      <c r="BF112" t="str">
        <f>HYPERLINK("http://dx.doi.org/10.1177/0959683620908654","http://dx.doi.org/10.1177/0959683620908654")</f>
        <v>http://dx.doi.org/10.1177/0959683620908654</v>
      </c>
      <c r="BG112" t="s">
        <v>74</v>
      </c>
      <c r="BH112" t="s">
        <v>692</v>
      </c>
      <c r="BI112">
        <v>13</v>
      </c>
      <c r="BJ112" t="s">
        <v>1307</v>
      </c>
      <c r="BK112" t="s">
        <v>103</v>
      </c>
      <c r="BL112" t="s">
        <v>1308</v>
      </c>
      <c r="BM112" t="s">
        <v>2470</v>
      </c>
      <c r="BN112" t="s">
        <v>74</v>
      </c>
      <c r="BO112" t="s">
        <v>74</v>
      </c>
      <c r="BP112" t="s">
        <v>74</v>
      </c>
      <c r="BQ112" t="s">
        <v>74</v>
      </c>
      <c r="BR112" t="s">
        <v>106</v>
      </c>
      <c r="BS112" t="s">
        <v>2471</v>
      </c>
      <c r="BT112" t="str">
        <f>HYPERLINK("https%3A%2F%2Fwww.webofscience.com%2Fwos%2Fwoscc%2Ffull-record%2FWOS:000523807800001","View Full Record in Web of Science")</f>
        <v>View Full Record in Web of Science</v>
      </c>
    </row>
    <row r="113" spans="1:72" x14ac:dyDescent="0.15">
      <c r="A113" t="s">
        <v>72</v>
      </c>
      <c r="B113" t="s">
        <v>2472</v>
      </c>
      <c r="C113" t="s">
        <v>74</v>
      </c>
      <c r="D113" t="s">
        <v>74</v>
      </c>
      <c r="E113" t="s">
        <v>74</v>
      </c>
      <c r="F113" t="s">
        <v>2473</v>
      </c>
      <c r="G113" t="s">
        <v>74</v>
      </c>
      <c r="H113" t="s">
        <v>74</v>
      </c>
      <c r="I113" t="s">
        <v>2474</v>
      </c>
      <c r="J113" t="s">
        <v>1645</v>
      </c>
      <c r="K113" t="s">
        <v>74</v>
      </c>
      <c r="L113" t="s">
        <v>74</v>
      </c>
      <c r="M113" t="s">
        <v>78</v>
      </c>
      <c r="N113" t="s">
        <v>79</v>
      </c>
      <c r="O113" t="s">
        <v>74</v>
      </c>
      <c r="P113" t="s">
        <v>74</v>
      </c>
      <c r="Q113" t="s">
        <v>74</v>
      </c>
      <c r="R113" t="s">
        <v>74</v>
      </c>
      <c r="S113" t="s">
        <v>74</v>
      </c>
      <c r="T113" t="s">
        <v>74</v>
      </c>
      <c r="U113" t="s">
        <v>2475</v>
      </c>
      <c r="V113" t="s">
        <v>2476</v>
      </c>
      <c r="W113" t="s">
        <v>2477</v>
      </c>
      <c r="X113" t="s">
        <v>2478</v>
      </c>
      <c r="Y113" t="s">
        <v>2479</v>
      </c>
      <c r="Z113" t="s">
        <v>2480</v>
      </c>
      <c r="AA113" t="s">
        <v>74</v>
      </c>
      <c r="AB113" t="s">
        <v>2481</v>
      </c>
      <c r="AC113" t="s">
        <v>2482</v>
      </c>
      <c r="AD113" t="s">
        <v>2483</v>
      </c>
      <c r="AE113" t="s">
        <v>2484</v>
      </c>
      <c r="AF113" t="s">
        <v>74</v>
      </c>
      <c r="AG113">
        <v>111</v>
      </c>
      <c r="AH113">
        <v>14</v>
      </c>
      <c r="AI113">
        <v>14</v>
      </c>
      <c r="AJ113">
        <v>0</v>
      </c>
      <c r="AK113">
        <v>8</v>
      </c>
      <c r="AL113" t="s">
        <v>92</v>
      </c>
      <c r="AM113" t="s">
        <v>93</v>
      </c>
      <c r="AN113" t="s">
        <v>94</v>
      </c>
      <c r="AO113" t="s">
        <v>1657</v>
      </c>
      <c r="AP113" t="s">
        <v>1658</v>
      </c>
      <c r="AQ113" t="s">
        <v>74</v>
      </c>
      <c r="AR113" t="s">
        <v>1659</v>
      </c>
      <c r="AS113" t="s">
        <v>1660</v>
      </c>
      <c r="AT113" t="s">
        <v>2485</v>
      </c>
      <c r="AU113">
        <v>2020</v>
      </c>
      <c r="AV113">
        <v>891</v>
      </c>
      <c r="AW113">
        <v>2</v>
      </c>
      <c r="AX113" t="s">
        <v>74</v>
      </c>
      <c r="AY113" t="s">
        <v>74</v>
      </c>
      <c r="AZ113" t="s">
        <v>74</v>
      </c>
      <c r="BA113" t="s">
        <v>74</v>
      </c>
      <c r="BB113" t="s">
        <v>74</v>
      </c>
      <c r="BC113" t="s">
        <v>74</v>
      </c>
      <c r="BD113">
        <v>121</v>
      </c>
      <c r="BE113" t="s">
        <v>2486</v>
      </c>
      <c r="BF113" t="str">
        <f>HYPERLINK("http://dx.doi.org/10.3847/1538-4357/ab744a","http://dx.doi.org/10.3847/1538-4357/ab744a")</f>
        <v>http://dx.doi.org/10.3847/1538-4357/ab744a</v>
      </c>
      <c r="BG113" t="s">
        <v>74</v>
      </c>
      <c r="BH113" t="s">
        <v>74</v>
      </c>
      <c r="BI113">
        <v>17</v>
      </c>
      <c r="BJ113" t="s">
        <v>102</v>
      </c>
      <c r="BK113" t="s">
        <v>103</v>
      </c>
      <c r="BL113" t="s">
        <v>102</v>
      </c>
      <c r="BM113" t="s">
        <v>2487</v>
      </c>
      <c r="BN113" t="s">
        <v>74</v>
      </c>
      <c r="BO113" t="s">
        <v>2488</v>
      </c>
      <c r="BP113" t="s">
        <v>74</v>
      </c>
      <c r="BQ113" t="s">
        <v>74</v>
      </c>
      <c r="BR113" t="s">
        <v>106</v>
      </c>
      <c r="BS113" t="s">
        <v>2489</v>
      </c>
      <c r="BT113" t="str">
        <f>HYPERLINK("https%3A%2F%2Fwww.webofscience.com%2Fwos%2Fwoscc%2Ffull-record%2FWOS:000520196800001","View Full Record in Web of Science")</f>
        <v>View Full Record in Web of Science</v>
      </c>
    </row>
    <row r="114" spans="1:72" x14ac:dyDescent="0.15">
      <c r="A114" t="s">
        <v>72</v>
      </c>
      <c r="B114" t="s">
        <v>2490</v>
      </c>
      <c r="C114" t="s">
        <v>74</v>
      </c>
      <c r="D114" t="s">
        <v>74</v>
      </c>
      <c r="E114" t="s">
        <v>74</v>
      </c>
      <c r="F114" t="s">
        <v>2491</v>
      </c>
      <c r="G114" t="s">
        <v>74</v>
      </c>
      <c r="H114" t="s">
        <v>74</v>
      </c>
      <c r="I114" t="s">
        <v>2492</v>
      </c>
      <c r="J114" t="s">
        <v>2493</v>
      </c>
      <c r="K114" t="s">
        <v>74</v>
      </c>
      <c r="L114" t="s">
        <v>74</v>
      </c>
      <c r="M114" t="s">
        <v>78</v>
      </c>
      <c r="N114" t="s">
        <v>79</v>
      </c>
      <c r="O114" t="s">
        <v>74</v>
      </c>
      <c r="P114" t="s">
        <v>74</v>
      </c>
      <c r="Q114" t="s">
        <v>74</v>
      </c>
      <c r="R114" t="s">
        <v>74</v>
      </c>
      <c r="S114" t="s">
        <v>74</v>
      </c>
      <c r="T114" t="s">
        <v>2494</v>
      </c>
      <c r="U114" t="s">
        <v>2495</v>
      </c>
      <c r="V114" t="s">
        <v>2496</v>
      </c>
      <c r="W114" t="s">
        <v>2497</v>
      </c>
      <c r="X114" t="s">
        <v>2498</v>
      </c>
      <c r="Y114" t="s">
        <v>2499</v>
      </c>
      <c r="Z114" t="s">
        <v>2500</v>
      </c>
      <c r="AA114" t="s">
        <v>74</v>
      </c>
      <c r="AB114" t="s">
        <v>2501</v>
      </c>
      <c r="AC114" t="s">
        <v>2498</v>
      </c>
      <c r="AD114" t="s">
        <v>2498</v>
      </c>
      <c r="AE114" t="s">
        <v>2502</v>
      </c>
      <c r="AF114" t="s">
        <v>74</v>
      </c>
      <c r="AG114">
        <v>72</v>
      </c>
      <c r="AH114">
        <v>4</v>
      </c>
      <c r="AI114">
        <v>4</v>
      </c>
      <c r="AJ114">
        <v>0</v>
      </c>
      <c r="AK114">
        <v>4</v>
      </c>
      <c r="AL114" t="s">
        <v>2503</v>
      </c>
      <c r="AM114" t="s">
        <v>2504</v>
      </c>
      <c r="AN114" t="s">
        <v>2505</v>
      </c>
      <c r="AO114" t="s">
        <v>2506</v>
      </c>
      <c r="AP114" t="s">
        <v>2507</v>
      </c>
      <c r="AQ114" t="s">
        <v>74</v>
      </c>
      <c r="AR114" t="s">
        <v>2493</v>
      </c>
      <c r="AS114" t="s">
        <v>2508</v>
      </c>
      <c r="AT114" t="s">
        <v>2485</v>
      </c>
      <c r="AU114">
        <v>2020</v>
      </c>
      <c r="AV114">
        <v>4750</v>
      </c>
      <c r="AW114">
        <v>1</v>
      </c>
      <c r="AX114" t="s">
        <v>74</v>
      </c>
      <c r="AY114" t="s">
        <v>74</v>
      </c>
      <c r="AZ114" t="s">
        <v>74</v>
      </c>
      <c r="BA114" t="s">
        <v>74</v>
      </c>
      <c r="BB114">
        <v>67</v>
      </c>
      <c r="BC114">
        <v>100</v>
      </c>
      <c r="BD114" t="s">
        <v>74</v>
      </c>
      <c r="BE114" t="s">
        <v>2509</v>
      </c>
      <c r="BF114" t="str">
        <f>HYPERLINK("http://dx.doi.org/10.11646/zootaxa.4750.1.4","http://dx.doi.org/10.11646/zootaxa.4750.1.4")</f>
        <v>http://dx.doi.org/10.11646/zootaxa.4750.1.4</v>
      </c>
      <c r="BG114" t="s">
        <v>74</v>
      </c>
      <c r="BH114" t="s">
        <v>74</v>
      </c>
      <c r="BI114">
        <v>34</v>
      </c>
      <c r="BJ114" t="s">
        <v>2510</v>
      </c>
      <c r="BK114" t="s">
        <v>103</v>
      </c>
      <c r="BL114" t="s">
        <v>2510</v>
      </c>
      <c r="BM114" t="s">
        <v>2511</v>
      </c>
      <c r="BN114">
        <v>32230053</v>
      </c>
      <c r="BO114" t="s">
        <v>74</v>
      </c>
      <c r="BP114" t="s">
        <v>74</v>
      </c>
      <c r="BQ114" t="s">
        <v>74</v>
      </c>
      <c r="BR114" t="s">
        <v>106</v>
      </c>
      <c r="BS114" t="s">
        <v>2512</v>
      </c>
      <c r="BT114" t="str">
        <f>HYPERLINK("https%3A%2F%2Fwww.webofscience.com%2Fwos%2Fwoscc%2Ffull-record%2FWOS:000518838300004","View Full Record in Web of Science")</f>
        <v>View Full Record in Web of Science</v>
      </c>
    </row>
    <row r="115" spans="1:72" x14ac:dyDescent="0.15">
      <c r="A115" t="s">
        <v>72</v>
      </c>
      <c r="B115" t="s">
        <v>2513</v>
      </c>
      <c r="C115" t="s">
        <v>74</v>
      </c>
      <c r="D115" t="s">
        <v>74</v>
      </c>
      <c r="E115" t="s">
        <v>74</v>
      </c>
      <c r="F115" t="s">
        <v>2514</v>
      </c>
      <c r="G115" t="s">
        <v>74</v>
      </c>
      <c r="H115" t="s">
        <v>74</v>
      </c>
      <c r="I115" t="s">
        <v>2515</v>
      </c>
      <c r="J115" t="s">
        <v>2516</v>
      </c>
      <c r="K115" t="s">
        <v>74</v>
      </c>
      <c r="L115" t="s">
        <v>74</v>
      </c>
      <c r="M115" t="s">
        <v>78</v>
      </c>
      <c r="N115" t="s">
        <v>1226</v>
      </c>
      <c r="O115" t="s">
        <v>74</v>
      </c>
      <c r="P115" t="s">
        <v>74</v>
      </c>
      <c r="Q115" t="s">
        <v>74</v>
      </c>
      <c r="R115" t="s">
        <v>74</v>
      </c>
      <c r="S115" t="s">
        <v>74</v>
      </c>
      <c r="T115" t="s">
        <v>74</v>
      </c>
      <c r="U115" t="s">
        <v>74</v>
      </c>
      <c r="V115" t="s">
        <v>2517</v>
      </c>
      <c r="W115" t="s">
        <v>74</v>
      </c>
      <c r="X115" t="s">
        <v>74</v>
      </c>
      <c r="Y115" t="s">
        <v>74</v>
      </c>
      <c r="Z115" t="s">
        <v>2518</v>
      </c>
      <c r="AA115" t="s">
        <v>2519</v>
      </c>
      <c r="AB115" t="s">
        <v>2520</v>
      </c>
      <c r="AC115" t="s">
        <v>2521</v>
      </c>
      <c r="AD115" t="s">
        <v>2522</v>
      </c>
      <c r="AE115" t="s">
        <v>2523</v>
      </c>
      <c r="AF115" t="s">
        <v>74</v>
      </c>
      <c r="AG115">
        <v>1</v>
      </c>
      <c r="AH115">
        <v>0</v>
      </c>
      <c r="AI115">
        <v>0</v>
      </c>
      <c r="AJ115">
        <v>4</v>
      </c>
      <c r="AK115">
        <v>13</v>
      </c>
      <c r="AL115" t="s">
        <v>951</v>
      </c>
      <c r="AM115" t="s">
        <v>952</v>
      </c>
      <c r="AN115" t="s">
        <v>953</v>
      </c>
      <c r="AO115" t="s">
        <v>2524</v>
      </c>
      <c r="AP115" t="s">
        <v>74</v>
      </c>
      <c r="AQ115" t="s">
        <v>74</v>
      </c>
      <c r="AR115" t="s">
        <v>2525</v>
      </c>
      <c r="AS115" t="s">
        <v>2526</v>
      </c>
      <c r="AT115" t="s">
        <v>128</v>
      </c>
      <c r="AU115">
        <v>2020</v>
      </c>
      <c r="AV115">
        <v>4</v>
      </c>
      <c r="AW115">
        <v>4</v>
      </c>
      <c r="AX115" t="s">
        <v>74</v>
      </c>
      <c r="AY115" t="s">
        <v>74</v>
      </c>
      <c r="AZ115" t="s">
        <v>74</v>
      </c>
      <c r="BA115" t="s">
        <v>74</v>
      </c>
      <c r="BB115">
        <v>659</v>
      </c>
      <c r="BC115">
        <v>659</v>
      </c>
      <c r="BD115" t="s">
        <v>74</v>
      </c>
      <c r="BE115" t="s">
        <v>2527</v>
      </c>
      <c r="BF115" t="str">
        <f>HYPERLINK("http://dx.doi.org/10.1038/s41559-020-1169-7","http://dx.doi.org/10.1038/s41559-020-1169-7")</f>
        <v>http://dx.doi.org/10.1038/s41559-020-1169-7</v>
      </c>
      <c r="BG115" t="s">
        <v>74</v>
      </c>
      <c r="BH115" t="s">
        <v>692</v>
      </c>
      <c r="BI115">
        <v>1</v>
      </c>
      <c r="BJ115" t="s">
        <v>2528</v>
      </c>
      <c r="BK115" t="s">
        <v>103</v>
      </c>
      <c r="BL115" t="s">
        <v>2529</v>
      </c>
      <c r="BM115" t="s">
        <v>2530</v>
      </c>
      <c r="BN115">
        <v>32157252</v>
      </c>
      <c r="BO115" t="s">
        <v>517</v>
      </c>
      <c r="BP115" t="s">
        <v>74</v>
      </c>
      <c r="BQ115" t="s">
        <v>74</v>
      </c>
      <c r="BR115" t="s">
        <v>106</v>
      </c>
      <c r="BS115" t="s">
        <v>2531</v>
      </c>
      <c r="BT115" t="str">
        <f>HYPERLINK("https%3A%2F%2Fwww.webofscience.com%2Fwos%2Fwoscc%2Ffull-record%2FWOS:000518883000001","View Full Record in Web of Science")</f>
        <v>View Full Record in Web of Science</v>
      </c>
    </row>
    <row r="116" spans="1:72" x14ac:dyDescent="0.15">
      <c r="A116" t="s">
        <v>72</v>
      </c>
      <c r="B116" t="s">
        <v>2532</v>
      </c>
      <c r="C116" t="s">
        <v>74</v>
      </c>
      <c r="D116" t="s">
        <v>74</v>
      </c>
      <c r="E116" t="s">
        <v>74</v>
      </c>
      <c r="F116" t="s">
        <v>2533</v>
      </c>
      <c r="G116" t="s">
        <v>74</v>
      </c>
      <c r="H116" t="s">
        <v>74</v>
      </c>
      <c r="I116" t="s">
        <v>2534</v>
      </c>
      <c r="J116" t="s">
        <v>2535</v>
      </c>
      <c r="K116" t="s">
        <v>74</v>
      </c>
      <c r="L116" t="s">
        <v>74</v>
      </c>
      <c r="M116" t="s">
        <v>78</v>
      </c>
      <c r="N116" t="s">
        <v>79</v>
      </c>
      <c r="O116" t="s">
        <v>74</v>
      </c>
      <c r="P116" t="s">
        <v>74</v>
      </c>
      <c r="Q116" t="s">
        <v>74</v>
      </c>
      <c r="R116" t="s">
        <v>74</v>
      </c>
      <c r="S116" t="s">
        <v>74</v>
      </c>
      <c r="T116" t="s">
        <v>2536</v>
      </c>
      <c r="U116" t="s">
        <v>2537</v>
      </c>
      <c r="V116" t="s">
        <v>2538</v>
      </c>
      <c r="W116" t="s">
        <v>2539</v>
      </c>
      <c r="X116" t="s">
        <v>2540</v>
      </c>
      <c r="Y116" t="s">
        <v>2541</v>
      </c>
      <c r="Z116" t="s">
        <v>2542</v>
      </c>
      <c r="AA116" t="s">
        <v>2543</v>
      </c>
      <c r="AB116" t="s">
        <v>2544</v>
      </c>
      <c r="AC116" t="s">
        <v>2545</v>
      </c>
      <c r="AD116" t="s">
        <v>2546</v>
      </c>
      <c r="AE116" t="s">
        <v>2547</v>
      </c>
      <c r="AF116" t="s">
        <v>74</v>
      </c>
      <c r="AG116">
        <v>40</v>
      </c>
      <c r="AH116">
        <v>5</v>
      </c>
      <c r="AI116">
        <v>8</v>
      </c>
      <c r="AJ116">
        <v>0</v>
      </c>
      <c r="AK116">
        <v>2</v>
      </c>
      <c r="AL116" t="s">
        <v>211</v>
      </c>
      <c r="AM116" t="s">
        <v>212</v>
      </c>
      <c r="AN116" t="s">
        <v>2548</v>
      </c>
      <c r="AO116" t="s">
        <v>74</v>
      </c>
      <c r="AP116" t="s">
        <v>2549</v>
      </c>
      <c r="AQ116" t="s">
        <v>74</v>
      </c>
      <c r="AR116" t="s">
        <v>2550</v>
      </c>
      <c r="AS116" t="s">
        <v>2551</v>
      </c>
      <c r="AT116" t="s">
        <v>1380</v>
      </c>
      <c r="AU116">
        <v>2020</v>
      </c>
      <c r="AV116">
        <v>6</v>
      </c>
      <c r="AW116">
        <v>3</v>
      </c>
      <c r="AX116" t="s">
        <v>74</v>
      </c>
      <c r="AY116" t="s">
        <v>74</v>
      </c>
      <c r="AZ116" t="s">
        <v>342</v>
      </c>
      <c r="BA116" t="s">
        <v>74</v>
      </c>
      <c r="BB116">
        <v>411</v>
      </c>
      <c r="BC116">
        <v>423</v>
      </c>
      <c r="BD116" t="s">
        <v>74</v>
      </c>
      <c r="BE116" t="s">
        <v>2552</v>
      </c>
      <c r="BF116" t="str">
        <f>HYPERLINK("http://dx.doi.org/10.1002/rse2.155","http://dx.doi.org/10.1002/rse2.155")</f>
        <v>http://dx.doi.org/10.1002/rse2.155</v>
      </c>
      <c r="BG116" t="s">
        <v>74</v>
      </c>
      <c r="BH116" t="s">
        <v>692</v>
      </c>
      <c r="BI116">
        <v>13</v>
      </c>
      <c r="BJ116" t="s">
        <v>2553</v>
      </c>
      <c r="BK116" t="s">
        <v>103</v>
      </c>
      <c r="BL116" t="s">
        <v>2554</v>
      </c>
      <c r="BM116" t="s">
        <v>2555</v>
      </c>
      <c r="BN116" t="s">
        <v>74</v>
      </c>
      <c r="BO116" t="s">
        <v>1518</v>
      </c>
      <c r="BP116" t="s">
        <v>74</v>
      </c>
      <c r="BQ116" t="s">
        <v>74</v>
      </c>
      <c r="BR116" t="s">
        <v>106</v>
      </c>
      <c r="BS116" t="s">
        <v>2556</v>
      </c>
      <c r="BT116" t="str">
        <f>HYPERLINK("https%3A%2F%2Fwww.webofscience.com%2Fwos%2Fwoscc%2Ffull-record%2FWOS:000562310600001","View Full Record in Web of Science")</f>
        <v>View Full Record in Web of Science</v>
      </c>
    </row>
    <row r="117" spans="1:72" x14ac:dyDescent="0.15">
      <c r="A117" t="s">
        <v>72</v>
      </c>
      <c r="B117" t="s">
        <v>2557</v>
      </c>
      <c r="C117" t="s">
        <v>74</v>
      </c>
      <c r="D117" t="s">
        <v>74</v>
      </c>
      <c r="E117" t="s">
        <v>74</v>
      </c>
      <c r="F117" t="s">
        <v>2558</v>
      </c>
      <c r="G117" t="s">
        <v>74</v>
      </c>
      <c r="H117" t="s">
        <v>74</v>
      </c>
      <c r="I117" t="s">
        <v>2559</v>
      </c>
      <c r="J117" t="s">
        <v>1179</v>
      </c>
      <c r="K117" t="s">
        <v>74</v>
      </c>
      <c r="L117" t="s">
        <v>74</v>
      </c>
      <c r="M117" t="s">
        <v>78</v>
      </c>
      <c r="N117" t="s">
        <v>767</v>
      </c>
      <c r="O117" t="s">
        <v>74</v>
      </c>
      <c r="P117" t="s">
        <v>74</v>
      </c>
      <c r="Q117" t="s">
        <v>74</v>
      </c>
      <c r="R117" t="s">
        <v>74</v>
      </c>
      <c r="S117" t="s">
        <v>74</v>
      </c>
      <c r="T117" t="s">
        <v>74</v>
      </c>
      <c r="U117" t="s">
        <v>74</v>
      </c>
      <c r="V117" t="s">
        <v>74</v>
      </c>
      <c r="W117" t="s">
        <v>2560</v>
      </c>
      <c r="X117" t="s">
        <v>74</v>
      </c>
      <c r="Y117" t="s">
        <v>2561</v>
      </c>
      <c r="Z117" t="s">
        <v>2562</v>
      </c>
      <c r="AA117" t="s">
        <v>74</v>
      </c>
      <c r="AB117" t="s">
        <v>74</v>
      </c>
      <c r="AC117" t="s">
        <v>74</v>
      </c>
      <c r="AD117" t="s">
        <v>74</v>
      </c>
      <c r="AE117" t="s">
        <v>74</v>
      </c>
      <c r="AF117" t="s">
        <v>74</v>
      </c>
      <c r="AG117">
        <v>9</v>
      </c>
      <c r="AH117">
        <v>0</v>
      </c>
      <c r="AI117">
        <v>0</v>
      </c>
      <c r="AJ117">
        <v>0</v>
      </c>
      <c r="AK117">
        <v>10</v>
      </c>
      <c r="AL117" t="s">
        <v>289</v>
      </c>
      <c r="AM117" t="s">
        <v>290</v>
      </c>
      <c r="AN117" t="s">
        <v>291</v>
      </c>
      <c r="AO117" t="s">
        <v>1191</v>
      </c>
      <c r="AP117" t="s">
        <v>1192</v>
      </c>
      <c r="AQ117" t="s">
        <v>74</v>
      </c>
      <c r="AR117" t="s">
        <v>1193</v>
      </c>
      <c r="AS117" t="s">
        <v>1194</v>
      </c>
      <c r="AT117" t="s">
        <v>2485</v>
      </c>
      <c r="AU117">
        <v>2020</v>
      </c>
      <c r="AV117">
        <v>707</v>
      </c>
      <c r="AW117" t="s">
        <v>74</v>
      </c>
      <c r="AX117" t="s">
        <v>74</v>
      </c>
      <c r="AY117" t="s">
        <v>74</v>
      </c>
      <c r="AZ117" t="s">
        <v>74</v>
      </c>
      <c r="BA117" t="s">
        <v>74</v>
      </c>
      <c r="BB117" t="s">
        <v>74</v>
      </c>
      <c r="BC117" t="s">
        <v>74</v>
      </c>
      <c r="BD117">
        <v>135471</v>
      </c>
      <c r="BE117" t="s">
        <v>2563</v>
      </c>
      <c r="BF117" t="str">
        <f>HYPERLINK("http://dx.doi.org/10.1016/j.scitotenv.2019.135471","http://dx.doi.org/10.1016/j.scitotenv.2019.135471")</f>
        <v>http://dx.doi.org/10.1016/j.scitotenv.2019.135471</v>
      </c>
      <c r="BG117" t="s">
        <v>74</v>
      </c>
      <c r="BH117" t="s">
        <v>74</v>
      </c>
      <c r="BI117">
        <v>2</v>
      </c>
      <c r="BJ117" t="s">
        <v>1196</v>
      </c>
      <c r="BK117" t="s">
        <v>103</v>
      </c>
      <c r="BL117" t="s">
        <v>219</v>
      </c>
      <c r="BM117" t="s">
        <v>2564</v>
      </c>
      <c r="BN117">
        <v>31732182</v>
      </c>
      <c r="BO117" t="s">
        <v>74</v>
      </c>
      <c r="BP117" t="s">
        <v>74</v>
      </c>
      <c r="BQ117" t="s">
        <v>74</v>
      </c>
      <c r="BR117" t="s">
        <v>106</v>
      </c>
      <c r="BS117" t="s">
        <v>2565</v>
      </c>
      <c r="BT117" t="str">
        <f>HYPERLINK("https%3A%2F%2Fwww.webofscience.com%2Fwos%2Fwoscc%2Ffull-record%2FWOS:000507925700086","View Full Record in Web of Science")</f>
        <v>View Full Record in Web of Science</v>
      </c>
    </row>
    <row r="118" spans="1:72" x14ac:dyDescent="0.15">
      <c r="A118" t="s">
        <v>72</v>
      </c>
      <c r="B118" t="s">
        <v>2566</v>
      </c>
      <c r="C118" t="s">
        <v>74</v>
      </c>
      <c r="D118" t="s">
        <v>74</v>
      </c>
      <c r="E118" t="s">
        <v>74</v>
      </c>
      <c r="F118" t="s">
        <v>2567</v>
      </c>
      <c r="G118" t="s">
        <v>74</v>
      </c>
      <c r="H118" t="s">
        <v>74</v>
      </c>
      <c r="I118" t="s">
        <v>2568</v>
      </c>
      <c r="J118" t="s">
        <v>2569</v>
      </c>
      <c r="K118" t="s">
        <v>74</v>
      </c>
      <c r="L118" t="s">
        <v>74</v>
      </c>
      <c r="M118" t="s">
        <v>78</v>
      </c>
      <c r="N118" t="s">
        <v>79</v>
      </c>
      <c r="O118" t="s">
        <v>74</v>
      </c>
      <c r="P118" t="s">
        <v>74</v>
      </c>
      <c r="Q118" t="s">
        <v>74</v>
      </c>
      <c r="R118" t="s">
        <v>74</v>
      </c>
      <c r="S118" t="s">
        <v>74</v>
      </c>
      <c r="T118" t="s">
        <v>2570</v>
      </c>
      <c r="U118" t="s">
        <v>74</v>
      </c>
      <c r="V118" t="s">
        <v>2571</v>
      </c>
      <c r="W118" t="s">
        <v>2572</v>
      </c>
      <c r="X118" t="s">
        <v>2573</v>
      </c>
      <c r="Y118" t="s">
        <v>2574</v>
      </c>
      <c r="Z118" t="s">
        <v>2575</v>
      </c>
      <c r="AA118" t="s">
        <v>74</v>
      </c>
      <c r="AB118" t="s">
        <v>2576</v>
      </c>
      <c r="AC118" t="s">
        <v>2577</v>
      </c>
      <c r="AD118" t="s">
        <v>2578</v>
      </c>
      <c r="AE118" t="s">
        <v>2579</v>
      </c>
      <c r="AF118" t="s">
        <v>74</v>
      </c>
      <c r="AG118">
        <v>23</v>
      </c>
      <c r="AH118">
        <v>9</v>
      </c>
      <c r="AI118">
        <v>10</v>
      </c>
      <c r="AJ118">
        <v>4</v>
      </c>
      <c r="AK118">
        <v>28</v>
      </c>
      <c r="AL118" t="s">
        <v>2580</v>
      </c>
      <c r="AM118" t="s">
        <v>2581</v>
      </c>
      <c r="AN118" t="s">
        <v>2582</v>
      </c>
      <c r="AO118" t="s">
        <v>2583</v>
      </c>
      <c r="AP118" t="s">
        <v>2584</v>
      </c>
      <c r="AQ118" t="s">
        <v>74</v>
      </c>
      <c r="AR118" t="s">
        <v>2585</v>
      </c>
      <c r="AS118" t="s">
        <v>2586</v>
      </c>
      <c r="AT118" t="s">
        <v>2587</v>
      </c>
      <c r="AU118">
        <v>2020</v>
      </c>
      <c r="AV118">
        <v>6</v>
      </c>
      <c r="AW118">
        <v>1</v>
      </c>
      <c r="AX118" t="s">
        <v>74</v>
      </c>
      <c r="AY118" t="s">
        <v>74</v>
      </c>
      <c r="AZ118" t="s">
        <v>342</v>
      </c>
      <c r="BA118" t="s">
        <v>74</v>
      </c>
      <c r="BB118">
        <v>102</v>
      </c>
      <c r="BC118">
        <v>111</v>
      </c>
      <c r="BD118" t="s">
        <v>74</v>
      </c>
      <c r="BE118" t="s">
        <v>2588</v>
      </c>
      <c r="BF118" t="str">
        <f>HYPERLINK("http://dx.doi.org/10.1108/JTF-06-2019-0051","http://dx.doi.org/10.1108/JTF-06-2019-0051")</f>
        <v>http://dx.doi.org/10.1108/JTF-06-2019-0051</v>
      </c>
      <c r="BG118" t="s">
        <v>74</v>
      </c>
      <c r="BH118" t="s">
        <v>74</v>
      </c>
      <c r="BI118">
        <v>10</v>
      </c>
      <c r="BJ118" t="s">
        <v>2589</v>
      </c>
      <c r="BK118" t="s">
        <v>274</v>
      </c>
      <c r="BL118" t="s">
        <v>2590</v>
      </c>
      <c r="BM118" t="s">
        <v>2591</v>
      </c>
      <c r="BN118" t="s">
        <v>74</v>
      </c>
      <c r="BO118" t="s">
        <v>2592</v>
      </c>
      <c r="BP118" t="s">
        <v>74</v>
      </c>
      <c r="BQ118" t="s">
        <v>74</v>
      </c>
      <c r="BR118" t="s">
        <v>106</v>
      </c>
      <c r="BS118" t="s">
        <v>2593</v>
      </c>
      <c r="BT118" t="str">
        <f>HYPERLINK("https%3A%2F%2Fwww.webofscience.com%2Fwos%2Fwoscc%2Ffull-record%2FWOS:000584699900009","View Full Record in Web of Science")</f>
        <v>View Full Record in Web of Science</v>
      </c>
    </row>
    <row r="119" spans="1:72" x14ac:dyDescent="0.15">
      <c r="A119" t="s">
        <v>72</v>
      </c>
      <c r="B119" t="s">
        <v>2594</v>
      </c>
      <c r="C119" t="s">
        <v>74</v>
      </c>
      <c r="D119" t="s">
        <v>74</v>
      </c>
      <c r="E119" t="s">
        <v>74</v>
      </c>
      <c r="F119" t="s">
        <v>2595</v>
      </c>
      <c r="G119" t="s">
        <v>74</v>
      </c>
      <c r="H119" t="s">
        <v>74</v>
      </c>
      <c r="I119" t="s">
        <v>2596</v>
      </c>
      <c r="J119" t="s">
        <v>1291</v>
      </c>
      <c r="K119" t="s">
        <v>74</v>
      </c>
      <c r="L119" t="s">
        <v>74</v>
      </c>
      <c r="M119" t="s">
        <v>78</v>
      </c>
      <c r="N119" t="s">
        <v>79</v>
      </c>
      <c r="O119" t="s">
        <v>74</v>
      </c>
      <c r="P119" t="s">
        <v>74</v>
      </c>
      <c r="Q119" t="s">
        <v>74</v>
      </c>
      <c r="R119" t="s">
        <v>74</v>
      </c>
      <c r="S119" t="s">
        <v>74</v>
      </c>
      <c r="T119" t="s">
        <v>74</v>
      </c>
      <c r="U119" t="s">
        <v>2597</v>
      </c>
      <c r="V119" t="s">
        <v>2598</v>
      </c>
      <c r="W119" t="s">
        <v>2599</v>
      </c>
      <c r="X119" t="s">
        <v>2600</v>
      </c>
      <c r="Y119" t="s">
        <v>2601</v>
      </c>
      <c r="Z119" t="s">
        <v>2602</v>
      </c>
      <c r="AA119" t="s">
        <v>2603</v>
      </c>
      <c r="AB119" t="s">
        <v>2604</v>
      </c>
      <c r="AC119" t="s">
        <v>2605</v>
      </c>
      <c r="AD119" t="s">
        <v>2606</v>
      </c>
      <c r="AE119" t="s">
        <v>2607</v>
      </c>
      <c r="AF119" t="s">
        <v>74</v>
      </c>
      <c r="AG119">
        <v>116</v>
      </c>
      <c r="AH119">
        <v>7</v>
      </c>
      <c r="AI119">
        <v>8</v>
      </c>
      <c r="AJ119">
        <v>3</v>
      </c>
      <c r="AK119">
        <v>8</v>
      </c>
      <c r="AL119" t="s">
        <v>976</v>
      </c>
      <c r="AM119" t="s">
        <v>977</v>
      </c>
      <c r="AN119" t="s">
        <v>978</v>
      </c>
      <c r="AO119" t="s">
        <v>1303</v>
      </c>
      <c r="AP119" t="s">
        <v>1304</v>
      </c>
      <c r="AQ119" t="s">
        <v>74</v>
      </c>
      <c r="AR119" t="s">
        <v>1291</v>
      </c>
      <c r="AS119" t="s">
        <v>1305</v>
      </c>
      <c r="AT119" t="s">
        <v>2587</v>
      </c>
      <c r="AU119">
        <v>2020</v>
      </c>
      <c r="AV119">
        <v>14</v>
      </c>
      <c r="AW119">
        <v>3</v>
      </c>
      <c r="AX119" t="s">
        <v>74</v>
      </c>
      <c r="AY119" t="s">
        <v>74</v>
      </c>
      <c r="AZ119" t="s">
        <v>74</v>
      </c>
      <c r="BA119" t="s">
        <v>74</v>
      </c>
      <c r="BB119">
        <v>881</v>
      </c>
      <c r="BC119">
        <v>904</v>
      </c>
      <c r="BD119" t="s">
        <v>74</v>
      </c>
      <c r="BE119" t="s">
        <v>2608</v>
      </c>
      <c r="BF119" t="str">
        <f>HYPERLINK("http://dx.doi.org/10.5194/tc-14-881-2020","http://dx.doi.org/10.5194/tc-14-881-2020")</f>
        <v>http://dx.doi.org/10.5194/tc-14-881-2020</v>
      </c>
      <c r="BG119" t="s">
        <v>74</v>
      </c>
      <c r="BH119" t="s">
        <v>74</v>
      </c>
      <c r="BI119">
        <v>24</v>
      </c>
      <c r="BJ119" t="s">
        <v>1307</v>
      </c>
      <c r="BK119" t="s">
        <v>103</v>
      </c>
      <c r="BL119" t="s">
        <v>1308</v>
      </c>
      <c r="BM119" t="s">
        <v>2609</v>
      </c>
      <c r="BN119" t="s">
        <v>74</v>
      </c>
      <c r="BO119" t="s">
        <v>1310</v>
      </c>
      <c r="BP119" t="s">
        <v>74</v>
      </c>
      <c r="BQ119" t="s">
        <v>74</v>
      </c>
      <c r="BR119" t="s">
        <v>106</v>
      </c>
      <c r="BS119" t="s">
        <v>2610</v>
      </c>
      <c r="BT119" t="str">
        <f>HYPERLINK("https%3A%2F%2Fwww.webofscience.com%2Fwos%2Fwoscc%2Ffull-record%2FWOS:000519704900001","View Full Record in Web of Science")</f>
        <v>View Full Record in Web of Science</v>
      </c>
    </row>
    <row r="120" spans="1:72" x14ac:dyDescent="0.15">
      <c r="A120" t="s">
        <v>72</v>
      </c>
      <c r="B120" t="s">
        <v>2611</v>
      </c>
      <c r="C120" t="s">
        <v>74</v>
      </c>
      <c r="D120" t="s">
        <v>74</v>
      </c>
      <c r="E120" t="s">
        <v>74</v>
      </c>
      <c r="F120" t="s">
        <v>2612</v>
      </c>
      <c r="G120" t="s">
        <v>74</v>
      </c>
      <c r="H120" t="s">
        <v>74</v>
      </c>
      <c r="I120" t="s">
        <v>2613</v>
      </c>
      <c r="J120" t="s">
        <v>2614</v>
      </c>
      <c r="K120" t="s">
        <v>74</v>
      </c>
      <c r="L120" t="s">
        <v>74</v>
      </c>
      <c r="M120" t="s">
        <v>78</v>
      </c>
      <c r="N120" t="s">
        <v>79</v>
      </c>
      <c r="O120" t="s">
        <v>74</v>
      </c>
      <c r="P120" t="s">
        <v>74</v>
      </c>
      <c r="Q120" t="s">
        <v>74</v>
      </c>
      <c r="R120" t="s">
        <v>74</v>
      </c>
      <c r="S120" t="s">
        <v>74</v>
      </c>
      <c r="T120" t="s">
        <v>2615</v>
      </c>
      <c r="U120" t="s">
        <v>2616</v>
      </c>
      <c r="V120" t="s">
        <v>2617</v>
      </c>
      <c r="W120" t="s">
        <v>2618</v>
      </c>
      <c r="X120" t="s">
        <v>2619</v>
      </c>
      <c r="Y120" t="s">
        <v>2620</v>
      </c>
      <c r="Z120" t="s">
        <v>2621</v>
      </c>
      <c r="AA120" t="s">
        <v>2622</v>
      </c>
      <c r="AB120" t="s">
        <v>2623</v>
      </c>
      <c r="AC120" t="s">
        <v>2624</v>
      </c>
      <c r="AD120" t="s">
        <v>2625</v>
      </c>
      <c r="AE120" t="s">
        <v>2626</v>
      </c>
      <c r="AF120" t="s">
        <v>74</v>
      </c>
      <c r="AG120">
        <v>206</v>
      </c>
      <c r="AH120">
        <v>10</v>
      </c>
      <c r="AI120">
        <v>12</v>
      </c>
      <c r="AJ120">
        <v>0</v>
      </c>
      <c r="AK120">
        <v>7</v>
      </c>
      <c r="AL120" t="s">
        <v>2627</v>
      </c>
      <c r="AM120" t="s">
        <v>2628</v>
      </c>
      <c r="AN120" t="s">
        <v>2629</v>
      </c>
      <c r="AO120" t="s">
        <v>2630</v>
      </c>
      <c r="AP120" t="s">
        <v>2631</v>
      </c>
      <c r="AQ120" t="s">
        <v>74</v>
      </c>
      <c r="AR120" t="s">
        <v>2632</v>
      </c>
      <c r="AS120" t="s">
        <v>2633</v>
      </c>
      <c r="AT120" t="s">
        <v>2634</v>
      </c>
      <c r="AU120">
        <v>2021</v>
      </c>
      <c r="AV120">
        <v>56</v>
      </c>
      <c r="AW120">
        <v>1</v>
      </c>
      <c r="AX120" t="s">
        <v>74</v>
      </c>
      <c r="AY120" t="s">
        <v>74</v>
      </c>
      <c r="AZ120" t="s">
        <v>74</v>
      </c>
      <c r="BA120" t="s">
        <v>74</v>
      </c>
      <c r="BB120">
        <v>53</v>
      </c>
      <c r="BC120">
        <v>77</v>
      </c>
      <c r="BD120" t="s">
        <v>74</v>
      </c>
      <c r="BE120" t="s">
        <v>2635</v>
      </c>
      <c r="BF120" t="str">
        <f>HYPERLINK("http://dx.doi.org/10.1080/01650521.2020.1728879","http://dx.doi.org/10.1080/01650521.2020.1728879")</f>
        <v>http://dx.doi.org/10.1080/01650521.2020.1728879</v>
      </c>
      <c r="BG120" t="s">
        <v>74</v>
      </c>
      <c r="BH120" t="s">
        <v>692</v>
      </c>
      <c r="BI120">
        <v>25</v>
      </c>
      <c r="BJ120" t="s">
        <v>2510</v>
      </c>
      <c r="BK120" t="s">
        <v>103</v>
      </c>
      <c r="BL120" t="s">
        <v>2510</v>
      </c>
      <c r="BM120" t="s">
        <v>2636</v>
      </c>
      <c r="BN120" t="s">
        <v>74</v>
      </c>
      <c r="BO120" t="s">
        <v>74</v>
      </c>
      <c r="BP120" t="s">
        <v>74</v>
      </c>
      <c r="BQ120" t="s">
        <v>74</v>
      </c>
      <c r="BR120" t="s">
        <v>106</v>
      </c>
      <c r="BS120" t="s">
        <v>2637</v>
      </c>
      <c r="BT120" t="str">
        <f>HYPERLINK("https%3A%2F%2Fwww.webofscience.com%2Fwos%2Fwoscc%2Ffull-record%2FWOS:000518716200001","View Full Record in Web of Science")</f>
        <v>View Full Record in Web of Science</v>
      </c>
    </row>
    <row r="121" spans="1:72" x14ac:dyDescent="0.15">
      <c r="A121" t="s">
        <v>72</v>
      </c>
      <c r="B121" t="s">
        <v>2638</v>
      </c>
      <c r="C121" t="s">
        <v>74</v>
      </c>
      <c r="D121" t="s">
        <v>74</v>
      </c>
      <c r="E121" t="s">
        <v>74</v>
      </c>
      <c r="F121" t="s">
        <v>2639</v>
      </c>
      <c r="G121" t="s">
        <v>74</v>
      </c>
      <c r="H121" t="s">
        <v>74</v>
      </c>
      <c r="I121" t="s">
        <v>2640</v>
      </c>
      <c r="J121" t="s">
        <v>1291</v>
      </c>
      <c r="K121" t="s">
        <v>74</v>
      </c>
      <c r="L121" t="s">
        <v>74</v>
      </c>
      <c r="M121" t="s">
        <v>78</v>
      </c>
      <c r="N121" t="s">
        <v>79</v>
      </c>
      <c r="O121" t="s">
        <v>74</v>
      </c>
      <c r="P121" t="s">
        <v>74</v>
      </c>
      <c r="Q121" t="s">
        <v>74</v>
      </c>
      <c r="R121" t="s">
        <v>74</v>
      </c>
      <c r="S121" t="s">
        <v>74</v>
      </c>
      <c r="T121" t="s">
        <v>74</v>
      </c>
      <c r="U121" t="s">
        <v>2641</v>
      </c>
      <c r="V121" t="s">
        <v>2642</v>
      </c>
      <c r="W121" t="s">
        <v>2643</v>
      </c>
      <c r="X121" t="s">
        <v>2644</v>
      </c>
      <c r="Y121" t="s">
        <v>2645</v>
      </c>
      <c r="Z121" t="s">
        <v>2646</v>
      </c>
      <c r="AA121" t="s">
        <v>2647</v>
      </c>
      <c r="AB121" t="s">
        <v>2648</v>
      </c>
      <c r="AC121" t="s">
        <v>2649</v>
      </c>
      <c r="AD121" t="s">
        <v>2650</v>
      </c>
      <c r="AE121" t="s">
        <v>2651</v>
      </c>
      <c r="AF121" t="s">
        <v>74</v>
      </c>
      <c r="AG121">
        <v>70</v>
      </c>
      <c r="AH121">
        <v>57</v>
      </c>
      <c r="AI121">
        <v>61</v>
      </c>
      <c r="AJ121">
        <v>1</v>
      </c>
      <c r="AK121">
        <v>14</v>
      </c>
      <c r="AL121" t="s">
        <v>976</v>
      </c>
      <c r="AM121" t="s">
        <v>977</v>
      </c>
      <c r="AN121" t="s">
        <v>978</v>
      </c>
      <c r="AO121" t="s">
        <v>1303</v>
      </c>
      <c r="AP121" t="s">
        <v>1304</v>
      </c>
      <c r="AQ121" t="s">
        <v>74</v>
      </c>
      <c r="AR121" t="s">
        <v>1291</v>
      </c>
      <c r="AS121" t="s">
        <v>1305</v>
      </c>
      <c r="AT121" t="s">
        <v>2652</v>
      </c>
      <c r="AU121">
        <v>2020</v>
      </c>
      <c r="AV121">
        <v>14</v>
      </c>
      <c r="AW121">
        <v>3</v>
      </c>
      <c r="AX121" t="s">
        <v>74</v>
      </c>
      <c r="AY121" t="s">
        <v>74</v>
      </c>
      <c r="AZ121" t="s">
        <v>74</v>
      </c>
      <c r="BA121" t="s">
        <v>74</v>
      </c>
      <c r="BB121">
        <v>855</v>
      </c>
      <c r="BC121">
        <v>879</v>
      </c>
      <c r="BD121" t="s">
        <v>74</v>
      </c>
      <c r="BE121" t="s">
        <v>2653</v>
      </c>
      <c r="BF121" t="str">
        <f>HYPERLINK("http://dx.doi.org/10.5194/tc-14-855-2020","http://dx.doi.org/10.5194/tc-14-855-2020")</f>
        <v>http://dx.doi.org/10.5194/tc-14-855-2020</v>
      </c>
      <c r="BG121" t="s">
        <v>74</v>
      </c>
      <c r="BH121" t="s">
        <v>74</v>
      </c>
      <c r="BI121">
        <v>25</v>
      </c>
      <c r="BJ121" t="s">
        <v>1307</v>
      </c>
      <c r="BK121" t="s">
        <v>103</v>
      </c>
      <c r="BL121" t="s">
        <v>1308</v>
      </c>
      <c r="BM121" t="s">
        <v>2654</v>
      </c>
      <c r="BN121" t="s">
        <v>74</v>
      </c>
      <c r="BO121" t="s">
        <v>2655</v>
      </c>
      <c r="BP121" t="s">
        <v>74</v>
      </c>
      <c r="BQ121" t="s">
        <v>74</v>
      </c>
      <c r="BR121" t="s">
        <v>106</v>
      </c>
      <c r="BS121" t="s">
        <v>2656</v>
      </c>
      <c r="BT121" t="str">
        <f>HYPERLINK("https%3A%2F%2Fwww.webofscience.com%2Fwos%2Fwoscc%2Ffull-record%2FWOS:000518837500001","View Full Record in Web of Science")</f>
        <v>View Full Record in Web of Science</v>
      </c>
    </row>
    <row r="122" spans="1:72" x14ac:dyDescent="0.15">
      <c r="A122" t="s">
        <v>72</v>
      </c>
      <c r="B122" t="s">
        <v>2657</v>
      </c>
      <c r="C122" t="s">
        <v>74</v>
      </c>
      <c r="D122" t="s">
        <v>74</v>
      </c>
      <c r="E122" t="s">
        <v>74</v>
      </c>
      <c r="F122" t="s">
        <v>2658</v>
      </c>
      <c r="G122" t="s">
        <v>74</v>
      </c>
      <c r="H122" t="s">
        <v>74</v>
      </c>
      <c r="I122" t="s">
        <v>2659</v>
      </c>
      <c r="J122" t="s">
        <v>1339</v>
      </c>
      <c r="K122" t="s">
        <v>74</v>
      </c>
      <c r="L122" t="s">
        <v>74</v>
      </c>
      <c r="M122" t="s">
        <v>78</v>
      </c>
      <c r="N122" t="s">
        <v>79</v>
      </c>
      <c r="O122" t="s">
        <v>74</v>
      </c>
      <c r="P122" t="s">
        <v>74</v>
      </c>
      <c r="Q122" t="s">
        <v>74</v>
      </c>
      <c r="R122" t="s">
        <v>74</v>
      </c>
      <c r="S122" t="s">
        <v>74</v>
      </c>
      <c r="T122" t="s">
        <v>2660</v>
      </c>
      <c r="U122" t="s">
        <v>2661</v>
      </c>
      <c r="V122" t="s">
        <v>2662</v>
      </c>
      <c r="W122" t="s">
        <v>2663</v>
      </c>
      <c r="X122" t="s">
        <v>2664</v>
      </c>
      <c r="Y122" t="s">
        <v>2665</v>
      </c>
      <c r="Z122" t="s">
        <v>2666</v>
      </c>
      <c r="AA122" t="s">
        <v>2667</v>
      </c>
      <c r="AB122" t="s">
        <v>2668</v>
      </c>
      <c r="AC122" t="s">
        <v>2669</v>
      </c>
      <c r="AD122" t="s">
        <v>2670</v>
      </c>
      <c r="AE122" t="s">
        <v>2671</v>
      </c>
      <c r="AF122" t="s">
        <v>74</v>
      </c>
      <c r="AG122">
        <v>70</v>
      </c>
      <c r="AH122">
        <v>12</v>
      </c>
      <c r="AI122">
        <v>12</v>
      </c>
      <c r="AJ122">
        <v>0</v>
      </c>
      <c r="AK122">
        <v>21</v>
      </c>
      <c r="AL122" t="s">
        <v>658</v>
      </c>
      <c r="AM122" t="s">
        <v>659</v>
      </c>
      <c r="AN122" t="s">
        <v>660</v>
      </c>
      <c r="AO122" t="s">
        <v>74</v>
      </c>
      <c r="AP122" t="s">
        <v>1352</v>
      </c>
      <c r="AQ122" t="s">
        <v>74</v>
      </c>
      <c r="AR122" t="s">
        <v>1353</v>
      </c>
      <c r="AS122" t="s">
        <v>1354</v>
      </c>
      <c r="AT122" t="s">
        <v>2652</v>
      </c>
      <c r="AU122">
        <v>2020</v>
      </c>
      <c r="AV122">
        <v>7</v>
      </c>
      <c r="AW122" t="s">
        <v>74</v>
      </c>
      <c r="AX122" t="s">
        <v>74</v>
      </c>
      <c r="AY122" t="s">
        <v>74</v>
      </c>
      <c r="AZ122" t="s">
        <v>74</v>
      </c>
      <c r="BA122" t="s">
        <v>74</v>
      </c>
      <c r="BB122" t="s">
        <v>74</v>
      </c>
      <c r="BC122" t="s">
        <v>74</v>
      </c>
      <c r="BD122">
        <v>97</v>
      </c>
      <c r="BE122" t="s">
        <v>2672</v>
      </c>
      <c r="BF122" t="str">
        <f>HYPERLINK("http://dx.doi.org/10.3389/fmars.2020.00097","http://dx.doi.org/10.3389/fmars.2020.00097")</f>
        <v>http://dx.doi.org/10.3389/fmars.2020.00097</v>
      </c>
      <c r="BG122" t="s">
        <v>74</v>
      </c>
      <c r="BH122" t="s">
        <v>74</v>
      </c>
      <c r="BI122">
        <v>22</v>
      </c>
      <c r="BJ122" t="s">
        <v>1356</v>
      </c>
      <c r="BK122" t="s">
        <v>1149</v>
      </c>
      <c r="BL122" t="s">
        <v>1357</v>
      </c>
      <c r="BM122" t="s">
        <v>2673</v>
      </c>
      <c r="BN122" t="s">
        <v>74</v>
      </c>
      <c r="BO122" t="s">
        <v>2074</v>
      </c>
      <c r="BP122" t="s">
        <v>74</v>
      </c>
      <c r="BQ122" t="s">
        <v>74</v>
      </c>
      <c r="BR122" t="s">
        <v>106</v>
      </c>
      <c r="BS122" t="s">
        <v>2674</v>
      </c>
      <c r="BT122" t="str">
        <f>HYPERLINK("https%3A%2F%2Fwww.webofscience.com%2Fwos%2Fwoscc%2Ffull-record%2FWOS:000518631800001","View Full Record in Web of Science")</f>
        <v>View Full Record in Web of Science</v>
      </c>
    </row>
    <row r="123" spans="1:72" x14ac:dyDescent="0.15">
      <c r="A123" t="s">
        <v>72</v>
      </c>
      <c r="B123" t="s">
        <v>2675</v>
      </c>
      <c r="C123" t="s">
        <v>74</v>
      </c>
      <c r="D123" t="s">
        <v>74</v>
      </c>
      <c r="E123" t="s">
        <v>74</v>
      </c>
      <c r="F123" t="s">
        <v>2676</v>
      </c>
      <c r="G123" t="s">
        <v>74</v>
      </c>
      <c r="H123" t="s">
        <v>74</v>
      </c>
      <c r="I123" t="s">
        <v>2677</v>
      </c>
      <c r="J123" t="s">
        <v>1291</v>
      </c>
      <c r="K123" t="s">
        <v>74</v>
      </c>
      <c r="L123" t="s">
        <v>74</v>
      </c>
      <c r="M123" t="s">
        <v>78</v>
      </c>
      <c r="N123" t="s">
        <v>79</v>
      </c>
      <c r="O123" t="s">
        <v>74</v>
      </c>
      <c r="P123" t="s">
        <v>74</v>
      </c>
      <c r="Q123" t="s">
        <v>74</v>
      </c>
      <c r="R123" t="s">
        <v>74</v>
      </c>
      <c r="S123" t="s">
        <v>74</v>
      </c>
      <c r="T123" t="s">
        <v>74</v>
      </c>
      <c r="U123" t="s">
        <v>2678</v>
      </c>
      <c r="V123" t="s">
        <v>2679</v>
      </c>
      <c r="W123" t="s">
        <v>2680</v>
      </c>
      <c r="X123" t="s">
        <v>2681</v>
      </c>
      <c r="Y123" t="s">
        <v>2682</v>
      </c>
      <c r="Z123" t="s">
        <v>2683</v>
      </c>
      <c r="AA123" t="s">
        <v>2684</v>
      </c>
      <c r="AB123" t="s">
        <v>2685</v>
      </c>
      <c r="AC123" t="s">
        <v>2686</v>
      </c>
      <c r="AD123" t="s">
        <v>2687</v>
      </c>
      <c r="AE123" t="s">
        <v>2688</v>
      </c>
      <c r="AF123" t="s">
        <v>74</v>
      </c>
      <c r="AG123">
        <v>57</v>
      </c>
      <c r="AH123">
        <v>7</v>
      </c>
      <c r="AI123">
        <v>7</v>
      </c>
      <c r="AJ123">
        <v>1</v>
      </c>
      <c r="AK123">
        <v>6</v>
      </c>
      <c r="AL123" t="s">
        <v>976</v>
      </c>
      <c r="AM123" t="s">
        <v>977</v>
      </c>
      <c r="AN123" t="s">
        <v>978</v>
      </c>
      <c r="AO123" t="s">
        <v>1303</v>
      </c>
      <c r="AP123" t="s">
        <v>1304</v>
      </c>
      <c r="AQ123" t="s">
        <v>74</v>
      </c>
      <c r="AR123" t="s">
        <v>1291</v>
      </c>
      <c r="AS123" t="s">
        <v>1305</v>
      </c>
      <c r="AT123" t="s">
        <v>2689</v>
      </c>
      <c r="AU123">
        <v>2020</v>
      </c>
      <c r="AV123">
        <v>14</v>
      </c>
      <c r="AW123">
        <v>3</v>
      </c>
      <c r="AX123" t="s">
        <v>74</v>
      </c>
      <c r="AY123" t="s">
        <v>74</v>
      </c>
      <c r="AZ123" t="s">
        <v>74</v>
      </c>
      <c r="BA123" t="s">
        <v>74</v>
      </c>
      <c r="BB123">
        <v>789</v>
      </c>
      <c r="BC123">
        <v>809</v>
      </c>
      <c r="BD123" t="s">
        <v>74</v>
      </c>
      <c r="BE123" t="s">
        <v>2690</v>
      </c>
      <c r="BF123" t="str">
        <f>HYPERLINK("http://dx.doi.org/10.5194/tc-14-789-2020","http://dx.doi.org/10.5194/tc-14-789-2020")</f>
        <v>http://dx.doi.org/10.5194/tc-14-789-2020</v>
      </c>
      <c r="BG123" t="s">
        <v>74</v>
      </c>
      <c r="BH123" t="s">
        <v>74</v>
      </c>
      <c r="BI123">
        <v>21</v>
      </c>
      <c r="BJ123" t="s">
        <v>1307</v>
      </c>
      <c r="BK123" t="s">
        <v>103</v>
      </c>
      <c r="BL123" t="s">
        <v>1308</v>
      </c>
      <c r="BM123" t="s">
        <v>2691</v>
      </c>
      <c r="BN123" t="s">
        <v>74</v>
      </c>
      <c r="BO123" t="s">
        <v>1310</v>
      </c>
      <c r="BP123" t="s">
        <v>74</v>
      </c>
      <c r="BQ123" t="s">
        <v>74</v>
      </c>
      <c r="BR123" t="s">
        <v>106</v>
      </c>
      <c r="BS123" t="s">
        <v>2692</v>
      </c>
      <c r="BT123" t="str">
        <f>HYPERLINK("https%3A%2F%2Fwww.webofscience.com%2Fwos%2Fwoscc%2Ffull-record%2FWOS:000518817900001","View Full Record in Web of Science")</f>
        <v>View Full Record in Web of Science</v>
      </c>
    </row>
    <row r="124" spans="1:72" x14ac:dyDescent="0.15">
      <c r="A124" t="s">
        <v>72</v>
      </c>
      <c r="B124" t="s">
        <v>2693</v>
      </c>
      <c r="C124" t="s">
        <v>74</v>
      </c>
      <c r="D124" t="s">
        <v>74</v>
      </c>
      <c r="E124" t="s">
        <v>74</v>
      </c>
      <c r="F124" t="s">
        <v>2694</v>
      </c>
      <c r="G124" t="s">
        <v>74</v>
      </c>
      <c r="H124" t="s">
        <v>74</v>
      </c>
      <c r="I124" t="s">
        <v>2695</v>
      </c>
      <c r="J124" t="s">
        <v>1291</v>
      </c>
      <c r="K124" t="s">
        <v>74</v>
      </c>
      <c r="L124" t="s">
        <v>74</v>
      </c>
      <c r="M124" t="s">
        <v>78</v>
      </c>
      <c r="N124" t="s">
        <v>79</v>
      </c>
      <c r="O124" t="s">
        <v>74</v>
      </c>
      <c r="P124" t="s">
        <v>74</v>
      </c>
      <c r="Q124" t="s">
        <v>74</v>
      </c>
      <c r="R124" t="s">
        <v>74</v>
      </c>
      <c r="S124" t="s">
        <v>74</v>
      </c>
      <c r="T124" t="s">
        <v>74</v>
      </c>
      <c r="U124" t="s">
        <v>2696</v>
      </c>
      <c r="V124" t="s">
        <v>2697</v>
      </c>
      <c r="W124" t="s">
        <v>2698</v>
      </c>
      <c r="X124" t="s">
        <v>2699</v>
      </c>
      <c r="Y124" t="s">
        <v>2700</v>
      </c>
      <c r="Z124" t="s">
        <v>2701</v>
      </c>
      <c r="AA124" t="s">
        <v>74</v>
      </c>
      <c r="AB124" t="s">
        <v>74</v>
      </c>
      <c r="AC124" t="s">
        <v>2702</v>
      </c>
      <c r="AD124" t="s">
        <v>2703</v>
      </c>
      <c r="AE124" t="s">
        <v>2704</v>
      </c>
      <c r="AF124" t="s">
        <v>74</v>
      </c>
      <c r="AG124">
        <v>97</v>
      </c>
      <c r="AH124">
        <v>13</v>
      </c>
      <c r="AI124">
        <v>13</v>
      </c>
      <c r="AJ124">
        <v>0</v>
      </c>
      <c r="AK124">
        <v>0</v>
      </c>
      <c r="AL124" t="s">
        <v>976</v>
      </c>
      <c r="AM124" t="s">
        <v>977</v>
      </c>
      <c r="AN124" t="s">
        <v>978</v>
      </c>
      <c r="AO124" t="s">
        <v>1303</v>
      </c>
      <c r="AP124" t="s">
        <v>1304</v>
      </c>
      <c r="AQ124" t="s">
        <v>74</v>
      </c>
      <c r="AR124" t="s">
        <v>1291</v>
      </c>
      <c r="AS124" t="s">
        <v>1305</v>
      </c>
      <c r="AT124" t="s">
        <v>2689</v>
      </c>
      <c r="AU124">
        <v>2020</v>
      </c>
      <c r="AV124">
        <v>14</v>
      </c>
      <c r="AW124">
        <v>3</v>
      </c>
      <c r="AX124" t="s">
        <v>74</v>
      </c>
      <c r="AY124" t="s">
        <v>74</v>
      </c>
      <c r="AZ124" t="s">
        <v>74</v>
      </c>
      <c r="BA124" t="s">
        <v>74</v>
      </c>
      <c r="BB124">
        <v>811</v>
      </c>
      <c r="BC124">
        <v>832</v>
      </c>
      <c r="BD124" t="s">
        <v>74</v>
      </c>
      <c r="BE124" t="s">
        <v>2705</v>
      </c>
      <c r="BF124" t="str">
        <f>HYPERLINK("http://dx.doi.org/10.5194/tc-14-811-2020","http://dx.doi.org/10.5194/tc-14-811-2020")</f>
        <v>http://dx.doi.org/10.5194/tc-14-811-2020</v>
      </c>
      <c r="BG124" t="s">
        <v>74</v>
      </c>
      <c r="BH124" t="s">
        <v>74</v>
      </c>
      <c r="BI124">
        <v>22</v>
      </c>
      <c r="BJ124" t="s">
        <v>1307</v>
      </c>
      <c r="BK124" t="s">
        <v>103</v>
      </c>
      <c r="BL124" t="s">
        <v>1308</v>
      </c>
      <c r="BM124" t="s">
        <v>2691</v>
      </c>
      <c r="BN124" t="s">
        <v>74</v>
      </c>
      <c r="BO124" t="s">
        <v>1310</v>
      </c>
      <c r="BP124" t="s">
        <v>74</v>
      </c>
      <c r="BQ124" t="s">
        <v>74</v>
      </c>
      <c r="BR124" t="s">
        <v>106</v>
      </c>
      <c r="BS124" t="s">
        <v>2706</v>
      </c>
      <c r="BT124" t="str">
        <f>HYPERLINK("https%3A%2F%2Fwww.webofscience.com%2Fwos%2Fwoscc%2Ffull-record%2FWOS:000518817900002","View Full Record in Web of Science")</f>
        <v>View Full Record in Web of Science</v>
      </c>
    </row>
    <row r="125" spans="1:72" x14ac:dyDescent="0.15">
      <c r="A125" t="s">
        <v>72</v>
      </c>
      <c r="B125" t="s">
        <v>2707</v>
      </c>
      <c r="C125" t="s">
        <v>74</v>
      </c>
      <c r="D125" t="s">
        <v>74</v>
      </c>
      <c r="E125" t="s">
        <v>74</v>
      </c>
      <c r="F125" t="s">
        <v>2708</v>
      </c>
      <c r="G125" t="s">
        <v>74</v>
      </c>
      <c r="H125" t="s">
        <v>74</v>
      </c>
      <c r="I125" t="s">
        <v>2709</v>
      </c>
      <c r="J125" t="s">
        <v>2710</v>
      </c>
      <c r="K125" t="s">
        <v>74</v>
      </c>
      <c r="L125" t="s">
        <v>74</v>
      </c>
      <c r="M125" t="s">
        <v>78</v>
      </c>
      <c r="N125" t="s">
        <v>79</v>
      </c>
      <c r="O125" t="s">
        <v>74</v>
      </c>
      <c r="P125" t="s">
        <v>74</v>
      </c>
      <c r="Q125" t="s">
        <v>74</v>
      </c>
      <c r="R125" t="s">
        <v>74</v>
      </c>
      <c r="S125" t="s">
        <v>74</v>
      </c>
      <c r="T125" t="s">
        <v>2711</v>
      </c>
      <c r="U125" t="s">
        <v>2712</v>
      </c>
      <c r="V125" t="s">
        <v>2713</v>
      </c>
      <c r="W125" t="s">
        <v>2714</v>
      </c>
      <c r="X125" t="s">
        <v>2715</v>
      </c>
      <c r="Y125" t="s">
        <v>2716</v>
      </c>
      <c r="Z125" t="s">
        <v>2717</v>
      </c>
      <c r="AA125" t="s">
        <v>2718</v>
      </c>
      <c r="AB125" t="s">
        <v>2719</v>
      </c>
      <c r="AC125" t="s">
        <v>2720</v>
      </c>
      <c r="AD125" t="s">
        <v>2721</v>
      </c>
      <c r="AE125" t="s">
        <v>2722</v>
      </c>
      <c r="AF125" t="s">
        <v>74</v>
      </c>
      <c r="AG125">
        <v>58</v>
      </c>
      <c r="AH125">
        <v>19</v>
      </c>
      <c r="AI125">
        <v>21</v>
      </c>
      <c r="AJ125">
        <v>3</v>
      </c>
      <c r="AK125">
        <v>21</v>
      </c>
      <c r="AL125" t="s">
        <v>2723</v>
      </c>
      <c r="AM125" t="s">
        <v>2724</v>
      </c>
      <c r="AN125" t="s">
        <v>2725</v>
      </c>
      <c r="AO125" t="s">
        <v>2726</v>
      </c>
      <c r="AP125" t="s">
        <v>74</v>
      </c>
      <c r="AQ125" t="s">
        <v>74</v>
      </c>
      <c r="AR125" t="s">
        <v>2710</v>
      </c>
      <c r="AS125" t="s">
        <v>2727</v>
      </c>
      <c r="AT125" t="s">
        <v>2689</v>
      </c>
      <c r="AU125">
        <v>2020</v>
      </c>
      <c r="AV125">
        <v>5</v>
      </c>
      <c r="AW125" t="s">
        <v>74</v>
      </c>
      <c r="AX125" t="s">
        <v>74</v>
      </c>
      <c r="AY125" t="s">
        <v>74</v>
      </c>
      <c r="AZ125" t="s">
        <v>74</v>
      </c>
      <c r="BA125" t="s">
        <v>74</v>
      </c>
      <c r="BB125">
        <v>105</v>
      </c>
      <c r="BC125">
        <v>122</v>
      </c>
      <c r="BD125" t="s">
        <v>74</v>
      </c>
      <c r="BE125" t="s">
        <v>2728</v>
      </c>
      <c r="BF125" t="str">
        <f>HYPERLINK("http://dx.doi.org/10.1139/facets-2019-0035","http://dx.doi.org/10.1139/facets-2019-0035")</f>
        <v>http://dx.doi.org/10.1139/facets-2019-0035</v>
      </c>
      <c r="BG125" t="s">
        <v>74</v>
      </c>
      <c r="BH125" t="s">
        <v>74</v>
      </c>
      <c r="BI125">
        <v>18</v>
      </c>
      <c r="BJ125" t="s">
        <v>322</v>
      </c>
      <c r="BK125" t="s">
        <v>103</v>
      </c>
      <c r="BL125" t="s">
        <v>323</v>
      </c>
      <c r="BM125" t="s">
        <v>2729</v>
      </c>
      <c r="BN125" t="s">
        <v>74</v>
      </c>
      <c r="BO125" t="s">
        <v>1257</v>
      </c>
      <c r="BP125" t="s">
        <v>74</v>
      </c>
      <c r="BQ125" t="s">
        <v>74</v>
      </c>
      <c r="BR125" t="s">
        <v>106</v>
      </c>
      <c r="BS125" t="s">
        <v>2730</v>
      </c>
      <c r="BT125" t="str">
        <f>HYPERLINK("https%3A%2F%2Fwww.webofscience.com%2Fwos%2Fwoscc%2Ffull-record%2FWOS:000518822800001","View Full Record in Web of Science")</f>
        <v>View Full Record in Web of Science</v>
      </c>
    </row>
    <row r="126" spans="1:72" x14ac:dyDescent="0.15">
      <c r="A126" t="s">
        <v>72</v>
      </c>
      <c r="B126" t="s">
        <v>2731</v>
      </c>
      <c r="C126" t="s">
        <v>74</v>
      </c>
      <c r="D126" t="s">
        <v>74</v>
      </c>
      <c r="E126" t="s">
        <v>74</v>
      </c>
      <c r="F126" t="s">
        <v>2732</v>
      </c>
      <c r="G126" t="s">
        <v>74</v>
      </c>
      <c r="H126" t="s">
        <v>74</v>
      </c>
      <c r="I126" t="s">
        <v>2733</v>
      </c>
      <c r="J126" t="s">
        <v>2734</v>
      </c>
      <c r="K126" t="s">
        <v>74</v>
      </c>
      <c r="L126" t="s">
        <v>74</v>
      </c>
      <c r="M126" t="s">
        <v>78</v>
      </c>
      <c r="N126" t="s">
        <v>79</v>
      </c>
      <c r="O126" t="s">
        <v>74</v>
      </c>
      <c r="P126" t="s">
        <v>74</v>
      </c>
      <c r="Q126" t="s">
        <v>74</v>
      </c>
      <c r="R126" t="s">
        <v>74</v>
      </c>
      <c r="S126" t="s">
        <v>74</v>
      </c>
      <c r="T126" t="s">
        <v>74</v>
      </c>
      <c r="U126" t="s">
        <v>2735</v>
      </c>
      <c r="V126" t="s">
        <v>2736</v>
      </c>
      <c r="W126" t="s">
        <v>2737</v>
      </c>
      <c r="X126" t="s">
        <v>2738</v>
      </c>
      <c r="Y126" t="s">
        <v>2739</v>
      </c>
      <c r="Z126" t="s">
        <v>2740</v>
      </c>
      <c r="AA126" t="s">
        <v>2741</v>
      </c>
      <c r="AB126" t="s">
        <v>2742</v>
      </c>
      <c r="AC126" t="s">
        <v>2743</v>
      </c>
      <c r="AD126" t="s">
        <v>2744</v>
      </c>
      <c r="AE126" t="s">
        <v>2745</v>
      </c>
      <c r="AF126" t="s">
        <v>74</v>
      </c>
      <c r="AG126">
        <v>47</v>
      </c>
      <c r="AH126">
        <v>41</v>
      </c>
      <c r="AI126">
        <v>43</v>
      </c>
      <c r="AJ126">
        <v>1</v>
      </c>
      <c r="AK126">
        <v>26</v>
      </c>
      <c r="AL126" t="s">
        <v>753</v>
      </c>
      <c r="AM126" t="s">
        <v>166</v>
      </c>
      <c r="AN126" t="s">
        <v>754</v>
      </c>
      <c r="AO126" t="s">
        <v>74</v>
      </c>
      <c r="AP126" t="s">
        <v>2746</v>
      </c>
      <c r="AQ126" t="s">
        <v>74</v>
      </c>
      <c r="AR126" t="s">
        <v>2747</v>
      </c>
      <c r="AS126" t="s">
        <v>2748</v>
      </c>
      <c r="AT126" t="s">
        <v>2689</v>
      </c>
      <c r="AU126">
        <v>2020</v>
      </c>
      <c r="AV126">
        <v>3</v>
      </c>
      <c r="AW126">
        <v>1</v>
      </c>
      <c r="AX126" t="s">
        <v>74</v>
      </c>
      <c r="AY126" t="s">
        <v>74</v>
      </c>
      <c r="AZ126" t="s">
        <v>74</v>
      </c>
      <c r="BA126" t="s">
        <v>74</v>
      </c>
      <c r="BB126" t="s">
        <v>74</v>
      </c>
      <c r="BC126" t="s">
        <v>74</v>
      </c>
      <c r="BD126">
        <v>102</v>
      </c>
      <c r="BE126" t="s">
        <v>2749</v>
      </c>
      <c r="BF126" t="str">
        <f>HYPERLINK("http://dx.doi.org/10.1038/s42003-020-0807-6","http://dx.doi.org/10.1038/s42003-020-0807-6")</f>
        <v>http://dx.doi.org/10.1038/s42003-020-0807-6</v>
      </c>
      <c r="BG126" t="s">
        <v>74</v>
      </c>
      <c r="BH126" t="s">
        <v>74</v>
      </c>
      <c r="BI126">
        <v>8</v>
      </c>
      <c r="BJ126" t="s">
        <v>2750</v>
      </c>
      <c r="BK126" t="s">
        <v>103</v>
      </c>
      <c r="BL126" t="s">
        <v>2751</v>
      </c>
      <c r="BM126" t="s">
        <v>2752</v>
      </c>
      <c r="BN126">
        <v>32139805</v>
      </c>
      <c r="BO126" t="s">
        <v>2074</v>
      </c>
      <c r="BP126" t="s">
        <v>74</v>
      </c>
      <c r="BQ126" t="s">
        <v>74</v>
      </c>
      <c r="BR126" t="s">
        <v>106</v>
      </c>
      <c r="BS126" t="s">
        <v>2753</v>
      </c>
      <c r="BT126" t="str">
        <f>HYPERLINK("https%3A%2F%2Fwww.webofscience.com%2Fwos%2Fwoscc%2Ffull-record%2FWOS:000519705500008","View Full Record in Web of Science")</f>
        <v>View Full Record in Web of Science</v>
      </c>
    </row>
    <row r="127" spans="1:72" x14ac:dyDescent="0.15">
      <c r="A127" t="s">
        <v>72</v>
      </c>
      <c r="B127" t="s">
        <v>2754</v>
      </c>
      <c r="C127" t="s">
        <v>74</v>
      </c>
      <c r="D127" t="s">
        <v>74</v>
      </c>
      <c r="E127" t="s">
        <v>74</v>
      </c>
      <c r="F127" t="s">
        <v>2755</v>
      </c>
      <c r="G127" t="s">
        <v>74</v>
      </c>
      <c r="H127" t="s">
        <v>74</v>
      </c>
      <c r="I127" t="s">
        <v>2756</v>
      </c>
      <c r="J127" t="s">
        <v>672</v>
      </c>
      <c r="K127" t="s">
        <v>74</v>
      </c>
      <c r="L127" t="s">
        <v>74</v>
      </c>
      <c r="M127" t="s">
        <v>78</v>
      </c>
      <c r="N127" t="s">
        <v>79</v>
      </c>
      <c r="O127" t="s">
        <v>74</v>
      </c>
      <c r="P127" t="s">
        <v>74</v>
      </c>
      <c r="Q127" t="s">
        <v>74</v>
      </c>
      <c r="R127" t="s">
        <v>74</v>
      </c>
      <c r="S127" t="s">
        <v>74</v>
      </c>
      <c r="T127" t="s">
        <v>2757</v>
      </c>
      <c r="U127" t="s">
        <v>2758</v>
      </c>
      <c r="V127" t="s">
        <v>2759</v>
      </c>
      <c r="W127" t="s">
        <v>2760</v>
      </c>
      <c r="X127" t="s">
        <v>2761</v>
      </c>
      <c r="Y127" t="s">
        <v>2762</v>
      </c>
      <c r="Z127" t="s">
        <v>2763</v>
      </c>
      <c r="AA127" t="s">
        <v>2764</v>
      </c>
      <c r="AB127" t="s">
        <v>2765</v>
      </c>
      <c r="AC127" t="s">
        <v>2766</v>
      </c>
      <c r="AD127" t="s">
        <v>2767</v>
      </c>
      <c r="AE127" t="s">
        <v>2768</v>
      </c>
      <c r="AF127" t="s">
        <v>74</v>
      </c>
      <c r="AG127">
        <v>63</v>
      </c>
      <c r="AH127">
        <v>16</v>
      </c>
      <c r="AI127">
        <v>16</v>
      </c>
      <c r="AJ127">
        <v>0</v>
      </c>
      <c r="AK127">
        <v>22</v>
      </c>
      <c r="AL127" t="s">
        <v>121</v>
      </c>
      <c r="AM127" t="s">
        <v>166</v>
      </c>
      <c r="AN127" t="s">
        <v>685</v>
      </c>
      <c r="AO127" t="s">
        <v>686</v>
      </c>
      <c r="AP127" t="s">
        <v>687</v>
      </c>
      <c r="AQ127" t="s">
        <v>74</v>
      </c>
      <c r="AR127" t="s">
        <v>688</v>
      </c>
      <c r="AS127" t="s">
        <v>689</v>
      </c>
      <c r="AT127" t="s">
        <v>128</v>
      </c>
      <c r="AU127">
        <v>2020</v>
      </c>
      <c r="AV127">
        <v>43</v>
      </c>
      <c r="AW127">
        <v>4</v>
      </c>
      <c r="AX127" t="s">
        <v>74</v>
      </c>
      <c r="AY127" t="s">
        <v>74</v>
      </c>
      <c r="AZ127" t="s">
        <v>74</v>
      </c>
      <c r="BA127" t="s">
        <v>74</v>
      </c>
      <c r="BB127">
        <v>369</v>
      </c>
      <c r="BC127">
        <v>383</v>
      </c>
      <c r="BD127" t="s">
        <v>74</v>
      </c>
      <c r="BE127" t="s">
        <v>2769</v>
      </c>
      <c r="BF127" t="str">
        <f>HYPERLINK("http://dx.doi.org/10.1007/s00300-020-02640-3","http://dx.doi.org/10.1007/s00300-020-02640-3")</f>
        <v>http://dx.doi.org/10.1007/s00300-020-02640-3</v>
      </c>
      <c r="BG127" t="s">
        <v>74</v>
      </c>
      <c r="BH127" t="s">
        <v>692</v>
      </c>
      <c r="BI127">
        <v>15</v>
      </c>
      <c r="BJ127" t="s">
        <v>130</v>
      </c>
      <c r="BK127" t="s">
        <v>103</v>
      </c>
      <c r="BL127" t="s">
        <v>131</v>
      </c>
      <c r="BM127" t="s">
        <v>2770</v>
      </c>
      <c r="BN127" t="s">
        <v>74</v>
      </c>
      <c r="BO127" t="s">
        <v>74</v>
      </c>
      <c r="BP127" t="s">
        <v>74</v>
      </c>
      <c r="BQ127" t="s">
        <v>74</v>
      </c>
      <c r="BR127" t="s">
        <v>106</v>
      </c>
      <c r="BS127" t="s">
        <v>2771</v>
      </c>
      <c r="BT127" t="str">
        <f>HYPERLINK("https%3A%2F%2Fwww.webofscience.com%2Fwos%2Fwoscc%2Ffull-record%2FWOS:000518242700001","View Full Record in Web of Science")</f>
        <v>View Full Record in Web of Science</v>
      </c>
    </row>
    <row r="128" spans="1:72" x14ac:dyDescent="0.15">
      <c r="A128" t="s">
        <v>72</v>
      </c>
      <c r="B128" t="s">
        <v>2772</v>
      </c>
      <c r="C128" t="s">
        <v>74</v>
      </c>
      <c r="D128" t="s">
        <v>74</v>
      </c>
      <c r="E128" t="s">
        <v>74</v>
      </c>
      <c r="F128" t="s">
        <v>2773</v>
      </c>
      <c r="G128" t="s">
        <v>74</v>
      </c>
      <c r="H128" t="s">
        <v>74</v>
      </c>
      <c r="I128" t="s">
        <v>2774</v>
      </c>
      <c r="J128" t="s">
        <v>2775</v>
      </c>
      <c r="K128" t="s">
        <v>74</v>
      </c>
      <c r="L128" t="s">
        <v>74</v>
      </c>
      <c r="M128" t="s">
        <v>78</v>
      </c>
      <c r="N128" t="s">
        <v>79</v>
      </c>
      <c r="O128" t="s">
        <v>74</v>
      </c>
      <c r="P128" t="s">
        <v>74</v>
      </c>
      <c r="Q128" t="s">
        <v>74</v>
      </c>
      <c r="R128" t="s">
        <v>74</v>
      </c>
      <c r="S128" t="s">
        <v>74</v>
      </c>
      <c r="T128" t="s">
        <v>74</v>
      </c>
      <c r="U128" t="s">
        <v>2776</v>
      </c>
      <c r="V128" t="s">
        <v>2777</v>
      </c>
      <c r="W128" t="s">
        <v>2778</v>
      </c>
      <c r="X128" t="s">
        <v>2779</v>
      </c>
      <c r="Y128" t="s">
        <v>2780</v>
      </c>
      <c r="Z128" t="s">
        <v>2781</v>
      </c>
      <c r="AA128" t="s">
        <v>2782</v>
      </c>
      <c r="AB128" t="s">
        <v>2783</v>
      </c>
      <c r="AC128" t="s">
        <v>2784</v>
      </c>
      <c r="AD128" t="s">
        <v>2785</v>
      </c>
      <c r="AE128" t="s">
        <v>2786</v>
      </c>
      <c r="AF128" t="s">
        <v>74</v>
      </c>
      <c r="AG128">
        <v>69</v>
      </c>
      <c r="AH128">
        <v>20</v>
      </c>
      <c r="AI128">
        <v>21</v>
      </c>
      <c r="AJ128">
        <v>0</v>
      </c>
      <c r="AK128">
        <v>12</v>
      </c>
      <c r="AL128" t="s">
        <v>2787</v>
      </c>
      <c r="AM128" t="s">
        <v>2788</v>
      </c>
      <c r="AN128" t="s">
        <v>2789</v>
      </c>
      <c r="AO128" t="s">
        <v>2790</v>
      </c>
      <c r="AP128" t="s">
        <v>2791</v>
      </c>
      <c r="AQ128" t="s">
        <v>74</v>
      </c>
      <c r="AR128" t="s">
        <v>2792</v>
      </c>
      <c r="AS128" t="s">
        <v>2793</v>
      </c>
      <c r="AT128" t="s">
        <v>2794</v>
      </c>
      <c r="AU128">
        <v>2020</v>
      </c>
      <c r="AV128">
        <v>167</v>
      </c>
      <c r="AW128">
        <v>4</v>
      </c>
      <c r="AX128" t="s">
        <v>74</v>
      </c>
      <c r="AY128" t="s">
        <v>74</v>
      </c>
      <c r="AZ128" t="s">
        <v>74</v>
      </c>
      <c r="BA128" t="s">
        <v>74</v>
      </c>
      <c r="BB128" t="s">
        <v>74</v>
      </c>
      <c r="BC128" t="s">
        <v>74</v>
      </c>
      <c r="BD128">
        <v>45</v>
      </c>
      <c r="BE128" t="s">
        <v>2795</v>
      </c>
      <c r="BF128" t="str">
        <f>HYPERLINK("http://dx.doi.org/10.1007/s00227-020-3645-7","http://dx.doi.org/10.1007/s00227-020-3645-7")</f>
        <v>http://dx.doi.org/10.1007/s00227-020-3645-7</v>
      </c>
      <c r="BG128" t="s">
        <v>74</v>
      </c>
      <c r="BH128" t="s">
        <v>74</v>
      </c>
      <c r="BI128">
        <v>16</v>
      </c>
      <c r="BJ128" t="s">
        <v>344</v>
      </c>
      <c r="BK128" t="s">
        <v>103</v>
      </c>
      <c r="BL128" t="s">
        <v>344</v>
      </c>
      <c r="BM128" t="s">
        <v>2796</v>
      </c>
      <c r="BN128" t="s">
        <v>74</v>
      </c>
      <c r="BO128" t="s">
        <v>298</v>
      </c>
      <c r="BP128" t="s">
        <v>74</v>
      </c>
      <c r="BQ128" t="s">
        <v>74</v>
      </c>
      <c r="BR128" t="s">
        <v>106</v>
      </c>
      <c r="BS128" t="s">
        <v>2797</v>
      </c>
      <c r="BT128" t="str">
        <f>HYPERLINK("https%3A%2F%2Fwww.webofscience.com%2Fwos%2Fwoscc%2Ffull-record%2FWOS:000519214400007","View Full Record in Web of Science")</f>
        <v>View Full Record in Web of Science</v>
      </c>
    </row>
    <row r="129" spans="1:72" x14ac:dyDescent="0.15">
      <c r="A129" t="s">
        <v>72</v>
      </c>
      <c r="B129" t="s">
        <v>2798</v>
      </c>
      <c r="C129" t="s">
        <v>74</v>
      </c>
      <c r="D129" t="s">
        <v>74</v>
      </c>
      <c r="E129" t="s">
        <v>74</v>
      </c>
      <c r="F129" t="s">
        <v>2799</v>
      </c>
      <c r="G129" t="s">
        <v>74</v>
      </c>
      <c r="H129" t="s">
        <v>74</v>
      </c>
      <c r="I129" t="s">
        <v>2800</v>
      </c>
      <c r="J129" t="s">
        <v>2801</v>
      </c>
      <c r="K129" t="s">
        <v>74</v>
      </c>
      <c r="L129" t="s">
        <v>74</v>
      </c>
      <c r="M129" t="s">
        <v>78</v>
      </c>
      <c r="N129" t="s">
        <v>79</v>
      </c>
      <c r="O129" t="s">
        <v>74</v>
      </c>
      <c r="P129" t="s">
        <v>74</v>
      </c>
      <c r="Q129" t="s">
        <v>74</v>
      </c>
      <c r="R129" t="s">
        <v>74</v>
      </c>
      <c r="S129" t="s">
        <v>74</v>
      </c>
      <c r="T129" t="s">
        <v>2802</v>
      </c>
      <c r="U129" t="s">
        <v>2803</v>
      </c>
      <c r="V129" t="s">
        <v>2804</v>
      </c>
      <c r="W129" t="s">
        <v>2805</v>
      </c>
      <c r="X129" t="s">
        <v>2806</v>
      </c>
      <c r="Y129" t="s">
        <v>2807</v>
      </c>
      <c r="Z129" t="s">
        <v>2808</v>
      </c>
      <c r="AA129" t="s">
        <v>2809</v>
      </c>
      <c r="AB129" t="s">
        <v>2810</v>
      </c>
      <c r="AC129" t="s">
        <v>2811</v>
      </c>
      <c r="AD129" t="s">
        <v>2812</v>
      </c>
      <c r="AE129" t="s">
        <v>2813</v>
      </c>
      <c r="AF129" t="s">
        <v>74</v>
      </c>
      <c r="AG129">
        <v>60</v>
      </c>
      <c r="AH129">
        <v>21</v>
      </c>
      <c r="AI129">
        <v>23</v>
      </c>
      <c r="AJ129">
        <v>2</v>
      </c>
      <c r="AK129">
        <v>57</v>
      </c>
      <c r="AL129" t="s">
        <v>2814</v>
      </c>
      <c r="AM129" t="s">
        <v>266</v>
      </c>
      <c r="AN129" t="s">
        <v>2815</v>
      </c>
      <c r="AO129" t="s">
        <v>2816</v>
      </c>
      <c r="AP129" t="s">
        <v>74</v>
      </c>
      <c r="AQ129" t="s">
        <v>74</v>
      </c>
      <c r="AR129" t="s">
        <v>2817</v>
      </c>
      <c r="AS129" t="s">
        <v>2818</v>
      </c>
      <c r="AT129" t="s">
        <v>2794</v>
      </c>
      <c r="AU129">
        <v>2020</v>
      </c>
      <c r="AV129">
        <v>117</v>
      </c>
      <c r="AW129">
        <v>9</v>
      </c>
      <c r="AX129" t="s">
        <v>74</v>
      </c>
      <c r="AY129" t="s">
        <v>74</v>
      </c>
      <c r="AZ129" t="s">
        <v>74</v>
      </c>
      <c r="BA129" t="s">
        <v>74</v>
      </c>
      <c r="BB129">
        <v>4498</v>
      </c>
      <c r="BC129">
        <v>4504</v>
      </c>
      <c r="BD129" t="s">
        <v>74</v>
      </c>
      <c r="BE129" t="s">
        <v>2819</v>
      </c>
      <c r="BF129" t="str">
        <f>HYPERLINK("http://dx.doi.org/10.1073/pnas.1908670117","http://dx.doi.org/10.1073/pnas.1908670117")</f>
        <v>http://dx.doi.org/10.1073/pnas.1908670117</v>
      </c>
      <c r="BG129" t="s">
        <v>74</v>
      </c>
      <c r="BH129" t="s">
        <v>74</v>
      </c>
      <c r="BI129">
        <v>7</v>
      </c>
      <c r="BJ129" t="s">
        <v>322</v>
      </c>
      <c r="BK129" t="s">
        <v>103</v>
      </c>
      <c r="BL129" t="s">
        <v>323</v>
      </c>
      <c r="BM129" t="s">
        <v>2820</v>
      </c>
      <c r="BN129">
        <v>32071218</v>
      </c>
      <c r="BO129" t="s">
        <v>2821</v>
      </c>
      <c r="BP129" t="s">
        <v>74</v>
      </c>
      <c r="BQ129" t="s">
        <v>74</v>
      </c>
      <c r="BR129" t="s">
        <v>106</v>
      </c>
      <c r="BS129" t="s">
        <v>2822</v>
      </c>
      <c r="BT129" t="str">
        <f>HYPERLINK("https%3A%2F%2Fwww.webofscience.com%2Fwos%2Fwoscc%2Ffull-record%2FWOS:000518473500017","View Full Record in Web of Science")</f>
        <v>View Full Record in Web of Science</v>
      </c>
    </row>
    <row r="130" spans="1:72" x14ac:dyDescent="0.15">
      <c r="A130" t="s">
        <v>72</v>
      </c>
      <c r="B130" t="s">
        <v>2823</v>
      </c>
      <c r="C130" t="s">
        <v>74</v>
      </c>
      <c r="D130" t="s">
        <v>74</v>
      </c>
      <c r="E130" t="s">
        <v>74</v>
      </c>
      <c r="F130" t="s">
        <v>2824</v>
      </c>
      <c r="G130" t="s">
        <v>74</v>
      </c>
      <c r="H130" t="s">
        <v>74</v>
      </c>
      <c r="I130" t="s">
        <v>2825</v>
      </c>
      <c r="J130" t="s">
        <v>2826</v>
      </c>
      <c r="K130" t="s">
        <v>74</v>
      </c>
      <c r="L130" t="s">
        <v>74</v>
      </c>
      <c r="M130" t="s">
        <v>78</v>
      </c>
      <c r="N130" t="s">
        <v>79</v>
      </c>
      <c r="O130" t="s">
        <v>74</v>
      </c>
      <c r="P130" t="s">
        <v>74</v>
      </c>
      <c r="Q130" t="s">
        <v>74</v>
      </c>
      <c r="R130" t="s">
        <v>74</v>
      </c>
      <c r="S130" t="s">
        <v>74</v>
      </c>
      <c r="T130" t="s">
        <v>74</v>
      </c>
      <c r="U130" t="s">
        <v>2827</v>
      </c>
      <c r="V130" t="s">
        <v>2828</v>
      </c>
      <c r="W130" t="s">
        <v>2829</v>
      </c>
      <c r="X130" t="s">
        <v>2830</v>
      </c>
      <c r="Y130" t="s">
        <v>2831</v>
      </c>
      <c r="Z130" t="s">
        <v>2832</v>
      </c>
      <c r="AA130" t="s">
        <v>2833</v>
      </c>
      <c r="AB130" t="s">
        <v>2834</v>
      </c>
      <c r="AC130" t="s">
        <v>2835</v>
      </c>
      <c r="AD130" t="s">
        <v>2836</v>
      </c>
      <c r="AE130" t="s">
        <v>2837</v>
      </c>
      <c r="AF130" t="s">
        <v>74</v>
      </c>
      <c r="AG130">
        <v>59</v>
      </c>
      <c r="AH130">
        <v>18</v>
      </c>
      <c r="AI130">
        <v>23</v>
      </c>
      <c r="AJ130">
        <v>4</v>
      </c>
      <c r="AK130">
        <v>58</v>
      </c>
      <c r="AL130" t="s">
        <v>925</v>
      </c>
      <c r="AM130" t="s">
        <v>266</v>
      </c>
      <c r="AN130" t="s">
        <v>926</v>
      </c>
      <c r="AO130" t="s">
        <v>2838</v>
      </c>
      <c r="AP130" t="s">
        <v>2839</v>
      </c>
      <c r="AQ130" t="s">
        <v>74</v>
      </c>
      <c r="AR130" t="s">
        <v>2840</v>
      </c>
      <c r="AS130" t="s">
        <v>2841</v>
      </c>
      <c r="AT130" t="s">
        <v>2794</v>
      </c>
      <c r="AU130">
        <v>2020</v>
      </c>
      <c r="AV130">
        <v>54</v>
      </c>
      <c r="AW130">
        <v>5</v>
      </c>
      <c r="AX130" t="s">
        <v>74</v>
      </c>
      <c r="AY130" t="s">
        <v>74</v>
      </c>
      <c r="AZ130" t="s">
        <v>74</v>
      </c>
      <c r="BA130" t="s">
        <v>74</v>
      </c>
      <c r="BB130">
        <v>2763</v>
      </c>
      <c r="BC130">
        <v>2771</v>
      </c>
      <c r="BD130" t="s">
        <v>74</v>
      </c>
      <c r="BE130" t="s">
        <v>2842</v>
      </c>
      <c r="BF130" t="str">
        <f>HYPERLINK("http://dx.doi.org/10.1021/acs.est.9b06622","http://dx.doi.org/10.1021/acs.est.9b06622")</f>
        <v>http://dx.doi.org/10.1021/acs.est.9b06622</v>
      </c>
      <c r="BG130" t="s">
        <v>74</v>
      </c>
      <c r="BH130" t="s">
        <v>74</v>
      </c>
      <c r="BI130">
        <v>9</v>
      </c>
      <c r="BJ130" t="s">
        <v>2843</v>
      </c>
      <c r="BK130" t="s">
        <v>103</v>
      </c>
      <c r="BL130" t="s">
        <v>2844</v>
      </c>
      <c r="BM130" t="s">
        <v>2845</v>
      </c>
      <c r="BN130">
        <v>31950826</v>
      </c>
      <c r="BO130" t="s">
        <v>2846</v>
      </c>
      <c r="BP130" t="s">
        <v>74</v>
      </c>
      <c r="BQ130" t="s">
        <v>74</v>
      </c>
      <c r="BR130" t="s">
        <v>106</v>
      </c>
      <c r="BS130" t="s">
        <v>2847</v>
      </c>
      <c r="BT130" t="str">
        <f>HYPERLINK("https%3A%2F%2Fwww.webofscience.com%2Fwos%2Fwoscc%2Ffull-record%2FWOS:000518235100022","View Full Record in Web of Science")</f>
        <v>View Full Record in Web of Science</v>
      </c>
    </row>
    <row r="131" spans="1:72" x14ac:dyDescent="0.15">
      <c r="A131" t="s">
        <v>72</v>
      </c>
      <c r="B131" t="s">
        <v>2848</v>
      </c>
      <c r="C131" t="s">
        <v>74</v>
      </c>
      <c r="D131" t="s">
        <v>74</v>
      </c>
      <c r="E131" t="s">
        <v>74</v>
      </c>
      <c r="F131" t="s">
        <v>2849</v>
      </c>
      <c r="G131" t="s">
        <v>74</v>
      </c>
      <c r="H131" t="s">
        <v>74</v>
      </c>
      <c r="I131" t="s">
        <v>2850</v>
      </c>
      <c r="J131" t="s">
        <v>2851</v>
      </c>
      <c r="K131" t="s">
        <v>74</v>
      </c>
      <c r="L131" t="s">
        <v>74</v>
      </c>
      <c r="M131" t="s">
        <v>78</v>
      </c>
      <c r="N131" t="s">
        <v>79</v>
      </c>
      <c r="O131" t="s">
        <v>74</v>
      </c>
      <c r="P131" t="s">
        <v>74</v>
      </c>
      <c r="Q131" t="s">
        <v>74</v>
      </c>
      <c r="R131" t="s">
        <v>74</v>
      </c>
      <c r="S131" t="s">
        <v>74</v>
      </c>
      <c r="T131" t="s">
        <v>2852</v>
      </c>
      <c r="U131" t="s">
        <v>2853</v>
      </c>
      <c r="V131" t="s">
        <v>2854</v>
      </c>
      <c r="W131" t="s">
        <v>2855</v>
      </c>
      <c r="X131" t="s">
        <v>2856</v>
      </c>
      <c r="Y131" t="s">
        <v>2857</v>
      </c>
      <c r="Z131" t="s">
        <v>2858</v>
      </c>
      <c r="AA131" t="s">
        <v>2859</v>
      </c>
      <c r="AB131" t="s">
        <v>2860</v>
      </c>
      <c r="AC131" t="s">
        <v>2861</v>
      </c>
      <c r="AD131" t="s">
        <v>2861</v>
      </c>
      <c r="AE131" t="s">
        <v>2861</v>
      </c>
      <c r="AF131" t="s">
        <v>74</v>
      </c>
      <c r="AG131">
        <v>90</v>
      </c>
      <c r="AH131">
        <v>29</v>
      </c>
      <c r="AI131">
        <v>29</v>
      </c>
      <c r="AJ131">
        <v>0</v>
      </c>
      <c r="AK131">
        <v>22</v>
      </c>
      <c r="AL131" t="s">
        <v>2862</v>
      </c>
      <c r="AM131" t="s">
        <v>545</v>
      </c>
      <c r="AN131" t="s">
        <v>2863</v>
      </c>
      <c r="AO131" t="s">
        <v>2864</v>
      </c>
      <c r="AP131" t="s">
        <v>2865</v>
      </c>
      <c r="AQ131" t="s">
        <v>74</v>
      </c>
      <c r="AR131" t="s">
        <v>2866</v>
      </c>
      <c r="AS131" t="s">
        <v>2867</v>
      </c>
      <c r="AT131" t="s">
        <v>733</v>
      </c>
      <c r="AU131">
        <v>2020</v>
      </c>
      <c r="AV131">
        <v>26</v>
      </c>
      <c r="AW131">
        <v>3</v>
      </c>
      <c r="AX131" t="s">
        <v>74</v>
      </c>
      <c r="AY131" t="s">
        <v>74</v>
      </c>
      <c r="AZ131" t="s">
        <v>74</v>
      </c>
      <c r="BA131" t="s">
        <v>74</v>
      </c>
      <c r="BB131">
        <v>894</v>
      </c>
      <c r="BC131">
        <v>907</v>
      </c>
      <c r="BD131" t="s">
        <v>74</v>
      </c>
      <c r="BE131" t="s">
        <v>2868</v>
      </c>
      <c r="BF131" t="str">
        <f>HYPERLINK("http://dx.doi.org/10.1111/anu.13048","http://dx.doi.org/10.1111/anu.13048")</f>
        <v>http://dx.doi.org/10.1111/anu.13048</v>
      </c>
      <c r="BG131" t="s">
        <v>74</v>
      </c>
      <c r="BH131" t="s">
        <v>692</v>
      </c>
      <c r="BI131">
        <v>14</v>
      </c>
      <c r="BJ131" t="s">
        <v>593</v>
      </c>
      <c r="BK131" t="s">
        <v>103</v>
      </c>
      <c r="BL131" t="s">
        <v>593</v>
      </c>
      <c r="BM131" t="s">
        <v>2869</v>
      </c>
      <c r="BN131" t="s">
        <v>74</v>
      </c>
      <c r="BO131" t="s">
        <v>2592</v>
      </c>
      <c r="BP131" t="s">
        <v>74</v>
      </c>
      <c r="BQ131" t="s">
        <v>74</v>
      </c>
      <c r="BR131" t="s">
        <v>106</v>
      </c>
      <c r="BS131" t="s">
        <v>2870</v>
      </c>
      <c r="BT131" t="str">
        <f>HYPERLINK("https%3A%2F%2Fwww.webofscience.com%2Fwos%2Fwoscc%2Ffull-record%2FWOS:000517638200001","View Full Record in Web of Science")</f>
        <v>View Full Record in Web of Science</v>
      </c>
    </row>
    <row r="132" spans="1:72" x14ac:dyDescent="0.15">
      <c r="A132" t="s">
        <v>72</v>
      </c>
      <c r="B132" t="s">
        <v>2871</v>
      </c>
      <c r="C132" t="s">
        <v>74</v>
      </c>
      <c r="D132" t="s">
        <v>74</v>
      </c>
      <c r="E132" t="s">
        <v>74</v>
      </c>
      <c r="F132" t="s">
        <v>2872</v>
      </c>
      <c r="G132" t="s">
        <v>74</v>
      </c>
      <c r="H132" t="s">
        <v>74</v>
      </c>
      <c r="I132" t="s">
        <v>2873</v>
      </c>
      <c r="J132" t="s">
        <v>2874</v>
      </c>
      <c r="K132" t="s">
        <v>74</v>
      </c>
      <c r="L132" t="s">
        <v>74</v>
      </c>
      <c r="M132" t="s">
        <v>78</v>
      </c>
      <c r="N132" t="s">
        <v>79</v>
      </c>
      <c r="O132" t="s">
        <v>74</v>
      </c>
      <c r="P132" t="s">
        <v>74</v>
      </c>
      <c r="Q132" t="s">
        <v>74</v>
      </c>
      <c r="R132" t="s">
        <v>74</v>
      </c>
      <c r="S132" t="s">
        <v>74</v>
      </c>
      <c r="T132" t="s">
        <v>2875</v>
      </c>
      <c r="U132" t="s">
        <v>2876</v>
      </c>
      <c r="V132" t="s">
        <v>2877</v>
      </c>
      <c r="W132" t="s">
        <v>2878</v>
      </c>
      <c r="X132" t="s">
        <v>2879</v>
      </c>
      <c r="Y132" t="s">
        <v>2880</v>
      </c>
      <c r="Z132" t="s">
        <v>2881</v>
      </c>
      <c r="AA132" t="s">
        <v>2882</v>
      </c>
      <c r="AB132" t="s">
        <v>2883</v>
      </c>
      <c r="AC132" t="s">
        <v>2884</v>
      </c>
      <c r="AD132" t="s">
        <v>2885</v>
      </c>
      <c r="AE132" t="s">
        <v>2886</v>
      </c>
      <c r="AF132" t="s">
        <v>74</v>
      </c>
      <c r="AG132">
        <v>78</v>
      </c>
      <c r="AH132">
        <v>14</v>
      </c>
      <c r="AI132">
        <v>14</v>
      </c>
      <c r="AJ132">
        <v>1</v>
      </c>
      <c r="AK132">
        <v>52</v>
      </c>
      <c r="AL132" t="s">
        <v>211</v>
      </c>
      <c r="AM132" t="s">
        <v>212</v>
      </c>
      <c r="AN132" t="s">
        <v>213</v>
      </c>
      <c r="AO132" t="s">
        <v>2887</v>
      </c>
      <c r="AP132" t="s">
        <v>2888</v>
      </c>
      <c r="AQ132" t="s">
        <v>74</v>
      </c>
      <c r="AR132" t="s">
        <v>2889</v>
      </c>
      <c r="AS132" t="s">
        <v>2890</v>
      </c>
      <c r="AT132" t="s">
        <v>1635</v>
      </c>
      <c r="AU132">
        <v>2020</v>
      </c>
      <c r="AV132">
        <v>45</v>
      </c>
      <c r="AW132">
        <v>5</v>
      </c>
      <c r="AX132" t="s">
        <v>74</v>
      </c>
      <c r="AY132" t="s">
        <v>74</v>
      </c>
      <c r="AZ132" t="s">
        <v>74</v>
      </c>
      <c r="BA132" t="s">
        <v>74</v>
      </c>
      <c r="BB132">
        <v>572</v>
      </c>
      <c r="BC132">
        <v>585</v>
      </c>
      <c r="BD132" t="s">
        <v>74</v>
      </c>
      <c r="BE132" t="s">
        <v>2891</v>
      </c>
      <c r="BF132" t="str">
        <f>HYPERLINK("http://dx.doi.org/10.1111/aec.12872","http://dx.doi.org/10.1111/aec.12872")</f>
        <v>http://dx.doi.org/10.1111/aec.12872</v>
      </c>
      <c r="BG132" t="s">
        <v>74</v>
      </c>
      <c r="BH132" t="s">
        <v>692</v>
      </c>
      <c r="BI132">
        <v>14</v>
      </c>
      <c r="BJ132" t="s">
        <v>216</v>
      </c>
      <c r="BK132" t="s">
        <v>103</v>
      </c>
      <c r="BL132" t="s">
        <v>219</v>
      </c>
      <c r="BM132" t="s">
        <v>2892</v>
      </c>
      <c r="BN132" t="s">
        <v>74</v>
      </c>
      <c r="BO132" t="s">
        <v>74</v>
      </c>
      <c r="BP132" t="s">
        <v>74</v>
      </c>
      <c r="BQ132" t="s">
        <v>74</v>
      </c>
      <c r="BR132" t="s">
        <v>106</v>
      </c>
      <c r="BS132" t="s">
        <v>2893</v>
      </c>
      <c r="BT132" t="str">
        <f>HYPERLINK("https%3A%2F%2Fwww.webofscience.com%2Fwos%2Fwoscc%2Ffull-record%2FWOS:000517744300001","View Full Record in Web of Science")</f>
        <v>View Full Record in Web of Science</v>
      </c>
    </row>
    <row r="133" spans="1:72" x14ac:dyDescent="0.15">
      <c r="A133" t="s">
        <v>72</v>
      </c>
      <c r="B133" t="s">
        <v>2894</v>
      </c>
      <c r="C133" t="s">
        <v>74</v>
      </c>
      <c r="D133" t="s">
        <v>74</v>
      </c>
      <c r="E133" t="s">
        <v>74</v>
      </c>
      <c r="F133" t="s">
        <v>2895</v>
      </c>
      <c r="G133" t="s">
        <v>74</v>
      </c>
      <c r="H133" t="s">
        <v>74</v>
      </c>
      <c r="I133" t="s">
        <v>2896</v>
      </c>
      <c r="J133" t="s">
        <v>2897</v>
      </c>
      <c r="K133" t="s">
        <v>74</v>
      </c>
      <c r="L133" t="s">
        <v>74</v>
      </c>
      <c r="M133" t="s">
        <v>78</v>
      </c>
      <c r="N133" t="s">
        <v>79</v>
      </c>
      <c r="O133" t="s">
        <v>74</v>
      </c>
      <c r="P133" t="s">
        <v>74</v>
      </c>
      <c r="Q133" t="s">
        <v>74</v>
      </c>
      <c r="R133" t="s">
        <v>74</v>
      </c>
      <c r="S133" t="s">
        <v>74</v>
      </c>
      <c r="T133" t="s">
        <v>74</v>
      </c>
      <c r="U133" t="s">
        <v>2898</v>
      </c>
      <c r="V133" t="s">
        <v>2899</v>
      </c>
      <c r="W133" t="s">
        <v>2900</v>
      </c>
      <c r="X133" t="s">
        <v>2901</v>
      </c>
      <c r="Y133" t="s">
        <v>2902</v>
      </c>
      <c r="Z133" t="s">
        <v>2903</v>
      </c>
      <c r="AA133" t="s">
        <v>74</v>
      </c>
      <c r="AB133" t="s">
        <v>2904</v>
      </c>
      <c r="AC133" t="s">
        <v>2905</v>
      </c>
      <c r="AD133" t="s">
        <v>2906</v>
      </c>
      <c r="AE133" t="s">
        <v>2907</v>
      </c>
      <c r="AF133" t="s">
        <v>74</v>
      </c>
      <c r="AG133">
        <v>67</v>
      </c>
      <c r="AH133">
        <v>6</v>
      </c>
      <c r="AI133">
        <v>6</v>
      </c>
      <c r="AJ133">
        <v>0</v>
      </c>
      <c r="AK133">
        <v>1</v>
      </c>
      <c r="AL133" t="s">
        <v>211</v>
      </c>
      <c r="AM133" t="s">
        <v>212</v>
      </c>
      <c r="AN133" t="s">
        <v>213</v>
      </c>
      <c r="AO133" t="s">
        <v>2908</v>
      </c>
      <c r="AP133" t="s">
        <v>2909</v>
      </c>
      <c r="AQ133" t="s">
        <v>74</v>
      </c>
      <c r="AR133" t="s">
        <v>2910</v>
      </c>
      <c r="AS133" t="s">
        <v>2911</v>
      </c>
      <c r="AT133" t="s">
        <v>2912</v>
      </c>
      <c r="AU133">
        <v>2020</v>
      </c>
      <c r="AV133">
        <v>55</v>
      </c>
      <c r="AW133">
        <v>3</v>
      </c>
      <c r="AX133" t="s">
        <v>74</v>
      </c>
      <c r="AY133" t="s">
        <v>74</v>
      </c>
      <c r="AZ133" t="s">
        <v>74</v>
      </c>
      <c r="BA133" t="s">
        <v>74</v>
      </c>
      <c r="BB133">
        <v>558</v>
      </c>
      <c r="BC133">
        <v>574</v>
      </c>
      <c r="BD133" t="s">
        <v>74</v>
      </c>
      <c r="BE133" t="s">
        <v>2913</v>
      </c>
      <c r="BF133" t="str">
        <f>HYPERLINK("http://dx.doi.org/10.1111/maps.13453","http://dx.doi.org/10.1111/maps.13453")</f>
        <v>http://dx.doi.org/10.1111/maps.13453</v>
      </c>
      <c r="BG133" t="s">
        <v>74</v>
      </c>
      <c r="BH133" t="s">
        <v>692</v>
      </c>
      <c r="BI133">
        <v>17</v>
      </c>
      <c r="BJ133" t="s">
        <v>442</v>
      </c>
      <c r="BK133" t="s">
        <v>103</v>
      </c>
      <c r="BL133" t="s">
        <v>442</v>
      </c>
      <c r="BM133" t="s">
        <v>2914</v>
      </c>
      <c r="BN133" t="s">
        <v>74</v>
      </c>
      <c r="BO133" t="s">
        <v>461</v>
      </c>
      <c r="BP133" t="s">
        <v>74</v>
      </c>
      <c r="BQ133" t="s">
        <v>74</v>
      </c>
      <c r="BR133" t="s">
        <v>106</v>
      </c>
      <c r="BS133" t="s">
        <v>2915</v>
      </c>
      <c r="BT133" t="str">
        <f>HYPERLINK("https%3A%2F%2Fwww.webofscience.com%2Fwos%2Fwoscc%2Ffull-record%2FWOS:000517776200001","View Full Record in Web of Science")</f>
        <v>View Full Record in Web of Science</v>
      </c>
    </row>
    <row r="134" spans="1:72" x14ac:dyDescent="0.15">
      <c r="A134" t="s">
        <v>72</v>
      </c>
      <c r="B134" t="s">
        <v>2916</v>
      </c>
      <c r="C134" t="s">
        <v>74</v>
      </c>
      <c r="D134" t="s">
        <v>74</v>
      </c>
      <c r="E134" t="s">
        <v>74</v>
      </c>
      <c r="F134" t="s">
        <v>2917</v>
      </c>
      <c r="G134" t="s">
        <v>74</v>
      </c>
      <c r="H134" t="s">
        <v>74</v>
      </c>
      <c r="I134" t="s">
        <v>2918</v>
      </c>
      <c r="J134" t="s">
        <v>2919</v>
      </c>
      <c r="K134" t="s">
        <v>74</v>
      </c>
      <c r="L134" t="s">
        <v>74</v>
      </c>
      <c r="M134" t="s">
        <v>78</v>
      </c>
      <c r="N134" t="s">
        <v>79</v>
      </c>
      <c r="O134" t="s">
        <v>74</v>
      </c>
      <c r="P134" t="s">
        <v>74</v>
      </c>
      <c r="Q134" t="s">
        <v>74</v>
      </c>
      <c r="R134" t="s">
        <v>74</v>
      </c>
      <c r="S134" t="s">
        <v>74</v>
      </c>
      <c r="T134" t="s">
        <v>2920</v>
      </c>
      <c r="U134" t="s">
        <v>2921</v>
      </c>
      <c r="V134" t="s">
        <v>2922</v>
      </c>
      <c r="W134" t="s">
        <v>2923</v>
      </c>
      <c r="X134" t="s">
        <v>2924</v>
      </c>
      <c r="Y134" t="s">
        <v>2925</v>
      </c>
      <c r="Z134" t="s">
        <v>2926</v>
      </c>
      <c r="AA134" t="s">
        <v>2927</v>
      </c>
      <c r="AB134" t="s">
        <v>2928</v>
      </c>
      <c r="AC134" t="s">
        <v>2929</v>
      </c>
      <c r="AD134" t="s">
        <v>2930</v>
      </c>
      <c r="AE134" t="s">
        <v>2931</v>
      </c>
      <c r="AF134" t="s">
        <v>74</v>
      </c>
      <c r="AG134">
        <v>11</v>
      </c>
      <c r="AH134">
        <v>8</v>
      </c>
      <c r="AI134">
        <v>8</v>
      </c>
      <c r="AJ134">
        <v>0</v>
      </c>
      <c r="AK134">
        <v>7</v>
      </c>
      <c r="AL134" t="s">
        <v>2627</v>
      </c>
      <c r="AM134" t="s">
        <v>2628</v>
      </c>
      <c r="AN134" t="s">
        <v>2629</v>
      </c>
      <c r="AO134" t="s">
        <v>2932</v>
      </c>
      <c r="AP134" t="s">
        <v>2933</v>
      </c>
      <c r="AQ134" t="s">
        <v>74</v>
      </c>
      <c r="AR134" t="s">
        <v>2934</v>
      </c>
      <c r="AS134" t="s">
        <v>2935</v>
      </c>
      <c r="AT134" t="s">
        <v>2794</v>
      </c>
      <c r="AU134">
        <v>2020</v>
      </c>
      <c r="AV134">
        <v>34</v>
      </c>
      <c r="AW134">
        <v>5</v>
      </c>
      <c r="AX134" t="s">
        <v>74</v>
      </c>
      <c r="AY134" t="s">
        <v>74</v>
      </c>
      <c r="AZ134" t="s">
        <v>74</v>
      </c>
      <c r="BA134" t="s">
        <v>74</v>
      </c>
      <c r="BB134">
        <v>646</v>
      </c>
      <c r="BC134">
        <v>650</v>
      </c>
      <c r="BD134" t="s">
        <v>74</v>
      </c>
      <c r="BE134" t="s">
        <v>2936</v>
      </c>
      <c r="BF134" t="str">
        <f>HYPERLINK("http://dx.doi.org/10.1080/14786419.2018.1492576","http://dx.doi.org/10.1080/14786419.2018.1492576")</f>
        <v>http://dx.doi.org/10.1080/14786419.2018.1492576</v>
      </c>
      <c r="BG134" t="s">
        <v>74</v>
      </c>
      <c r="BH134" t="s">
        <v>74</v>
      </c>
      <c r="BI134">
        <v>5</v>
      </c>
      <c r="BJ134" t="s">
        <v>2937</v>
      </c>
      <c r="BK134" t="s">
        <v>103</v>
      </c>
      <c r="BL134" t="s">
        <v>2938</v>
      </c>
      <c r="BM134" t="s">
        <v>2939</v>
      </c>
      <c r="BN134">
        <v>30388894</v>
      </c>
      <c r="BO134" t="s">
        <v>74</v>
      </c>
      <c r="BP134" t="s">
        <v>74</v>
      </c>
      <c r="BQ134" t="s">
        <v>74</v>
      </c>
      <c r="BR134" t="s">
        <v>106</v>
      </c>
      <c r="BS134" t="s">
        <v>2940</v>
      </c>
      <c r="BT134" t="str">
        <f>HYPERLINK("https%3A%2F%2Fwww.webofscience.com%2Fwos%2Fwoscc%2Ffull-record%2FWOS:000517117400006","View Full Record in Web of Science")</f>
        <v>View Full Record in Web of Science</v>
      </c>
    </row>
    <row r="135" spans="1:72" x14ac:dyDescent="0.15">
      <c r="A135" t="s">
        <v>72</v>
      </c>
      <c r="B135" t="s">
        <v>2941</v>
      </c>
      <c r="C135" t="s">
        <v>74</v>
      </c>
      <c r="D135" t="s">
        <v>74</v>
      </c>
      <c r="E135" t="s">
        <v>74</v>
      </c>
      <c r="F135" t="s">
        <v>2942</v>
      </c>
      <c r="G135" t="s">
        <v>74</v>
      </c>
      <c r="H135" t="s">
        <v>74</v>
      </c>
      <c r="I135" t="s">
        <v>2943</v>
      </c>
      <c r="J135" t="s">
        <v>1339</v>
      </c>
      <c r="K135" t="s">
        <v>74</v>
      </c>
      <c r="L135" t="s">
        <v>74</v>
      </c>
      <c r="M135" t="s">
        <v>78</v>
      </c>
      <c r="N135" t="s">
        <v>79</v>
      </c>
      <c r="O135" t="s">
        <v>74</v>
      </c>
      <c r="P135" t="s">
        <v>74</v>
      </c>
      <c r="Q135" t="s">
        <v>74</v>
      </c>
      <c r="R135" t="s">
        <v>74</v>
      </c>
      <c r="S135" t="s">
        <v>74</v>
      </c>
      <c r="T135" t="s">
        <v>2944</v>
      </c>
      <c r="U135" t="s">
        <v>2945</v>
      </c>
      <c r="V135" t="s">
        <v>2946</v>
      </c>
      <c r="W135" t="s">
        <v>2947</v>
      </c>
      <c r="X135" t="s">
        <v>2948</v>
      </c>
      <c r="Y135" t="s">
        <v>2949</v>
      </c>
      <c r="Z135" t="s">
        <v>2950</v>
      </c>
      <c r="AA135" t="s">
        <v>2951</v>
      </c>
      <c r="AB135" t="s">
        <v>2952</v>
      </c>
      <c r="AC135" t="s">
        <v>2953</v>
      </c>
      <c r="AD135" t="s">
        <v>2954</v>
      </c>
      <c r="AE135" t="s">
        <v>2955</v>
      </c>
      <c r="AF135" t="s">
        <v>74</v>
      </c>
      <c r="AG135">
        <v>78</v>
      </c>
      <c r="AH135">
        <v>27</v>
      </c>
      <c r="AI135">
        <v>29</v>
      </c>
      <c r="AJ135">
        <v>3</v>
      </c>
      <c r="AK135">
        <v>26</v>
      </c>
      <c r="AL135" t="s">
        <v>658</v>
      </c>
      <c r="AM135" t="s">
        <v>659</v>
      </c>
      <c r="AN135" t="s">
        <v>660</v>
      </c>
      <c r="AO135" t="s">
        <v>74</v>
      </c>
      <c r="AP135" t="s">
        <v>1352</v>
      </c>
      <c r="AQ135" t="s">
        <v>74</v>
      </c>
      <c r="AR135" t="s">
        <v>1353</v>
      </c>
      <c r="AS135" t="s">
        <v>1354</v>
      </c>
      <c r="AT135" t="s">
        <v>2794</v>
      </c>
      <c r="AU135">
        <v>2020</v>
      </c>
      <c r="AV135">
        <v>7</v>
      </c>
      <c r="AW135" t="s">
        <v>74</v>
      </c>
      <c r="AX135" t="s">
        <v>74</v>
      </c>
      <c r="AY135" t="s">
        <v>74</v>
      </c>
      <c r="AZ135" t="s">
        <v>74</v>
      </c>
      <c r="BA135" t="s">
        <v>74</v>
      </c>
      <c r="BB135" t="s">
        <v>74</v>
      </c>
      <c r="BC135" t="s">
        <v>74</v>
      </c>
      <c r="BD135">
        <v>105</v>
      </c>
      <c r="BE135" t="s">
        <v>2956</v>
      </c>
      <c r="BF135" t="str">
        <f>HYPERLINK("http://dx.doi.org/10.3389/fmars.2020.00105","http://dx.doi.org/10.3389/fmars.2020.00105")</f>
        <v>http://dx.doi.org/10.3389/fmars.2020.00105</v>
      </c>
      <c r="BG135" t="s">
        <v>74</v>
      </c>
      <c r="BH135" t="s">
        <v>74</v>
      </c>
      <c r="BI135">
        <v>17</v>
      </c>
      <c r="BJ135" t="s">
        <v>1356</v>
      </c>
      <c r="BK135" t="s">
        <v>103</v>
      </c>
      <c r="BL135" t="s">
        <v>1357</v>
      </c>
      <c r="BM135" t="s">
        <v>2957</v>
      </c>
      <c r="BN135" t="s">
        <v>74</v>
      </c>
      <c r="BO135" t="s">
        <v>276</v>
      </c>
      <c r="BP135" t="s">
        <v>74</v>
      </c>
      <c r="BQ135" t="s">
        <v>74</v>
      </c>
      <c r="BR135" t="s">
        <v>106</v>
      </c>
      <c r="BS135" t="s">
        <v>2958</v>
      </c>
      <c r="BT135" t="str">
        <f>HYPERLINK("https%3A%2F%2Fwww.webofscience.com%2Fwos%2Fwoscc%2Ffull-record%2FWOS:000517585200001","View Full Record in Web of Science")</f>
        <v>View Full Record in Web of Science</v>
      </c>
    </row>
    <row r="136" spans="1:72" x14ac:dyDescent="0.15">
      <c r="A136" t="s">
        <v>72</v>
      </c>
      <c r="B136" t="s">
        <v>2959</v>
      </c>
      <c r="C136" t="s">
        <v>74</v>
      </c>
      <c r="D136" t="s">
        <v>74</v>
      </c>
      <c r="E136" t="s">
        <v>74</v>
      </c>
      <c r="F136" t="s">
        <v>2960</v>
      </c>
      <c r="G136" t="s">
        <v>74</v>
      </c>
      <c r="H136" t="s">
        <v>74</v>
      </c>
      <c r="I136" t="s">
        <v>2961</v>
      </c>
      <c r="J136" t="s">
        <v>940</v>
      </c>
      <c r="K136" t="s">
        <v>74</v>
      </c>
      <c r="L136" t="s">
        <v>74</v>
      </c>
      <c r="M136" t="s">
        <v>78</v>
      </c>
      <c r="N136" t="s">
        <v>79</v>
      </c>
      <c r="O136" t="s">
        <v>74</v>
      </c>
      <c r="P136" t="s">
        <v>74</v>
      </c>
      <c r="Q136" t="s">
        <v>74</v>
      </c>
      <c r="R136" t="s">
        <v>74</v>
      </c>
      <c r="S136" t="s">
        <v>74</v>
      </c>
      <c r="T136" t="s">
        <v>74</v>
      </c>
      <c r="U136" t="s">
        <v>2962</v>
      </c>
      <c r="V136" t="s">
        <v>2963</v>
      </c>
      <c r="W136" t="s">
        <v>2964</v>
      </c>
      <c r="X136" t="s">
        <v>2965</v>
      </c>
      <c r="Y136" t="s">
        <v>2966</v>
      </c>
      <c r="Z136" t="s">
        <v>2967</v>
      </c>
      <c r="AA136" t="s">
        <v>2968</v>
      </c>
      <c r="AB136" t="s">
        <v>2969</v>
      </c>
      <c r="AC136" t="s">
        <v>2970</v>
      </c>
      <c r="AD136" t="s">
        <v>2971</v>
      </c>
      <c r="AE136" t="s">
        <v>2972</v>
      </c>
      <c r="AF136" t="s">
        <v>74</v>
      </c>
      <c r="AG136">
        <v>44</v>
      </c>
      <c r="AH136">
        <v>7</v>
      </c>
      <c r="AI136">
        <v>7</v>
      </c>
      <c r="AJ136">
        <v>0</v>
      </c>
      <c r="AK136">
        <v>8</v>
      </c>
      <c r="AL136" t="s">
        <v>753</v>
      </c>
      <c r="AM136" t="s">
        <v>545</v>
      </c>
      <c r="AN136" t="s">
        <v>1097</v>
      </c>
      <c r="AO136" t="s">
        <v>954</v>
      </c>
      <c r="AP136" t="s">
        <v>74</v>
      </c>
      <c r="AQ136" t="s">
        <v>74</v>
      </c>
      <c r="AR136" t="s">
        <v>955</v>
      </c>
      <c r="AS136" t="s">
        <v>956</v>
      </c>
      <c r="AT136" t="s">
        <v>2973</v>
      </c>
      <c r="AU136">
        <v>2020</v>
      </c>
      <c r="AV136">
        <v>10</v>
      </c>
      <c r="AW136">
        <v>1</v>
      </c>
      <c r="AX136" t="s">
        <v>74</v>
      </c>
      <c r="AY136" t="s">
        <v>74</v>
      </c>
      <c r="AZ136" t="s">
        <v>74</v>
      </c>
      <c r="BA136" t="s">
        <v>74</v>
      </c>
      <c r="BB136" t="s">
        <v>74</v>
      </c>
      <c r="BC136" t="s">
        <v>74</v>
      </c>
      <c r="BD136">
        <v>3845</v>
      </c>
      <c r="BE136" t="s">
        <v>2974</v>
      </c>
      <c r="BF136" t="str">
        <f>HYPERLINK("http://dx.doi.org/10.1038/s41598-020-60533-1","http://dx.doi.org/10.1038/s41598-020-60533-1")</f>
        <v>http://dx.doi.org/10.1038/s41598-020-60533-1</v>
      </c>
      <c r="BG136" t="s">
        <v>74</v>
      </c>
      <c r="BH136" t="s">
        <v>74</v>
      </c>
      <c r="BI136">
        <v>10</v>
      </c>
      <c r="BJ136" t="s">
        <v>322</v>
      </c>
      <c r="BK136" t="s">
        <v>103</v>
      </c>
      <c r="BL136" t="s">
        <v>323</v>
      </c>
      <c r="BM136" t="s">
        <v>2975</v>
      </c>
      <c r="BN136">
        <v>32123221</v>
      </c>
      <c r="BO136" t="s">
        <v>276</v>
      </c>
      <c r="BP136" t="s">
        <v>74</v>
      </c>
      <c r="BQ136" t="s">
        <v>74</v>
      </c>
      <c r="BR136" t="s">
        <v>106</v>
      </c>
      <c r="BS136" t="s">
        <v>2976</v>
      </c>
      <c r="BT136" t="str">
        <f>HYPERLINK("https%3A%2F%2Fwww.webofscience.com%2Fwos%2Fwoscc%2Ffull-record%2FWOS:000525225500001","View Full Record in Web of Science")</f>
        <v>View Full Record in Web of Science</v>
      </c>
    </row>
    <row r="137" spans="1:72" x14ac:dyDescent="0.15">
      <c r="A137" t="s">
        <v>72</v>
      </c>
      <c r="B137" t="s">
        <v>2977</v>
      </c>
      <c r="C137" t="s">
        <v>74</v>
      </c>
      <c r="D137" t="s">
        <v>74</v>
      </c>
      <c r="E137" t="s">
        <v>74</v>
      </c>
      <c r="F137" t="s">
        <v>2978</v>
      </c>
      <c r="G137" t="s">
        <v>74</v>
      </c>
      <c r="H137" t="s">
        <v>74</v>
      </c>
      <c r="I137" t="s">
        <v>2979</v>
      </c>
      <c r="J137" t="s">
        <v>964</v>
      </c>
      <c r="K137" t="s">
        <v>74</v>
      </c>
      <c r="L137" t="s">
        <v>74</v>
      </c>
      <c r="M137" t="s">
        <v>78</v>
      </c>
      <c r="N137" t="s">
        <v>79</v>
      </c>
      <c r="O137" t="s">
        <v>74</v>
      </c>
      <c r="P137" t="s">
        <v>74</v>
      </c>
      <c r="Q137" t="s">
        <v>74</v>
      </c>
      <c r="R137" t="s">
        <v>74</v>
      </c>
      <c r="S137" t="s">
        <v>74</v>
      </c>
      <c r="T137" t="s">
        <v>74</v>
      </c>
      <c r="U137" t="s">
        <v>2980</v>
      </c>
      <c r="V137" t="s">
        <v>2981</v>
      </c>
      <c r="W137" t="s">
        <v>2982</v>
      </c>
      <c r="X137" t="s">
        <v>2983</v>
      </c>
      <c r="Y137" t="s">
        <v>2984</v>
      </c>
      <c r="Z137" t="s">
        <v>2985</v>
      </c>
      <c r="AA137" t="s">
        <v>2986</v>
      </c>
      <c r="AB137" t="s">
        <v>2987</v>
      </c>
      <c r="AC137" t="s">
        <v>2988</v>
      </c>
      <c r="AD137" t="s">
        <v>2989</v>
      </c>
      <c r="AE137" t="s">
        <v>2990</v>
      </c>
      <c r="AF137" t="s">
        <v>74</v>
      </c>
      <c r="AG137">
        <v>78</v>
      </c>
      <c r="AH137">
        <v>58</v>
      </c>
      <c r="AI137">
        <v>61</v>
      </c>
      <c r="AJ137">
        <v>3</v>
      </c>
      <c r="AK137">
        <v>26</v>
      </c>
      <c r="AL137" t="s">
        <v>976</v>
      </c>
      <c r="AM137" t="s">
        <v>977</v>
      </c>
      <c r="AN137" t="s">
        <v>978</v>
      </c>
      <c r="AO137" t="s">
        <v>979</v>
      </c>
      <c r="AP137" t="s">
        <v>980</v>
      </c>
      <c r="AQ137" t="s">
        <v>74</v>
      </c>
      <c r="AR137" t="s">
        <v>981</v>
      </c>
      <c r="AS137" t="s">
        <v>982</v>
      </c>
      <c r="AT137" t="s">
        <v>2973</v>
      </c>
      <c r="AU137">
        <v>2020</v>
      </c>
      <c r="AV137">
        <v>20</v>
      </c>
      <c r="AW137">
        <v>4</v>
      </c>
      <c r="AX137" t="s">
        <v>74</v>
      </c>
      <c r="AY137" t="s">
        <v>74</v>
      </c>
      <c r="AZ137" t="s">
        <v>74</v>
      </c>
      <c r="BA137" t="s">
        <v>74</v>
      </c>
      <c r="BB137">
        <v>2549</v>
      </c>
      <c r="BC137">
        <v>2578</v>
      </c>
      <c r="BD137" t="s">
        <v>74</v>
      </c>
      <c r="BE137" t="s">
        <v>2991</v>
      </c>
      <c r="BF137" t="str">
        <f>HYPERLINK("http://dx.doi.org/10.5194/acp-20-2549-2020","http://dx.doi.org/10.5194/acp-20-2549-2020")</f>
        <v>http://dx.doi.org/10.5194/acp-20-2549-2020</v>
      </c>
      <c r="BG137" t="s">
        <v>74</v>
      </c>
      <c r="BH137" t="s">
        <v>74</v>
      </c>
      <c r="BI137">
        <v>30</v>
      </c>
      <c r="BJ137" t="s">
        <v>984</v>
      </c>
      <c r="BK137" t="s">
        <v>103</v>
      </c>
      <c r="BL137" t="s">
        <v>985</v>
      </c>
      <c r="BM137" t="s">
        <v>2992</v>
      </c>
      <c r="BN137" t="s">
        <v>74</v>
      </c>
      <c r="BO137" t="s">
        <v>2993</v>
      </c>
      <c r="BP137" t="s">
        <v>74</v>
      </c>
      <c r="BQ137" t="s">
        <v>74</v>
      </c>
      <c r="BR137" t="s">
        <v>106</v>
      </c>
      <c r="BS137" t="s">
        <v>2994</v>
      </c>
      <c r="BT137" t="str">
        <f>HYPERLINK("https%3A%2F%2Fwww.webofscience.com%2Fwos%2Fwoscc%2Ffull-record%2FWOS:000518768800005","View Full Record in Web of Science")</f>
        <v>View Full Record in Web of Science</v>
      </c>
    </row>
    <row r="138" spans="1:72" x14ac:dyDescent="0.15">
      <c r="A138" t="s">
        <v>72</v>
      </c>
      <c r="B138" t="s">
        <v>2995</v>
      </c>
      <c r="C138" t="s">
        <v>74</v>
      </c>
      <c r="D138" t="s">
        <v>74</v>
      </c>
      <c r="E138" t="s">
        <v>74</v>
      </c>
      <c r="F138" t="s">
        <v>2996</v>
      </c>
      <c r="G138" t="s">
        <v>74</v>
      </c>
      <c r="H138" t="s">
        <v>74</v>
      </c>
      <c r="I138" t="s">
        <v>2997</v>
      </c>
      <c r="J138" t="s">
        <v>2332</v>
      </c>
      <c r="K138" t="s">
        <v>74</v>
      </c>
      <c r="L138" t="s">
        <v>74</v>
      </c>
      <c r="M138" t="s">
        <v>78</v>
      </c>
      <c r="N138" t="s">
        <v>79</v>
      </c>
      <c r="O138" t="s">
        <v>74</v>
      </c>
      <c r="P138" t="s">
        <v>74</v>
      </c>
      <c r="Q138" t="s">
        <v>74</v>
      </c>
      <c r="R138" t="s">
        <v>74</v>
      </c>
      <c r="S138" t="s">
        <v>74</v>
      </c>
      <c r="T138" t="s">
        <v>74</v>
      </c>
      <c r="U138" t="s">
        <v>2998</v>
      </c>
      <c r="V138" t="s">
        <v>2999</v>
      </c>
      <c r="W138" t="s">
        <v>3000</v>
      </c>
      <c r="X138" t="s">
        <v>3001</v>
      </c>
      <c r="Y138" t="s">
        <v>3002</v>
      </c>
      <c r="Z138" t="s">
        <v>3003</v>
      </c>
      <c r="AA138" t="s">
        <v>3004</v>
      </c>
      <c r="AB138" t="s">
        <v>3005</v>
      </c>
      <c r="AC138" t="s">
        <v>3006</v>
      </c>
      <c r="AD138" t="s">
        <v>3007</v>
      </c>
      <c r="AE138" t="s">
        <v>3008</v>
      </c>
      <c r="AF138" t="s">
        <v>74</v>
      </c>
      <c r="AG138">
        <v>66</v>
      </c>
      <c r="AH138">
        <v>5</v>
      </c>
      <c r="AI138">
        <v>5</v>
      </c>
      <c r="AJ138">
        <v>0</v>
      </c>
      <c r="AK138">
        <v>7</v>
      </c>
      <c r="AL138" t="s">
        <v>976</v>
      </c>
      <c r="AM138" t="s">
        <v>977</v>
      </c>
      <c r="AN138" t="s">
        <v>978</v>
      </c>
      <c r="AO138" t="s">
        <v>2344</v>
      </c>
      <c r="AP138" t="s">
        <v>2345</v>
      </c>
      <c r="AQ138" t="s">
        <v>74</v>
      </c>
      <c r="AR138" t="s">
        <v>2346</v>
      </c>
      <c r="AS138" t="s">
        <v>2347</v>
      </c>
      <c r="AT138" t="s">
        <v>2973</v>
      </c>
      <c r="AU138">
        <v>2020</v>
      </c>
      <c r="AV138">
        <v>13</v>
      </c>
      <c r="AW138">
        <v>2</v>
      </c>
      <c r="AX138" t="s">
        <v>74</v>
      </c>
      <c r="AY138" t="s">
        <v>74</v>
      </c>
      <c r="AZ138" t="s">
        <v>74</v>
      </c>
      <c r="BA138" t="s">
        <v>74</v>
      </c>
      <c r="BB138">
        <v>825</v>
      </c>
      <c r="BC138">
        <v>840</v>
      </c>
      <c r="BD138" t="s">
        <v>74</v>
      </c>
      <c r="BE138" t="s">
        <v>3009</v>
      </c>
      <c r="BF138" t="str">
        <f>HYPERLINK("http://dx.doi.org/10.5194/gmd-13-825-2020","http://dx.doi.org/10.5194/gmd-13-825-2020")</f>
        <v>http://dx.doi.org/10.5194/gmd-13-825-2020</v>
      </c>
      <c r="BG138" t="s">
        <v>74</v>
      </c>
      <c r="BH138" t="s">
        <v>74</v>
      </c>
      <c r="BI138">
        <v>16</v>
      </c>
      <c r="BJ138" t="s">
        <v>246</v>
      </c>
      <c r="BK138" t="s">
        <v>103</v>
      </c>
      <c r="BL138" t="s">
        <v>247</v>
      </c>
      <c r="BM138" t="s">
        <v>3010</v>
      </c>
      <c r="BN138" t="s">
        <v>74</v>
      </c>
      <c r="BO138" t="s">
        <v>1310</v>
      </c>
      <c r="BP138" t="s">
        <v>74</v>
      </c>
      <c r="BQ138" t="s">
        <v>74</v>
      </c>
      <c r="BR138" t="s">
        <v>106</v>
      </c>
      <c r="BS138" t="s">
        <v>3011</v>
      </c>
      <c r="BT138" t="str">
        <f>HYPERLINK("https%3A%2F%2Fwww.webofscience.com%2Fwos%2Fwoscc%2Ffull-record%2FWOS:000518769300002","View Full Record in Web of Science")</f>
        <v>View Full Record in Web of Science</v>
      </c>
    </row>
    <row r="139" spans="1:72" x14ac:dyDescent="0.15">
      <c r="A139" t="s">
        <v>72</v>
      </c>
      <c r="B139" t="s">
        <v>3012</v>
      </c>
      <c r="C139" t="s">
        <v>74</v>
      </c>
      <c r="D139" t="s">
        <v>74</v>
      </c>
      <c r="E139" t="s">
        <v>74</v>
      </c>
      <c r="F139" t="s">
        <v>3013</v>
      </c>
      <c r="G139" t="s">
        <v>74</v>
      </c>
      <c r="H139" t="s">
        <v>74</v>
      </c>
      <c r="I139" t="s">
        <v>3014</v>
      </c>
      <c r="J139" t="s">
        <v>672</v>
      </c>
      <c r="K139" t="s">
        <v>74</v>
      </c>
      <c r="L139" t="s">
        <v>74</v>
      </c>
      <c r="M139" t="s">
        <v>78</v>
      </c>
      <c r="N139" t="s">
        <v>79</v>
      </c>
      <c r="O139" t="s">
        <v>74</v>
      </c>
      <c r="P139" t="s">
        <v>74</v>
      </c>
      <c r="Q139" t="s">
        <v>74</v>
      </c>
      <c r="R139" t="s">
        <v>74</v>
      </c>
      <c r="S139" t="s">
        <v>74</v>
      </c>
      <c r="T139" t="s">
        <v>3015</v>
      </c>
      <c r="U139" t="s">
        <v>3016</v>
      </c>
      <c r="V139" t="s">
        <v>3017</v>
      </c>
      <c r="W139" t="s">
        <v>3018</v>
      </c>
      <c r="X139" t="s">
        <v>3019</v>
      </c>
      <c r="Y139" t="s">
        <v>3020</v>
      </c>
      <c r="Z139" t="s">
        <v>3021</v>
      </c>
      <c r="AA139" t="s">
        <v>74</v>
      </c>
      <c r="AB139" t="s">
        <v>3022</v>
      </c>
      <c r="AC139" t="s">
        <v>3023</v>
      </c>
      <c r="AD139" t="s">
        <v>3023</v>
      </c>
      <c r="AE139" t="s">
        <v>3024</v>
      </c>
      <c r="AF139" t="s">
        <v>74</v>
      </c>
      <c r="AG139">
        <v>92</v>
      </c>
      <c r="AH139">
        <v>5</v>
      </c>
      <c r="AI139">
        <v>5</v>
      </c>
      <c r="AJ139">
        <v>0</v>
      </c>
      <c r="AK139">
        <v>7</v>
      </c>
      <c r="AL139" t="s">
        <v>121</v>
      </c>
      <c r="AM139" t="s">
        <v>166</v>
      </c>
      <c r="AN139" t="s">
        <v>685</v>
      </c>
      <c r="AO139" t="s">
        <v>686</v>
      </c>
      <c r="AP139" t="s">
        <v>687</v>
      </c>
      <c r="AQ139" t="s">
        <v>74</v>
      </c>
      <c r="AR139" t="s">
        <v>688</v>
      </c>
      <c r="AS139" t="s">
        <v>689</v>
      </c>
      <c r="AT139" t="s">
        <v>128</v>
      </c>
      <c r="AU139">
        <v>2020</v>
      </c>
      <c r="AV139">
        <v>43</v>
      </c>
      <c r="AW139">
        <v>4</v>
      </c>
      <c r="AX139" t="s">
        <v>74</v>
      </c>
      <c r="AY139" t="s">
        <v>74</v>
      </c>
      <c r="AZ139" t="s">
        <v>74</v>
      </c>
      <c r="BA139" t="s">
        <v>74</v>
      </c>
      <c r="BB139">
        <v>343</v>
      </c>
      <c r="BC139">
        <v>357</v>
      </c>
      <c r="BD139" t="s">
        <v>74</v>
      </c>
      <c r="BE139" t="s">
        <v>3025</v>
      </c>
      <c r="BF139" t="str">
        <f>HYPERLINK("http://dx.doi.org/10.1007/s00300-020-02638-x","http://dx.doi.org/10.1007/s00300-020-02638-x")</f>
        <v>http://dx.doi.org/10.1007/s00300-020-02638-x</v>
      </c>
      <c r="BG139" t="s">
        <v>74</v>
      </c>
      <c r="BH139" t="s">
        <v>692</v>
      </c>
      <c r="BI139">
        <v>15</v>
      </c>
      <c r="BJ139" t="s">
        <v>130</v>
      </c>
      <c r="BK139" t="s">
        <v>103</v>
      </c>
      <c r="BL139" t="s">
        <v>131</v>
      </c>
      <c r="BM139" t="s">
        <v>2770</v>
      </c>
      <c r="BN139" t="s">
        <v>74</v>
      </c>
      <c r="BO139" t="s">
        <v>74</v>
      </c>
      <c r="BP139" t="s">
        <v>74</v>
      </c>
      <c r="BQ139" t="s">
        <v>74</v>
      </c>
      <c r="BR139" t="s">
        <v>106</v>
      </c>
      <c r="BS139" t="s">
        <v>3026</v>
      </c>
      <c r="BT139" t="str">
        <f>HYPERLINK("https%3A%2F%2Fwww.webofscience.com%2Fwos%2Fwoscc%2Ffull-record%2FWOS:000517734900002","View Full Record in Web of Science")</f>
        <v>View Full Record in Web of Science</v>
      </c>
    </row>
    <row r="140" spans="1:72" x14ac:dyDescent="0.15">
      <c r="A140" t="s">
        <v>72</v>
      </c>
      <c r="B140" t="s">
        <v>3027</v>
      </c>
      <c r="C140" t="s">
        <v>74</v>
      </c>
      <c r="D140" t="s">
        <v>74</v>
      </c>
      <c r="E140" t="s">
        <v>74</v>
      </c>
      <c r="F140" t="s">
        <v>3028</v>
      </c>
      <c r="G140" t="s">
        <v>74</v>
      </c>
      <c r="H140" t="s">
        <v>74</v>
      </c>
      <c r="I140" t="s">
        <v>3029</v>
      </c>
      <c r="J140" t="s">
        <v>3030</v>
      </c>
      <c r="K140" t="s">
        <v>74</v>
      </c>
      <c r="L140" t="s">
        <v>74</v>
      </c>
      <c r="M140" t="s">
        <v>78</v>
      </c>
      <c r="N140" t="s">
        <v>3031</v>
      </c>
      <c r="O140" t="s">
        <v>3032</v>
      </c>
      <c r="P140" t="s">
        <v>3033</v>
      </c>
      <c r="Q140" t="s">
        <v>3034</v>
      </c>
      <c r="R140" t="s">
        <v>74</v>
      </c>
      <c r="S140" t="s">
        <v>74</v>
      </c>
      <c r="T140" t="s">
        <v>74</v>
      </c>
      <c r="U140" t="s">
        <v>3035</v>
      </c>
      <c r="V140" t="s">
        <v>3036</v>
      </c>
      <c r="W140" t="s">
        <v>3037</v>
      </c>
      <c r="X140" t="s">
        <v>3038</v>
      </c>
      <c r="Y140" t="s">
        <v>3039</v>
      </c>
      <c r="Z140" t="s">
        <v>3040</v>
      </c>
      <c r="AA140" t="s">
        <v>74</v>
      </c>
      <c r="AB140" t="s">
        <v>74</v>
      </c>
      <c r="AC140" t="s">
        <v>74</v>
      </c>
      <c r="AD140" t="s">
        <v>74</v>
      </c>
      <c r="AE140" t="s">
        <v>74</v>
      </c>
      <c r="AF140" t="s">
        <v>74</v>
      </c>
      <c r="AG140">
        <v>58</v>
      </c>
      <c r="AH140">
        <v>11</v>
      </c>
      <c r="AI140">
        <v>11</v>
      </c>
      <c r="AJ140">
        <v>0</v>
      </c>
      <c r="AK140">
        <v>0</v>
      </c>
      <c r="AL140" t="s">
        <v>3041</v>
      </c>
      <c r="AM140" t="s">
        <v>3042</v>
      </c>
      <c r="AN140" t="s">
        <v>3043</v>
      </c>
      <c r="AO140" t="s">
        <v>3044</v>
      </c>
      <c r="AP140" t="s">
        <v>74</v>
      </c>
      <c r="AQ140" t="s">
        <v>74</v>
      </c>
      <c r="AR140" t="s">
        <v>3045</v>
      </c>
      <c r="AS140" t="s">
        <v>3046</v>
      </c>
      <c r="AT140" t="s">
        <v>2912</v>
      </c>
      <c r="AU140">
        <v>2020</v>
      </c>
      <c r="AV140">
        <v>86</v>
      </c>
      <c r="AW140">
        <v>1</v>
      </c>
      <c r="AX140" t="s">
        <v>74</v>
      </c>
      <c r="AY140" t="s">
        <v>74</v>
      </c>
      <c r="AZ140" t="s">
        <v>342</v>
      </c>
      <c r="BA140" t="s">
        <v>74</v>
      </c>
      <c r="BB140">
        <v>87</v>
      </c>
      <c r="BC140">
        <v>97</v>
      </c>
      <c r="BD140" t="s">
        <v>74</v>
      </c>
      <c r="BE140" t="s">
        <v>3047</v>
      </c>
      <c r="BF140" t="str">
        <f>HYPERLINK("http://dx.doi.org/10.16943/ptinsa/2020/49814","http://dx.doi.org/10.16943/ptinsa/2020/49814")</f>
        <v>http://dx.doi.org/10.16943/ptinsa/2020/49814</v>
      </c>
      <c r="BG140" t="s">
        <v>74</v>
      </c>
      <c r="BH140" t="s">
        <v>74</v>
      </c>
      <c r="BI140">
        <v>11</v>
      </c>
      <c r="BJ140" t="s">
        <v>322</v>
      </c>
      <c r="BK140" t="s">
        <v>274</v>
      </c>
      <c r="BL140" t="s">
        <v>323</v>
      </c>
      <c r="BM140" t="s">
        <v>3048</v>
      </c>
      <c r="BN140" t="s">
        <v>74</v>
      </c>
      <c r="BO140" t="s">
        <v>517</v>
      </c>
      <c r="BP140" t="s">
        <v>74</v>
      </c>
      <c r="BQ140" t="s">
        <v>74</v>
      </c>
      <c r="BR140" t="s">
        <v>106</v>
      </c>
      <c r="BS140" t="s">
        <v>3049</v>
      </c>
      <c r="BT140" t="str">
        <f>HYPERLINK("https%3A%2F%2Fwww.webofscience.com%2Fwos%2Fwoscc%2Ffull-record%2FWOS:000612219500007","View Full Record in Web of Science")</f>
        <v>View Full Record in Web of Science</v>
      </c>
    </row>
    <row r="141" spans="1:72" x14ac:dyDescent="0.15">
      <c r="A141" t="s">
        <v>72</v>
      </c>
      <c r="B141" t="s">
        <v>3050</v>
      </c>
      <c r="C141" t="s">
        <v>74</v>
      </c>
      <c r="D141" t="s">
        <v>74</v>
      </c>
      <c r="E141" t="s">
        <v>74</v>
      </c>
      <c r="F141" t="s">
        <v>3051</v>
      </c>
      <c r="G141" t="s">
        <v>74</v>
      </c>
      <c r="H141" t="s">
        <v>74</v>
      </c>
      <c r="I141" t="s">
        <v>3052</v>
      </c>
      <c r="J141" t="s">
        <v>3030</v>
      </c>
      <c r="K141" t="s">
        <v>74</v>
      </c>
      <c r="L141" t="s">
        <v>74</v>
      </c>
      <c r="M141" t="s">
        <v>78</v>
      </c>
      <c r="N141" t="s">
        <v>3031</v>
      </c>
      <c r="O141" t="s">
        <v>3032</v>
      </c>
      <c r="P141" t="s">
        <v>3033</v>
      </c>
      <c r="Q141" t="s">
        <v>3034</v>
      </c>
      <c r="R141" t="s">
        <v>74</v>
      </c>
      <c r="S141" t="s">
        <v>74</v>
      </c>
      <c r="T141" t="s">
        <v>74</v>
      </c>
      <c r="U141" t="s">
        <v>3053</v>
      </c>
      <c r="V141" t="s">
        <v>3054</v>
      </c>
      <c r="W141" t="s">
        <v>3055</v>
      </c>
      <c r="X141" t="s">
        <v>3056</v>
      </c>
      <c r="Y141" t="s">
        <v>3057</v>
      </c>
      <c r="Z141" t="s">
        <v>3058</v>
      </c>
      <c r="AA141" t="s">
        <v>3059</v>
      </c>
      <c r="AB141" t="s">
        <v>3060</v>
      </c>
      <c r="AC141" t="s">
        <v>3061</v>
      </c>
      <c r="AD141" t="s">
        <v>3061</v>
      </c>
      <c r="AE141" t="s">
        <v>3062</v>
      </c>
      <c r="AF141" t="s">
        <v>74</v>
      </c>
      <c r="AG141">
        <v>87</v>
      </c>
      <c r="AH141">
        <v>1</v>
      </c>
      <c r="AI141">
        <v>1</v>
      </c>
      <c r="AJ141">
        <v>0</v>
      </c>
      <c r="AK141">
        <v>0</v>
      </c>
      <c r="AL141" t="s">
        <v>3041</v>
      </c>
      <c r="AM141" t="s">
        <v>3042</v>
      </c>
      <c r="AN141" t="s">
        <v>3043</v>
      </c>
      <c r="AO141" t="s">
        <v>3044</v>
      </c>
      <c r="AP141" t="s">
        <v>74</v>
      </c>
      <c r="AQ141" t="s">
        <v>74</v>
      </c>
      <c r="AR141" t="s">
        <v>3045</v>
      </c>
      <c r="AS141" t="s">
        <v>3046</v>
      </c>
      <c r="AT141" t="s">
        <v>2912</v>
      </c>
      <c r="AU141">
        <v>2020</v>
      </c>
      <c r="AV141">
        <v>86</v>
      </c>
      <c r="AW141">
        <v>1</v>
      </c>
      <c r="AX141" t="s">
        <v>74</v>
      </c>
      <c r="AY141" t="s">
        <v>74</v>
      </c>
      <c r="AZ141" t="s">
        <v>342</v>
      </c>
      <c r="BA141" t="s">
        <v>74</v>
      </c>
      <c r="BB141">
        <v>569</v>
      </c>
      <c r="BC141">
        <v>583</v>
      </c>
      <c r="BD141" t="s">
        <v>74</v>
      </c>
      <c r="BE141" t="s">
        <v>3063</v>
      </c>
      <c r="BF141" t="str">
        <f>HYPERLINK("http://dx.doi.org/10.16943/ptinsa/2020/49806","http://dx.doi.org/10.16943/ptinsa/2020/49806")</f>
        <v>http://dx.doi.org/10.16943/ptinsa/2020/49806</v>
      </c>
      <c r="BG141" t="s">
        <v>74</v>
      </c>
      <c r="BH141" t="s">
        <v>74</v>
      </c>
      <c r="BI141">
        <v>15</v>
      </c>
      <c r="BJ141" t="s">
        <v>322</v>
      </c>
      <c r="BK141" t="s">
        <v>274</v>
      </c>
      <c r="BL141" t="s">
        <v>323</v>
      </c>
      <c r="BM141" t="s">
        <v>3048</v>
      </c>
      <c r="BN141" t="s">
        <v>74</v>
      </c>
      <c r="BO141" t="s">
        <v>517</v>
      </c>
      <c r="BP141" t="s">
        <v>74</v>
      </c>
      <c r="BQ141" t="s">
        <v>74</v>
      </c>
      <c r="BR141" t="s">
        <v>106</v>
      </c>
      <c r="BS141" t="s">
        <v>3064</v>
      </c>
      <c r="BT141" t="str">
        <f>HYPERLINK("https%3A%2F%2Fwww.webofscience.com%2Fwos%2Fwoscc%2Ffull-record%2FWOS:000612219500045","View Full Record in Web of Science")</f>
        <v>View Full Record in Web of Science</v>
      </c>
    </row>
    <row r="142" spans="1:72" x14ac:dyDescent="0.15">
      <c r="A142" t="s">
        <v>72</v>
      </c>
      <c r="B142" t="s">
        <v>3065</v>
      </c>
      <c r="C142" t="s">
        <v>74</v>
      </c>
      <c r="D142" t="s">
        <v>74</v>
      </c>
      <c r="E142" t="s">
        <v>74</v>
      </c>
      <c r="F142" t="s">
        <v>3066</v>
      </c>
      <c r="G142" t="s">
        <v>74</v>
      </c>
      <c r="H142" t="s">
        <v>74</v>
      </c>
      <c r="I142" t="s">
        <v>3067</v>
      </c>
      <c r="J142" t="s">
        <v>3068</v>
      </c>
      <c r="K142" t="s">
        <v>74</v>
      </c>
      <c r="L142" t="s">
        <v>74</v>
      </c>
      <c r="M142" t="s">
        <v>78</v>
      </c>
      <c r="N142" t="s">
        <v>79</v>
      </c>
      <c r="O142" t="s">
        <v>74</v>
      </c>
      <c r="P142" t="s">
        <v>74</v>
      </c>
      <c r="Q142" t="s">
        <v>74</v>
      </c>
      <c r="R142" t="s">
        <v>74</v>
      </c>
      <c r="S142" t="s">
        <v>74</v>
      </c>
      <c r="T142" t="s">
        <v>74</v>
      </c>
      <c r="U142" t="s">
        <v>74</v>
      </c>
      <c r="V142" t="s">
        <v>74</v>
      </c>
      <c r="W142" t="s">
        <v>3069</v>
      </c>
      <c r="X142" t="s">
        <v>3070</v>
      </c>
      <c r="Y142" t="s">
        <v>3071</v>
      </c>
      <c r="Z142" t="s">
        <v>3072</v>
      </c>
      <c r="AA142" t="s">
        <v>74</v>
      </c>
      <c r="AB142" t="s">
        <v>3073</v>
      </c>
      <c r="AC142" t="s">
        <v>3074</v>
      </c>
      <c r="AD142" t="s">
        <v>3075</v>
      </c>
      <c r="AE142" t="s">
        <v>3076</v>
      </c>
      <c r="AF142" t="s">
        <v>74</v>
      </c>
      <c r="AG142">
        <v>52</v>
      </c>
      <c r="AH142">
        <v>0</v>
      </c>
      <c r="AI142">
        <v>0</v>
      </c>
      <c r="AJ142">
        <v>0</v>
      </c>
      <c r="AK142">
        <v>1</v>
      </c>
      <c r="AL142" t="s">
        <v>3077</v>
      </c>
      <c r="AM142" t="s">
        <v>3078</v>
      </c>
      <c r="AN142" t="s">
        <v>3079</v>
      </c>
      <c r="AO142" t="s">
        <v>3080</v>
      </c>
      <c r="AP142" t="s">
        <v>3081</v>
      </c>
      <c r="AQ142" t="s">
        <v>74</v>
      </c>
      <c r="AR142" t="s">
        <v>3082</v>
      </c>
      <c r="AS142" t="s">
        <v>3083</v>
      </c>
      <c r="AT142" t="s">
        <v>3084</v>
      </c>
      <c r="AU142">
        <v>2020</v>
      </c>
      <c r="AV142">
        <v>103</v>
      </c>
      <c r="AW142" t="s">
        <v>3085</v>
      </c>
      <c r="AX142" t="s">
        <v>74</v>
      </c>
      <c r="AY142" t="s">
        <v>74</v>
      </c>
      <c r="AZ142" t="s">
        <v>74</v>
      </c>
      <c r="BA142" t="s">
        <v>74</v>
      </c>
      <c r="BB142">
        <v>105</v>
      </c>
      <c r="BC142">
        <v>138</v>
      </c>
      <c r="BD142" t="s">
        <v>74</v>
      </c>
      <c r="BE142" t="s">
        <v>3086</v>
      </c>
      <c r="BF142" t="str">
        <f>HYPERLINK("http://dx.doi.org/10.1093/musqtl/gdaa006","http://dx.doi.org/10.1093/musqtl/gdaa006")</f>
        <v>http://dx.doi.org/10.1093/musqtl/gdaa006</v>
      </c>
      <c r="BG142" t="s">
        <v>74</v>
      </c>
      <c r="BH142" t="s">
        <v>74</v>
      </c>
      <c r="BI142">
        <v>34</v>
      </c>
      <c r="BJ142" t="s">
        <v>3087</v>
      </c>
      <c r="BK142" t="s">
        <v>3088</v>
      </c>
      <c r="BL142" t="s">
        <v>3087</v>
      </c>
      <c r="BM142" t="s">
        <v>3089</v>
      </c>
      <c r="BN142" t="s">
        <v>74</v>
      </c>
      <c r="BO142" t="s">
        <v>74</v>
      </c>
      <c r="BP142" t="s">
        <v>74</v>
      </c>
      <c r="BQ142" t="s">
        <v>74</v>
      </c>
      <c r="BR142" t="s">
        <v>106</v>
      </c>
      <c r="BS142" t="s">
        <v>3090</v>
      </c>
      <c r="BT142" t="str">
        <f>HYPERLINK("https%3A%2F%2Fwww.webofscience.com%2Fwos%2Fwoscc%2Ffull-record%2FWOS:000608418000005","View Full Record in Web of Science")</f>
        <v>View Full Record in Web of Science</v>
      </c>
    </row>
    <row r="143" spans="1:72" x14ac:dyDescent="0.15">
      <c r="A143" t="s">
        <v>72</v>
      </c>
      <c r="B143" t="s">
        <v>3091</v>
      </c>
      <c r="C143" t="s">
        <v>74</v>
      </c>
      <c r="D143" t="s">
        <v>74</v>
      </c>
      <c r="E143" t="s">
        <v>74</v>
      </c>
      <c r="F143" t="s">
        <v>3092</v>
      </c>
      <c r="G143" t="s">
        <v>74</v>
      </c>
      <c r="H143" t="s">
        <v>74</v>
      </c>
      <c r="I143" t="s">
        <v>3093</v>
      </c>
      <c r="J143" t="s">
        <v>1850</v>
      </c>
      <c r="K143" t="s">
        <v>74</v>
      </c>
      <c r="L143" t="s">
        <v>74</v>
      </c>
      <c r="M143" t="s">
        <v>78</v>
      </c>
      <c r="N143" t="s">
        <v>1911</v>
      </c>
      <c r="O143" t="s">
        <v>74</v>
      </c>
      <c r="P143" t="s">
        <v>74</v>
      </c>
      <c r="Q143" t="s">
        <v>74</v>
      </c>
      <c r="R143" t="s">
        <v>74</v>
      </c>
      <c r="S143" t="s">
        <v>74</v>
      </c>
      <c r="T143" t="s">
        <v>3094</v>
      </c>
      <c r="U143" t="s">
        <v>74</v>
      </c>
      <c r="V143" t="s">
        <v>3095</v>
      </c>
      <c r="W143" t="s">
        <v>3096</v>
      </c>
      <c r="X143" t="s">
        <v>3097</v>
      </c>
      <c r="Y143" t="s">
        <v>3098</v>
      </c>
      <c r="Z143" t="s">
        <v>3099</v>
      </c>
      <c r="AA143" t="s">
        <v>3100</v>
      </c>
      <c r="AB143" t="s">
        <v>3101</v>
      </c>
      <c r="AC143" t="s">
        <v>74</v>
      </c>
      <c r="AD143" t="s">
        <v>74</v>
      </c>
      <c r="AE143" t="s">
        <v>74</v>
      </c>
      <c r="AF143" t="s">
        <v>74</v>
      </c>
      <c r="AG143">
        <v>12</v>
      </c>
      <c r="AH143">
        <v>3</v>
      </c>
      <c r="AI143">
        <v>3</v>
      </c>
      <c r="AJ143">
        <v>1</v>
      </c>
      <c r="AK143">
        <v>8</v>
      </c>
      <c r="AL143" t="s">
        <v>951</v>
      </c>
      <c r="AM143" t="s">
        <v>952</v>
      </c>
      <c r="AN143" t="s">
        <v>953</v>
      </c>
      <c r="AO143" t="s">
        <v>1862</v>
      </c>
      <c r="AP143" t="s">
        <v>1863</v>
      </c>
      <c r="AQ143" t="s">
        <v>74</v>
      </c>
      <c r="AR143" t="s">
        <v>1850</v>
      </c>
      <c r="AS143" t="s">
        <v>1864</v>
      </c>
      <c r="AT143" t="s">
        <v>2912</v>
      </c>
      <c r="AU143">
        <v>2020</v>
      </c>
      <c r="AV143">
        <v>579</v>
      </c>
      <c r="AW143">
        <v>7800</v>
      </c>
      <c r="AX143" t="s">
        <v>74</v>
      </c>
      <c r="AY143" t="s">
        <v>74</v>
      </c>
      <c r="AZ143" t="s">
        <v>74</v>
      </c>
      <c r="BA143" t="s">
        <v>74</v>
      </c>
      <c r="BB143">
        <v>500</v>
      </c>
      <c r="BC143">
        <v>501</v>
      </c>
      <c r="BD143" t="s">
        <v>74</v>
      </c>
      <c r="BE143" t="s">
        <v>3102</v>
      </c>
      <c r="BF143" t="str">
        <f>HYPERLINK("http://dx.doi.org/10.1038/d41586-020-00787-x","http://dx.doi.org/10.1038/d41586-020-00787-x")</f>
        <v>http://dx.doi.org/10.1038/d41586-020-00787-x</v>
      </c>
      <c r="BG143" t="s">
        <v>74</v>
      </c>
      <c r="BH143" t="s">
        <v>74</v>
      </c>
      <c r="BI143">
        <v>2</v>
      </c>
      <c r="BJ143" t="s">
        <v>322</v>
      </c>
      <c r="BK143" t="s">
        <v>1149</v>
      </c>
      <c r="BL143" t="s">
        <v>323</v>
      </c>
      <c r="BM143" t="s">
        <v>3103</v>
      </c>
      <c r="BN143">
        <v>32214251</v>
      </c>
      <c r="BO143" t="s">
        <v>74</v>
      </c>
      <c r="BP143" t="s">
        <v>74</v>
      </c>
      <c r="BQ143" t="s">
        <v>74</v>
      </c>
      <c r="BR143" t="s">
        <v>106</v>
      </c>
      <c r="BS143" t="s">
        <v>3104</v>
      </c>
      <c r="BT143" t="str">
        <f>HYPERLINK("https%3A%2F%2Fwww.webofscience.com%2Fwos%2Fwoscc%2Ffull-record%2FWOS:000521825500015","View Full Record in Web of Science")</f>
        <v>View Full Record in Web of Science</v>
      </c>
    </row>
    <row r="144" spans="1:72" x14ac:dyDescent="0.15">
      <c r="A144" t="s">
        <v>72</v>
      </c>
      <c r="B144" t="s">
        <v>3105</v>
      </c>
      <c r="C144" t="s">
        <v>74</v>
      </c>
      <c r="D144" t="s">
        <v>74</v>
      </c>
      <c r="E144" t="s">
        <v>74</v>
      </c>
      <c r="F144" t="s">
        <v>3106</v>
      </c>
      <c r="G144" t="s">
        <v>74</v>
      </c>
      <c r="H144" t="s">
        <v>74</v>
      </c>
      <c r="I144" t="s">
        <v>3107</v>
      </c>
      <c r="J144" t="s">
        <v>3108</v>
      </c>
      <c r="K144" t="s">
        <v>74</v>
      </c>
      <c r="L144" t="s">
        <v>74</v>
      </c>
      <c r="M144" t="s">
        <v>78</v>
      </c>
      <c r="N144" t="s">
        <v>1911</v>
      </c>
      <c r="O144" t="s">
        <v>74</v>
      </c>
      <c r="P144" t="s">
        <v>74</v>
      </c>
      <c r="Q144" t="s">
        <v>74</v>
      </c>
      <c r="R144" t="s">
        <v>74</v>
      </c>
      <c r="S144" t="s">
        <v>74</v>
      </c>
      <c r="T144" t="s">
        <v>74</v>
      </c>
      <c r="U144" t="s">
        <v>3109</v>
      </c>
      <c r="V144" t="s">
        <v>3110</v>
      </c>
      <c r="W144" t="s">
        <v>3111</v>
      </c>
      <c r="X144" t="s">
        <v>3112</v>
      </c>
      <c r="Y144" t="s">
        <v>3113</v>
      </c>
      <c r="Z144" t="s">
        <v>3114</v>
      </c>
      <c r="AA144" t="s">
        <v>3115</v>
      </c>
      <c r="AB144" t="s">
        <v>3116</v>
      </c>
      <c r="AC144" t="s">
        <v>3117</v>
      </c>
      <c r="AD144" t="s">
        <v>3118</v>
      </c>
      <c r="AE144" t="s">
        <v>3119</v>
      </c>
      <c r="AF144" t="s">
        <v>74</v>
      </c>
      <c r="AG144">
        <v>16</v>
      </c>
      <c r="AH144">
        <v>3</v>
      </c>
      <c r="AI144">
        <v>3</v>
      </c>
      <c r="AJ144">
        <v>0</v>
      </c>
      <c r="AK144">
        <v>3</v>
      </c>
      <c r="AL144" t="s">
        <v>3120</v>
      </c>
      <c r="AM144" t="s">
        <v>3121</v>
      </c>
      <c r="AN144" t="s">
        <v>3122</v>
      </c>
      <c r="AO144" t="s">
        <v>3123</v>
      </c>
      <c r="AP144" t="s">
        <v>74</v>
      </c>
      <c r="AQ144" t="s">
        <v>74</v>
      </c>
      <c r="AR144" t="s">
        <v>3108</v>
      </c>
      <c r="AS144" t="s">
        <v>639</v>
      </c>
      <c r="AT144" t="s">
        <v>2912</v>
      </c>
      <c r="AU144">
        <v>2020</v>
      </c>
      <c r="AV144">
        <v>33</v>
      </c>
      <c r="AW144">
        <v>1</v>
      </c>
      <c r="AX144" t="s">
        <v>74</v>
      </c>
      <c r="AY144" t="s">
        <v>74</v>
      </c>
      <c r="AZ144" t="s">
        <v>74</v>
      </c>
      <c r="BA144" t="s">
        <v>74</v>
      </c>
      <c r="BB144">
        <v>11</v>
      </c>
      <c r="BC144">
        <v>15</v>
      </c>
      <c r="BD144" t="s">
        <v>74</v>
      </c>
      <c r="BE144" t="s">
        <v>3124</v>
      </c>
      <c r="BF144" t="str">
        <f>HYPERLINK("http://dx.doi.org/10.5670/oceanog.2020.109","http://dx.doi.org/10.5670/oceanog.2020.109")</f>
        <v>http://dx.doi.org/10.5670/oceanog.2020.109</v>
      </c>
      <c r="BG144" t="s">
        <v>74</v>
      </c>
      <c r="BH144" t="s">
        <v>74</v>
      </c>
      <c r="BI144">
        <v>5</v>
      </c>
      <c r="BJ144" t="s">
        <v>639</v>
      </c>
      <c r="BK144" t="s">
        <v>103</v>
      </c>
      <c r="BL144" t="s">
        <v>639</v>
      </c>
      <c r="BM144" t="s">
        <v>3125</v>
      </c>
      <c r="BN144" t="s">
        <v>74</v>
      </c>
      <c r="BO144" t="s">
        <v>667</v>
      </c>
      <c r="BP144" t="s">
        <v>74</v>
      </c>
      <c r="BQ144" t="s">
        <v>74</v>
      </c>
      <c r="BR144" t="s">
        <v>106</v>
      </c>
      <c r="BS144" t="s">
        <v>3126</v>
      </c>
      <c r="BT144" t="str">
        <f>HYPERLINK("https%3A%2F%2Fwww.webofscience.com%2Fwos%2Fwoscc%2Ffull-record%2FWOS:000521731800004","View Full Record in Web of Science")</f>
        <v>View Full Record in Web of Science</v>
      </c>
    </row>
    <row r="145" spans="1:72" x14ac:dyDescent="0.15">
      <c r="A145" t="s">
        <v>72</v>
      </c>
      <c r="B145" t="s">
        <v>3127</v>
      </c>
      <c r="C145" t="s">
        <v>74</v>
      </c>
      <c r="D145" t="s">
        <v>74</v>
      </c>
      <c r="E145" t="s">
        <v>74</v>
      </c>
      <c r="F145" t="s">
        <v>3128</v>
      </c>
      <c r="G145" t="s">
        <v>74</v>
      </c>
      <c r="H145" t="s">
        <v>74</v>
      </c>
      <c r="I145" t="s">
        <v>3129</v>
      </c>
      <c r="J145" t="s">
        <v>3130</v>
      </c>
      <c r="K145" t="s">
        <v>74</v>
      </c>
      <c r="L145" t="s">
        <v>74</v>
      </c>
      <c r="M145" t="s">
        <v>78</v>
      </c>
      <c r="N145" t="s">
        <v>1911</v>
      </c>
      <c r="O145" t="s">
        <v>74</v>
      </c>
      <c r="P145" t="s">
        <v>74</v>
      </c>
      <c r="Q145" t="s">
        <v>74</v>
      </c>
      <c r="R145" t="s">
        <v>74</v>
      </c>
      <c r="S145" t="s">
        <v>74</v>
      </c>
      <c r="T145" t="s">
        <v>3131</v>
      </c>
      <c r="U145" t="s">
        <v>3132</v>
      </c>
      <c r="V145" t="s">
        <v>3133</v>
      </c>
      <c r="W145" t="s">
        <v>3134</v>
      </c>
      <c r="X145" t="s">
        <v>3135</v>
      </c>
      <c r="Y145" t="s">
        <v>3136</v>
      </c>
      <c r="Z145" t="s">
        <v>3137</v>
      </c>
      <c r="AA145" t="s">
        <v>3138</v>
      </c>
      <c r="AB145" t="s">
        <v>3139</v>
      </c>
      <c r="AC145" t="s">
        <v>3140</v>
      </c>
      <c r="AD145" t="s">
        <v>3141</v>
      </c>
      <c r="AE145" t="s">
        <v>3142</v>
      </c>
      <c r="AF145" t="s">
        <v>74</v>
      </c>
      <c r="AG145">
        <v>64</v>
      </c>
      <c r="AH145">
        <v>3</v>
      </c>
      <c r="AI145">
        <v>3</v>
      </c>
      <c r="AJ145">
        <v>1</v>
      </c>
      <c r="AK145">
        <v>19</v>
      </c>
      <c r="AL145" t="s">
        <v>1055</v>
      </c>
      <c r="AM145" t="s">
        <v>435</v>
      </c>
      <c r="AN145" t="s">
        <v>1056</v>
      </c>
      <c r="AO145" t="s">
        <v>3143</v>
      </c>
      <c r="AP145" t="s">
        <v>3144</v>
      </c>
      <c r="AQ145" t="s">
        <v>74</v>
      </c>
      <c r="AR145" t="s">
        <v>3145</v>
      </c>
      <c r="AS145" t="s">
        <v>3146</v>
      </c>
      <c r="AT145" t="s">
        <v>2912</v>
      </c>
      <c r="AU145">
        <v>2020</v>
      </c>
      <c r="AV145">
        <v>188</v>
      </c>
      <c r="AW145">
        <v>3</v>
      </c>
      <c r="AX145" t="s">
        <v>74</v>
      </c>
      <c r="AY145" t="s">
        <v>74</v>
      </c>
      <c r="AZ145" t="s">
        <v>74</v>
      </c>
      <c r="BA145" t="s">
        <v>74</v>
      </c>
      <c r="BB145">
        <v>655</v>
      </c>
      <c r="BC145">
        <v>662</v>
      </c>
      <c r="BD145" t="s">
        <v>74</v>
      </c>
      <c r="BE145" t="s">
        <v>74</v>
      </c>
      <c r="BF145" t="s">
        <v>74</v>
      </c>
      <c r="BG145" t="s">
        <v>74</v>
      </c>
      <c r="BH145" t="s">
        <v>74</v>
      </c>
      <c r="BI145">
        <v>8</v>
      </c>
      <c r="BJ145" t="s">
        <v>2510</v>
      </c>
      <c r="BK145" t="s">
        <v>103</v>
      </c>
      <c r="BL145" t="s">
        <v>2510</v>
      </c>
      <c r="BM145" t="s">
        <v>3147</v>
      </c>
      <c r="BN145" t="s">
        <v>74</v>
      </c>
      <c r="BO145" t="s">
        <v>74</v>
      </c>
      <c r="BP145" t="s">
        <v>74</v>
      </c>
      <c r="BQ145" t="s">
        <v>74</v>
      </c>
      <c r="BR145" t="s">
        <v>106</v>
      </c>
      <c r="BS145" t="s">
        <v>3148</v>
      </c>
      <c r="BT145" t="str">
        <f>HYPERLINK("https%3A%2F%2Fwww.webofscience.com%2Fwos%2Fwoscc%2Ffull-record%2FWOS:000531861500001","View Full Record in Web of Science")</f>
        <v>View Full Record in Web of Science</v>
      </c>
    </row>
    <row r="146" spans="1:72" x14ac:dyDescent="0.15">
      <c r="A146" t="s">
        <v>72</v>
      </c>
      <c r="B146" t="s">
        <v>3149</v>
      </c>
      <c r="C146" t="s">
        <v>74</v>
      </c>
      <c r="D146" t="s">
        <v>74</v>
      </c>
      <c r="E146" t="s">
        <v>74</v>
      </c>
      <c r="F146" t="s">
        <v>3150</v>
      </c>
      <c r="G146" t="s">
        <v>74</v>
      </c>
      <c r="H146" t="s">
        <v>74</v>
      </c>
      <c r="I146" t="s">
        <v>3151</v>
      </c>
      <c r="J146" t="s">
        <v>3152</v>
      </c>
      <c r="K146" t="s">
        <v>74</v>
      </c>
      <c r="L146" t="s">
        <v>74</v>
      </c>
      <c r="M146" t="s">
        <v>78</v>
      </c>
      <c r="N146" t="s">
        <v>79</v>
      </c>
      <c r="O146" t="s">
        <v>74</v>
      </c>
      <c r="P146" t="s">
        <v>74</v>
      </c>
      <c r="Q146" t="s">
        <v>74</v>
      </c>
      <c r="R146" t="s">
        <v>74</v>
      </c>
      <c r="S146" t="s">
        <v>74</v>
      </c>
      <c r="T146" t="s">
        <v>3153</v>
      </c>
      <c r="U146" t="s">
        <v>3154</v>
      </c>
      <c r="V146" t="s">
        <v>3155</v>
      </c>
      <c r="W146" t="s">
        <v>3156</v>
      </c>
      <c r="X146" t="s">
        <v>3157</v>
      </c>
      <c r="Y146" t="s">
        <v>3158</v>
      </c>
      <c r="Z146" t="s">
        <v>3159</v>
      </c>
      <c r="AA146" t="s">
        <v>74</v>
      </c>
      <c r="AB146" t="s">
        <v>3160</v>
      </c>
      <c r="AC146" t="s">
        <v>3161</v>
      </c>
      <c r="AD146" t="s">
        <v>3162</v>
      </c>
      <c r="AE146" t="s">
        <v>3163</v>
      </c>
      <c r="AF146" t="s">
        <v>74</v>
      </c>
      <c r="AG146">
        <v>50</v>
      </c>
      <c r="AH146">
        <v>3</v>
      </c>
      <c r="AI146">
        <v>4</v>
      </c>
      <c r="AJ146">
        <v>4</v>
      </c>
      <c r="AK146">
        <v>21</v>
      </c>
      <c r="AL146" t="s">
        <v>92</v>
      </c>
      <c r="AM146" t="s">
        <v>93</v>
      </c>
      <c r="AN146" t="s">
        <v>94</v>
      </c>
      <c r="AO146" t="s">
        <v>3164</v>
      </c>
      <c r="AP146" t="s">
        <v>74</v>
      </c>
      <c r="AQ146" t="s">
        <v>74</v>
      </c>
      <c r="AR146" t="s">
        <v>3165</v>
      </c>
      <c r="AS146" t="s">
        <v>3166</v>
      </c>
      <c r="AT146" t="s">
        <v>2912</v>
      </c>
      <c r="AU146">
        <v>2020</v>
      </c>
      <c r="AV146">
        <v>2</v>
      </c>
      <c r="AW146">
        <v>3</v>
      </c>
      <c r="AX146" t="s">
        <v>74</v>
      </c>
      <c r="AY146" t="s">
        <v>74</v>
      </c>
      <c r="AZ146" t="s">
        <v>74</v>
      </c>
      <c r="BA146" t="s">
        <v>74</v>
      </c>
      <c r="BB146" t="s">
        <v>74</v>
      </c>
      <c r="BC146" t="s">
        <v>74</v>
      </c>
      <c r="BD146">
        <v>35003</v>
      </c>
      <c r="BE146" t="s">
        <v>3167</v>
      </c>
      <c r="BF146" t="str">
        <f>HYPERLINK("http://dx.doi.org/10.1088/2515-7620/ab7cb4","http://dx.doi.org/10.1088/2515-7620/ab7cb4")</f>
        <v>http://dx.doi.org/10.1088/2515-7620/ab7cb4</v>
      </c>
      <c r="BG146" t="s">
        <v>74</v>
      </c>
      <c r="BH146" t="s">
        <v>74</v>
      </c>
      <c r="BI146">
        <v>19</v>
      </c>
      <c r="BJ146" t="s">
        <v>1196</v>
      </c>
      <c r="BK146" t="s">
        <v>103</v>
      </c>
      <c r="BL146" t="s">
        <v>219</v>
      </c>
      <c r="BM146" t="s">
        <v>3168</v>
      </c>
      <c r="BN146" t="s">
        <v>74</v>
      </c>
      <c r="BO146" t="s">
        <v>2592</v>
      </c>
      <c r="BP146" t="s">
        <v>74</v>
      </c>
      <c r="BQ146" t="s">
        <v>74</v>
      </c>
      <c r="BR146" t="s">
        <v>106</v>
      </c>
      <c r="BS146" t="s">
        <v>3169</v>
      </c>
      <c r="BT146" t="str">
        <f>HYPERLINK("https%3A%2F%2Fwww.webofscience.com%2Fwos%2Fwoscc%2Ffull-record%2FWOS:000579508300003","View Full Record in Web of Science")</f>
        <v>View Full Record in Web of Science</v>
      </c>
    </row>
    <row r="147" spans="1:72" x14ac:dyDescent="0.15">
      <c r="A147" t="s">
        <v>72</v>
      </c>
      <c r="B147" t="s">
        <v>3170</v>
      </c>
      <c r="C147" t="s">
        <v>74</v>
      </c>
      <c r="D147" t="s">
        <v>74</v>
      </c>
      <c r="E147" t="s">
        <v>74</v>
      </c>
      <c r="F147" t="s">
        <v>3171</v>
      </c>
      <c r="G147" t="s">
        <v>74</v>
      </c>
      <c r="H147" t="s">
        <v>74</v>
      </c>
      <c r="I147" t="s">
        <v>3172</v>
      </c>
      <c r="J147" t="s">
        <v>3173</v>
      </c>
      <c r="K147" t="s">
        <v>74</v>
      </c>
      <c r="L147" t="s">
        <v>74</v>
      </c>
      <c r="M147" t="s">
        <v>78</v>
      </c>
      <c r="N147" t="s">
        <v>767</v>
      </c>
      <c r="O147" t="s">
        <v>74</v>
      </c>
      <c r="P147" t="s">
        <v>74</v>
      </c>
      <c r="Q147" t="s">
        <v>74</v>
      </c>
      <c r="R147" t="s">
        <v>74</v>
      </c>
      <c r="S147" t="s">
        <v>74</v>
      </c>
      <c r="T147" t="s">
        <v>3174</v>
      </c>
      <c r="U147" t="s">
        <v>3175</v>
      </c>
      <c r="V147" t="s">
        <v>74</v>
      </c>
      <c r="W147" t="s">
        <v>3176</v>
      </c>
      <c r="X147" t="s">
        <v>3177</v>
      </c>
      <c r="Y147" t="s">
        <v>3178</v>
      </c>
      <c r="Z147" t="s">
        <v>3179</v>
      </c>
      <c r="AA147" t="s">
        <v>3180</v>
      </c>
      <c r="AB147" t="s">
        <v>3181</v>
      </c>
      <c r="AC147" t="s">
        <v>3182</v>
      </c>
      <c r="AD147" t="s">
        <v>3183</v>
      </c>
      <c r="AE147" t="s">
        <v>3184</v>
      </c>
      <c r="AF147" t="s">
        <v>74</v>
      </c>
      <c r="AG147">
        <v>15</v>
      </c>
      <c r="AH147">
        <v>0</v>
      </c>
      <c r="AI147">
        <v>0</v>
      </c>
      <c r="AJ147">
        <v>1</v>
      </c>
      <c r="AK147">
        <v>1</v>
      </c>
      <c r="AL147" t="s">
        <v>3185</v>
      </c>
      <c r="AM147" t="s">
        <v>3186</v>
      </c>
      <c r="AN147" t="s">
        <v>3187</v>
      </c>
      <c r="AO147" t="s">
        <v>3188</v>
      </c>
      <c r="AP147" t="s">
        <v>3189</v>
      </c>
      <c r="AQ147" t="s">
        <v>74</v>
      </c>
      <c r="AR147" t="s">
        <v>3190</v>
      </c>
      <c r="AS147" t="s">
        <v>3191</v>
      </c>
      <c r="AT147" t="s">
        <v>3192</v>
      </c>
      <c r="AU147">
        <v>2020</v>
      </c>
      <c r="AV147">
        <v>14</v>
      </c>
      <c r="AW147">
        <v>1</v>
      </c>
      <c r="AX147" t="s">
        <v>74</v>
      </c>
      <c r="AY147" t="s">
        <v>74</v>
      </c>
      <c r="AZ147" t="s">
        <v>74</v>
      </c>
      <c r="BA147" t="s">
        <v>74</v>
      </c>
      <c r="BB147">
        <v>129</v>
      </c>
      <c r="BC147">
        <v>134</v>
      </c>
      <c r="BD147" t="s">
        <v>74</v>
      </c>
      <c r="BE147" t="s">
        <v>74</v>
      </c>
      <c r="BF147" t="s">
        <v>74</v>
      </c>
      <c r="BG147" t="s">
        <v>74</v>
      </c>
      <c r="BH147" t="s">
        <v>74</v>
      </c>
      <c r="BI147">
        <v>6</v>
      </c>
      <c r="BJ147" t="s">
        <v>130</v>
      </c>
      <c r="BK147" t="s">
        <v>103</v>
      </c>
      <c r="BL147" t="s">
        <v>131</v>
      </c>
      <c r="BM147" t="s">
        <v>3193</v>
      </c>
      <c r="BN147" t="s">
        <v>74</v>
      </c>
      <c r="BO147" t="s">
        <v>74</v>
      </c>
      <c r="BP147" t="s">
        <v>74</v>
      </c>
      <c r="BQ147" t="s">
        <v>74</v>
      </c>
      <c r="BR147" t="s">
        <v>106</v>
      </c>
      <c r="BS147" t="s">
        <v>3194</v>
      </c>
      <c r="BT147" t="str">
        <f>HYPERLINK("https%3A%2F%2Fwww.webofscience.com%2Fwos%2Fwoscc%2Ffull-record%2FWOS:000572538100013","View Full Record in Web of Science")</f>
        <v>View Full Record in Web of Science</v>
      </c>
    </row>
    <row r="148" spans="1:72" x14ac:dyDescent="0.15">
      <c r="A148" t="s">
        <v>72</v>
      </c>
      <c r="B148" t="s">
        <v>3195</v>
      </c>
      <c r="C148" t="s">
        <v>74</v>
      </c>
      <c r="D148" t="s">
        <v>74</v>
      </c>
      <c r="E148" t="s">
        <v>74</v>
      </c>
      <c r="F148" t="s">
        <v>3196</v>
      </c>
      <c r="G148" t="s">
        <v>74</v>
      </c>
      <c r="H148" t="s">
        <v>74</v>
      </c>
      <c r="I148" t="s">
        <v>3197</v>
      </c>
      <c r="J148" t="s">
        <v>3198</v>
      </c>
      <c r="K148" t="s">
        <v>74</v>
      </c>
      <c r="L148" t="s">
        <v>74</v>
      </c>
      <c r="M148" t="s">
        <v>78</v>
      </c>
      <c r="N148" t="s">
        <v>79</v>
      </c>
      <c r="O148" t="s">
        <v>74</v>
      </c>
      <c r="P148" t="s">
        <v>74</v>
      </c>
      <c r="Q148" t="s">
        <v>74</v>
      </c>
      <c r="R148" t="s">
        <v>74</v>
      </c>
      <c r="S148" t="s">
        <v>74</v>
      </c>
      <c r="T148" t="s">
        <v>3199</v>
      </c>
      <c r="U148" t="s">
        <v>3200</v>
      </c>
      <c r="V148" t="s">
        <v>3201</v>
      </c>
      <c r="W148" t="s">
        <v>3202</v>
      </c>
      <c r="X148" t="s">
        <v>3203</v>
      </c>
      <c r="Y148" t="s">
        <v>3204</v>
      </c>
      <c r="Z148" t="s">
        <v>3205</v>
      </c>
      <c r="AA148" t="s">
        <v>3206</v>
      </c>
      <c r="AB148" t="s">
        <v>74</v>
      </c>
      <c r="AC148" t="s">
        <v>3207</v>
      </c>
      <c r="AD148" t="s">
        <v>3208</v>
      </c>
      <c r="AE148" t="s">
        <v>3209</v>
      </c>
      <c r="AF148" t="s">
        <v>74</v>
      </c>
      <c r="AG148">
        <v>56</v>
      </c>
      <c r="AH148">
        <v>64</v>
      </c>
      <c r="AI148">
        <v>71</v>
      </c>
      <c r="AJ148">
        <v>44</v>
      </c>
      <c r="AK148">
        <v>211</v>
      </c>
      <c r="AL148" t="s">
        <v>434</v>
      </c>
      <c r="AM148" t="s">
        <v>435</v>
      </c>
      <c r="AN148" t="s">
        <v>436</v>
      </c>
      <c r="AO148" t="s">
        <v>3210</v>
      </c>
      <c r="AP148" t="s">
        <v>3211</v>
      </c>
      <c r="AQ148" t="s">
        <v>74</v>
      </c>
      <c r="AR148" t="s">
        <v>3212</v>
      </c>
      <c r="AS148" t="s">
        <v>3213</v>
      </c>
      <c r="AT148" t="s">
        <v>2912</v>
      </c>
      <c r="AU148">
        <v>2020</v>
      </c>
      <c r="AV148">
        <v>152</v>
      </c>
      <c r="AW148" t="s">
        <v>74</v>
      </c>
      <c r="AX148" t="s">
        <v>74</v>
      </c>
      <c r="AY148" t="s">
        <v>74</v>
      </c>
      <c r="AZ148" t="s">
        <v>74</v>
      </c>
      <c r="BA148" t="s">
        <v>74</v>
      </c>
      <c r="BB148" t="s">
        <v>74</v>
      </c>
      <c r="BC148" t="s">
        <v>74</v>
      </c>
      <c r="BD148">
        <v>110885</v>
      </c>
      <c r="BE148" t="s">
        <v>3214</v>
      </c>
      <c r="BF148" t="str">
        <f>HYPERLINK("http://dx.doi.org/10.1016/j.marpolbul.2020.110885","http://dx.doi.org/10.1016/j.marpolbul.2020.110885")</f>
        <v>http://dx.doi.org/10.1016/j.marpolbul.2020.110885</v>
      </c>
      <c r="BG148" t="s">
        <v>74</v>
      </c>
      <c r="BH148" t="s">
        <v>74</v>
      </c>
      <c r="BI148">
        <v>8</v>
      </c>
      <c r="BJ148" t="s">
        <v>1356</v>
      </c>
      <c r="BK148" t="s">
        <v>103</v>
      </c>
      <c r="BL148" t="s">
        <v>1357</v>
      </c>
      <c r="BM148" t="s">
        <v>3215</v>
      </c>
      <c r="BN148">
        <v>32479275</v>
      </c>
      <c r="BO148" t="s">
        <v>74</v>
      </c>
      <c r="BP148" t="s">
        <v>74</v>
      </c>
      <c r="BQ148" t="s">
        <v>74</v>
      </c>
      <c r="BR148" t="s">
        <v>106</v>
      </c>
      <c r="BS148" t="s">
        <v>3216</v>
      </c>
      <c r="BT148" t="str">
        <f>HYPERLINK("https%3A%2F%2Fwww.webofscience.com%2Fwos%2Fwoscc%2Ffull-record%2FWOS:000544550000067","View Full Record in Web of Science")</f>
        <v>View Full Record in Web of Science</v>
      </c>
    </row>
    <row r="149" spans="1:72" x14ac:dyDescent="0.15">
      <c r="A149" t="s">
        <v>72</v>
      </c>
      <c r="B149" t="s">
        <v>3217</v>
      </c>
      <c r="C149" t="s">
        <v>74</v>
      </c>
      <c r="D149" t="s">
        <v>74</v>
      </c>
      <c r="E149" t="s">
        <v>74</v>
      </c>
      <c r="F149" t="s">
        <v>3218</v>
      </c>
      <c r="G149" t="s">
        <v>74</v>
      </c>
      <c r="H149" t="s">
        <v>74</v>
      </c>
      <c r="I149" t="s">
        <v>3219</v>
      </c>
      <c r="J149" t="s">
        <v>3220</v>
      </c>
      <c r="K149" t="s">
        <v>74</v>
      </c>
      <c r="L149" t="s">
        <v>74</v>
      </c>
      <c r="M149" t="s">
        <v>78</v>
      </c>
      <c r="N149" t="s">
        <v>79</v>
      </c>
      <c r="O149" t="s">
        <v>74</v>
      </c>
      <c r="P149" t="s">
        <v>74</v>
      </c>
      <c r="Q149" t="s">
        <v>74</v>
      </c>
      <c r="R149" t="s">
        <v>74</v>
      </c>
      <c r="S149" t="s">
        <v>74</v>
      </c>
      <c r="T149" t="s">
        <v>3221</v>
      </c>
      <c r="U149" t="s">
        <v>3222</v>
      </c>
      <c r="V149" t="s">
        <v>3223</v>
      </c>
      <c r="W149" t="s">
        <v>3224</v>
      </c>
      <c r="X149" t="s">
        <v>3225</v>
      </c>
      <c r="Y149" t="s">
        <v>3226</v>
      </c>
      <c r="Z149" t="s">
        <v>3227</v>
      </c>
      <c r="AA149" t="s">
        <v>3228</v>
      </c>
      <c r="AB149" t="s">
        <v>3229</v>
      </c>
      <c r="AC149" t="s">
        <v>3230</v>
      </c>
      <c r="AD149" t="s">
        <v>3231</v>
      </c>
      <c r="AE149" t="s">
        <v>3232</v>
      </c>
      <c r="AF149" t="s">
        <v>74</v>
      </c>
      <c r="AG149">
        <v>50</v>
      </c>
      <c r="AH149">
        <v>11</v>
      </c>
      <c r="AI149">
        <v>11</v>
      </c>
      <c r="AJ149">
        <v>0</v>
      </c>
      <c r="AK149">
        <v>11</v>
      </c>
      <c r="AL149" t="s">
        <v>3233</v>
      </c>
      <c r="AM149" t="s">
        <v>3234</v>
      </c>
      <c r="AN149" t="s">
        <v>3235</v>
      </c>
      <c r="AO149" t="s">
        <v>3236</v>
      </c>
      <c r="AP149" t="s">
        <v>3237</v>
      </c>
      <c r="AQ149" t="s">
        <v>74</v>
      </c>
      <c r="AR149" t="s">
        <v>3238</v>
      </c>
      <c r="AS149" t="s">
        <v>3239</v>
      </c>
      <c r="AT149" t="s">
        <v>2912</v>
      </c>
      <c r="AU149">
        <v>2020</v>
      </c>
      <c r="AV149">
        <v>223</v>
      </c>
      <c r="AW149">
        <v>5</v>
      </c>
      <c r="AX149" t="s">
        <v>74</v>
      </c>
      <c r="AY149" t="s">
        <v>74</v>
      </c>
      <c r="AZ149" t="s">
        <v>74</v>
      </c>
      <c r="BA149" t="s">
        <v>74</v>
      </c>
      <c r="BB149" t="s">
        <v>74</v>
      </c>
      <c r="BC149" t="s">
        <v>74</v>
      </c>
      <c r="BD149" t="s">
        <v>3240</v>
      </c>
      <c r="BE149" t="s">
        <v>3241</v>
      </c>
      <c r="BF149" t="str">
        <f>HYPERLINK("http://dx.doi.org/10.1242/jeb.211250","http://dx.doi.org/10.1242/jeb.211250")</f>
        <v>http://dx.doi.org/10.1242/jeb.211250</v>
      </c>
      <c r="BG149" t="s">
        <v>74</v>
      </c>
      <c r="BH149" t="s">
        <v>74</v>
      </c>
      <c r="BI149">
        <v>10</v>
      </c>
      <c r="BJ149" t="s">
        <v>1498</v>
      </c>
      <c r="BK149" t="s">
        <v>103</v>
      </c>
      <c r="BL149" t="s">
        <v>1499</v>
      </c>
      <c r="BM149" t="s">
        <v>3242</v>
      </c>
      <c r="BN149" t="s">
        <v>74</v>
      </c>
      <c r="BO149" t="s">
        <v>3243</v>
      </c>
      <c r="BP149" t="s">
        <v>74</v>
      </c>
      <c r="BQ149" t="s">
        <v>74</v>
      </c>
      <c r="BR149" t="s">
        <v>106</v>
      </c>
      <c r="BS149" t="s">
        <v>3244</v>
      </c>
      <c r="BT149" t="str">
        <f>HYPERLINK("https%3A%2F%2Fwww.webofscience.com%2Fwos%2Fwoscc%2Ffull-record%2FWOS:000541826200004","View Full Record in Web of Science")</f>
        <v>View Full Record in Web of Science</v>
      </c>
    </row>
    <row r="150" spans="1:72" x14ac:dyDescent="0.15">
      <c r="A150" t="s">
        <v>72</v>
      </c>
      <c r="B150" t="s">
        <v>3245</v>
      </c>
      <c r="C150" t="s">
        <v>74</v>
      </c>
      <c r="D150" t="s">
        <v>74</v>
      </c>
      <c r="E150" t="s">
        <v>74</v>
      </c>
      <c r="F150" t="s">
        <v>3246</v>
      </c>
      <c r="G150" t="s">
        <v>74</v>
      </c>
      <c r="H150" t="s">
        <v>74</v>
      </c>
      <c r="I150" t="s">
        <v>3247</v>
      </c>
      <c r="J150" t="s">
        <v>3248</v>
      </c>
      <c r="K150" t="s">
        <v>74</v>
      </c>
      <c r="L150" t="s">
        <v>74</v>
      </c>
      <c r="M150" t="s">
        <v>78</v>
      </c>
      <c r="N150" t="s">
        <v>52</v>
      </c>
      <c r="O150" t="s">
        <v>3249</v>
      </c>
      <c r="P150" t="s">
        <v>3250</v>
      </c>
      <c r="Q150" t="s">
        <v>3251</v>
      </c>
      <c r="R150" t="s">
        <v>74</v>
      </c>
      <c r="S150" t="s">
        <v>74</v>
      </c>
      <c r="T150" t="s">
        <v>74</v>
      </c>
      <c r="U150" t="s">
        <v>74</v>
      </c>
      <c r="V150" t="s">
        <v>74</v>
      </c>
      <c r="W150" t="s">
        <v>3252</v>
      </c>
      <c r="X150" t="s">
        <v>3253</v>
      </c>
      <c r="Y150" t="s">
        <v>74</v>
      </c>
      <c r="Z150" t="s">
        <v>3254</v>
      </c>
      <c r="AA150" t="s">
        <v>74</v>
      </c>
      <c r="AB150" t="s">
        <v>74</v>
      </c>
      <c r="AC150" t="s">
        <v>74</v>
      </c>
      <c r="AD150" t="s">
        <v>74</v>
      </c>
      <c r="AE150" t="s">
        <v>74</v>
      </c>
      <c r="AF150" t="s">
        <v>74</v>
      </c>
      <c r="AG150">
        <v>0</v>
      </c>
      <c r="AH150">
        <v>1</v>
      </c>
      <c r="AI150">
        <v>1</v>
      </c>
      <c r="AJ150">
        <v>0</v>
      </c>
      <c r="AK150">
        <v>2</v>
      </c>
      <c r="AL150" t="s">
        <v>3077</v>
      </c>
      <c r="AM150" t="s">
        <v>3078</v>
      </c>
      <c r="AN150" t="s">
        <v>3079</v>
      </c>
      <c r="AO150" t="s">
        <v>3255</v>
      </c>
      <c r="AP150" t="s">
        <v>3256</v>
      </c>
      <c r="AQ150" t="s">
        <v>74</v>
      </c>
      <c r="AR150" t="s">
        <v>3257</v>
      </c>
      <c r="AS150" t="s">
        <v>3258</v>
      </c>
      <c r="AT150" t="s">
        <v>2912</v>
      </c>
      <c r="AU150">
        <v>2020</v>
      </c>
      <c r="AV150">
        <v>60</v>
      </c>
      <c r="AW150" t="s">
        <v>74</v>
      </c>
      <c r="AX150" t="s">
        <v>74</v>
      </c>
      <c r="AY150">
        <v>1</v>
      </c>
      <c r="AZ150" t="s">
        <v>74</v>
      </c>
      <c r="BA150" t="s">
        <v>3259</v>
      </c>
      <c r="BB150" t="s">
        <v>3260</v>
      </c>
      <c r="BC150" t="s">
        <v>3260</v>
      </c>
      <c r="BD150" t="s">
        <v>74</v>
      </c>
      <c r="BE150" t="s">
        <v>74</v>
      </c>
      <c r="BF150" t="s">
        <v>74</v>
      </c>
      <c r="BG150" t="s">
        <v>74</v>
      </c>
      <c r="BH150" t="s">
        <v>74</v>
      </c>
      <c r="BI150">
        <v>1</v>
      </c>
      <c r="BJ150" t="s">
        <v>2510</v>
      </c>
      <c r="BK150" t="s">
        <v>3261</v>
      </c>
      <c r="BL150" t="s">
        <v>2510</v>
      </c>
      <c r="BM150" t="s">
        <v>3262</v>
      </c>
      <c r="BN150" t="s">
        <v>74</v>
      </c>
      <c r="BO150" t="s">
        <v>74</v>
      </c>
      <c r="BP150" t="s">
        <v>74</v>
      </c>
      <c r="BQ150" t="s">
        <v>74</v>
      </c>
      <c r="BR150" t="s">
        <v>106</v>
      </c>
      <c r="BS150" t="s">
        <v>3263</v>
      </c>
      <c r="BT150" t="str">
        <f>HYPERLINK("https%3A%2F%2Fwww.webofscience.com%2Fwos%2Fwoscc%2Ffull-record%2FWOS:000536432400068","View Full Record in Web of Science")</f>
        <v>View Full Record in Web of Science</v>
      </c>
    </row>
    <row r="151" spans="1:72" x14ac:dyDescent="0.15">
      <c r="A151" t="s">
        <v>72</v>
      </c>
      <c r="B151" t="s">
        <v>3264</v>
      </c>
      <c r="C151" t="s">
        <v>74</v>
      </c>
      <c r="D151" t="s">
        <v>74</v>
      </c>
      <c r="E151" t="s">
        <v>74</v>
      </c>
      <c r="F151" t="s">
        <v>3265</v>
      </c>
      <c r="G151" t="s">
        <v>74</v>
      </c>
      <c r="H151" t="s">
        <v>74</v>
      </c>
      <c r="I151" t="s">
        <v>3266</v>
      </c>
      <c r="J151" t="s">
        <v>3248</v>
      </c>
      <c r="K151" t="s">
        <v>74</v>
      </c>
      <c r="L151" t="s">
        <v>74</v>
      </c>
      <c r="M151" t="s">
        <v>78</v>
      </c>
      <c r="N151" t="s">
        <v>52</v>
      </c>
      <c r="O151" t="s">
        <v>3249</v>
      </c>
      <c r="P151" t="s">
        <v>3250</v>
      </c>
      <c r="Q151" t="s">
        <v>3251</v>
      </c>
      <c r="R151" t="s">
        <v>74</v>
      </c>
      <c r="S151" t="s">
        <v>74</v>
      </c>
      <c r="T151" t="s">
        <v>74</v>
      </c>
      <c r="U151" t="s">
        <v>74</v>
      </c>
      <c r="V151" t="s">
        <v>74</v>
      </c>
      <c r="W151" t="s">
        <v>3267</v>
      </c>
      <c r="X151" t="s">
        <v>3268</v>
      </c>
      <c r="Y151" t="s">
        <v>74</v>
      </c>
      <c r="Z151" t="s">
        <v>3269</v>
      </c>
      <c r="AA151" t="s">
        <v>74</v>
      </c>
      <c r="AB151" t="s">
        <v>74</v>
      </c>
      <c r="AC151" t="s">
        <v>74</v>
      </c>
      <c r="AD151" t="s">
        <v>74</v>
      </c>
      <c r="AE151" t="s">
        <v>74</v>
      </c>
      <c r="AF151" t="s">
        <v>74</v>
      </c>
      <c r="AG151">
        <v>0</v>
      </c>
      <c r="AH151">
        <v>0</v>
      </c>
      <c r="AI151">
        <v>0</v>
      </c>
      <c r="AJ151">
        <v>0</v>
      </c>
      <c r="AK151">
        <v>2</v>
      </c>
      <c r="AL151" t="s">
        <v>3077</v>
      </c>
      <c r="AM151" t="s">
        <v>3078</v>
      </c>
      <c r="AN151" t="s">
        <v>3079</v>
      </c>
      <c r="AO151" t="s">
        <v>3255</v>
      </c>
      <c r="AP151" t="s">
        <v>3256</v>
      </c>
      <c r="AQ151" t="s">
        <v>74</v>
      </c>
      <c r="AR151" t="s">
        <v>3257</v>
      </c>
      <c r="AS151" t="s">
        <v>3258</v>
      </c>
      <c r="AT151" t="s">
        <v>2912</v>
      </c>
      <c r="AU151">
        <v>2020</v>
      </c>
      <c r="AV151">
        <v>60</v>
      </c>
      <c r="AW151" t="s">
        <v>74</v>
      </c>
      <c r="AX151" t="s">
        <v>74</v>
      </c>
      <c r="AY151">
        <v>1</v>
      </c>
      <c r="AZ151" t="s">
        <v>74</v>
      </c>
      <c r="BA151" t="s">
        <v>3270</v>
      </c>
      <c r="BB151" t="s">
        <v>3271</v>
      </c>
      <c r="BC151" t="s">
        <v>3271</v>
      </c>
      <c r="BD151" t="s">
        <v>74</v>
      </c>
      <c r="BE151" t="s">
        <v>74</v>
      </c>
      <c r="BF151" t="s">
        <v>74</v>
      </c>
      <c r="BG151" t="s">
        <v>74</v>
      </c>
      <c r="BH151" t="s">
        <v>74</v>
      </c>
      <c r="BI151">
        <v>1</v>
      </c>
      <c r="BJ151" t="s">
        <v>2510</v>
      </c>
      <c r="BK151" t="s">
        <v>3261</v>
      </c>
      <c r="BL151" t="s">
        <v>2510</v>
      </c>
      <c r="BM151" t="s">
        <v>3262</v>
      </c>
      <c r="BN151" t="s">
        <v>74</v>
      </c>
      <c r="BO151" t="s">
        <v>74</v>
      </c>
      <c r="BP151" t="s">
        <v>74</v>
      </c>
      <c r="BQ151" t="s">
        <v>74</v>
      </c>
      <c r="BR151" t="s">
        <v>106</v>
      </c>
      <c r="BS151" t="s">
        <v>3272</v>
      </c>
      <c r="BT151" t="str">
        <f>HYPERLINK("https%3A%2F%2Fwww.webofscience.com%2Fwos%2Fwoscc%2Ffull-record%2FWOS:000536432401387","View Full Record in Web of Science")</f>
        <v>View Full Record in Web of Science</v>
      </c>
    </row>
    <row r="152" spans="1:72" x14ac:dyDescent="0.15">
      <c r="A152" t="s">
        <v>72</v>
      </c>
      <c r="B152" t="s">
        <v>3273</v>
      </c>
      <c r="C152" t="s">
        <v>74</v>
      </c>
      <c r="D152" t="s">
        <v>74</v>
      </c>
      <c r="E152" t="s">
        <v>74</v>
      </c>
      <c r="F152" t="s">
        <v>3274</v>
      </c>
      <c r="G152" t="s">
        <v>74</v>
      </c>
      <c r="H152" t="s">
        <v>74</v>
      </c>
      <c r="I152" t="s">
        <v>3275</v>
      </c>
      <c r="J152" t="s">
        <v>3248</v>
      </c>
      <c r="K152" t="s">
        <v>74</v>
      </c>
      <c r="L152" t="s">
        <v>74</v>
      </c>
      <c r="M152" t="s">
        <v>78</v>
      </c>
      <c r="N152" t="s">
        <v>52</v>
      </c>
      <c r="O152" t="s">
        <v>3249</v>
      </c>
      <c r="P152" t="s">
        <v>3250</v>
      </c>
      <c r="Q152" t="s">
        <v>3251</v>
      </c>
      <c r="R152" t="s">
        <v>74</v>
      </c>
      <c r="S152" t="s">
        <v>74</v>
      </c>
      <c r="T152" t="s">
        <v>74</v>
      </c>
      <c r="U152" t="s">
        <v>74</v>
      </c>
      <c r="V152" t="s">
        <v>74</v>
      </c>
      <c r="W152" t="s">
        <v>3276</v>
      </c>
      <c r="X152" t="s">
        <v>3277</v>
      </c>
      <c r="Y152" t="s">
        <v>74</v>
      </c>
      <c r="Z152" t="s">
        <v>3278</v>
      </c>
      <c r="AA152" t="s">
        <v>74</v>
      </c>
      <c r="AB152" t="s">
        <v>74</v>
      </c>
      <c r="AC152" t="s">
        <v>74</v>
      </c>
      <c r="AD152" t="s">
        <v>74</v>
      </c>
      <c r="AE152" t="s">
        <v>74</v>
      </c>
      <c r="AF152" t="s">
        <v>74</v>
      </c>
      <c r="AG152">
        <v>0</v>
      </c>
      <c r="AH152">
        <v>0</v>
      </c>
      <c r="AI152">
        <v>0</v>
      </c>
      <c r="AJ152">
        <v>0</v>
      </c>
      <c r="AK152">
        <v>1</v>
      </c>
      <c r="AL152" t="s">
        <v>3077</v>
      </c>
      <c r="AM152" t="s">
        <v>3078</v>
      </c>
      <c r="AN152" t="s">
        <v>3079</v>
      </c>
      <c r="AO152" t="s">
        <v>3255</v>
      </c>
      <c r="AP152" t="s">
        <v>3256</v>
      </c>
      <c r="AQ152" t="s">
        <v>74</v>
      </c>
      <c r="AR152" t="s">
        <v>3257</v>
      </c>
      <c r="AS152" t="s">
        <v>3258</v>
      </c>
      <c r="AT152" t="s">
        <v>2912</v>
      </c>
      <c r="AU152">
        <v>2020</v>
      </c>
      <c r="AV152">
        <v>60</v>
      </c>
      <c r="AW152" t="s">
        <v>74</v>
      </c>
      <c r="AX152" t="s">
        <v>74</v>
      </c>
      <c r="AY152">
        <v>1</v>
      </c>
      <c r="AZ152" t="s">
        <v>74</v>
      </c>
      <c r="BA152" t="s">
        <v>3279</v>
      </c>
      <c r="BB152" t="s">
        <v>3280</v>
      </c>
      <c r="BC152" t="s">
        <v>3280</v>
      </c>
      <c r="BD152" t="s">
        <v>74</v>
      </c>
      <c r="BE152" t="s">
        <v>74</v>
      </c>
      <c r="BF152" t="s">
        <v>74</v>
      </c>
      <c r="BG152" t="s">
        <v>74</v>
      </c>
      <c r="BH152" t="s">
        <v>74</v>
      </c>
      <c r="BI152">
        <v>1</v>
      </c>
      <c r="BJ152" t="s">
        <v>2510</v>
      </c>
      <c r="BK152" t="s">
        <v>3261</v>
      </c>
      <c r="BL152" t="s">
        <v>2510</v>
      </c>
      <c r="BM152" t="s">
        <v>3262</v>
      </c>
      <c r="BN152" t="s">
        <v>74</v>
      </c>
      <c r="BO152" t="s">
        <v>74</v>
      </c>
      <c r="BP152" t="s">
        <v>74</v>
      </c>
      <c r="BQ152" t="s">
        <v>74</v>
      </c>
      <c r="BR152" t="s">
        <v>106</v>
      </c>
      <c r="BS152" t="s">
        <v>3281</v>
      </c>
      <c r="BT152" t="str">
        <f>HYPERLINK("https%3A%2F%2Fwww.webofscience.com%2Fwos%2Fwoscc%2Ffull-record%2FWOS:000536432400188","View Full Record in Web of Science")</f>
        <v>View Full Record in Web of Science</v>
      </c>
    </row>
    <row r="153" spans="1:72" x14ac:dyDescent="0.15">
      <c r="A153" t="s">
        <v>72</v>
      </c>
      <c r="B153" t="s">
        <v>3282</v>
      </c>
      <c r="C153" t="s">
        <v>74</v>
      </c>
      <c r="D153" t="s">
        <v>74</v>
      </c>
      <c r="E153" t="s">
        <v>74</v>
      </c>
      <c r="F153" t="s">
        <v>3283</v>
      </c>
      <c r="G153" t="s">
        <v>74</v>
      </c>
      <c r="H153" t="s">
        <v>74</v>
      </c>
      <c r="I153" t="s">
        <v>3284</v>
      </c>
      <c r="J153" t="s">
        <v>3248</v>
      </c>
      <c r="K153" t="s">
        <v>74</v>
      </c>
      <c r="L153" t="s">
        <v>74</v>
      </c>
      <c r="M153" t="s">
        <v>78</v>
      </c>
      <c r="N153" t="s">
        <v>52</v>
      </c>
      <c r="O153" t="s">
        <v>3249</v>
      </c>
      <c r="P153" t="s">
        <v>3250</v>
      </c>
      <c r="Q153" t="s">
        <v>3251</v>
      </c>
      <c r="R153" t="s">
        <v>74</v>
      </c>
      <c r="S153" t="s">
        <v>74</v>
      </c>
      <c r="T153" t="s">
        <v>74</v>
      </c>
      <c r="U153" t="s">
        <v>74</v>
      </c>
      <c r="V153" t="s">
        <v>74</v>
      </c>
      <c r="W153" t="s">
        <v>3285</v>
      </c>
      <c r="X153" t="s">
        <v>3286</v>
      </c>
      <c r="Y153" t="s">
        <v>74</v>
      </c>
      <c r="Z153" t="s">
        <v>3287</v>
      </c>
      <c r="AA153" t="s">
        <v>3288</v>
      </c>
      <c r="AB153" t="s">
        <v>74</v>
      </c>
      <c r="AC153" t="s">
        <v>74</v>
      </c>
      <c r="AD153" t="s">
        <v>74</v>
      </c>
      <c r="AE153" t="s">
        <v>74</v>
      </c>
      <c r="AF153" t="s">
        <v>74</v>
      </c>
      <c r="AG153">
        <v>0</v>
      </c>
      <c r="AH153">
        <v>0</v>
      </c>
      <c r="AI153">
        <v>0</v>
      </c>
      <c r="AJ153">
        <v>1</v>
      </c>
      <c r="AK153">
        <v>3</v>
      </c>
      <c r="AL153" t="s">
        <v>3077</v>
      </c>
      <c r="AM153" t="s">
        <v>3078</v>
      </c>
      <c r="AN153" t="s">
        <v>3079</v>
      </c>
      <c r="AO153" t="s">
        <v>3255</v>
      </c>
      <c r="AP153" t="s">
        <v>3256</v>
      </c>
      <c r="AQ153" t="s">
        <v>74</v>
      </c>
      <c r="AR153" t="s">
        <v>3257</v>
      </c>
      <c r="AS153" t="s">
        <v>3258</v>
      </c>
      <c r="AT153" t="s">
        <v>2912</v>
      </c>
      <c r="AU153">
        <v>2020</v>
      </c>
      <c r="AV153">
        <v>60</v>
      </c>
      <c r="AW153" t="s">
        <v>74</v>
      </c>
      <c r="AX153" t="s">
        <v>74</v>
      </c>
      <c r="AY153">
        <v>1</v>
      </c>
      <c r="AZ153" t="s">
        <v>74</v>
      </c>
      <c r="BA153" t="s">
        <v>3289</v>
      </c>
      <c r="BB153" t="s">
        <v>3290</v>
      </c>
      <c r="BC153" t="s">
        <v>3290</v>
      </c>
      <c r="BD153" t="s">
        <v>74</v>
      </c>
      <c r="BE153" t="s">
        <v>74</v>
      </c>
      <c r="BF153" t="s">
        <v>74</v>
      </c>
      <c r="BG153" t="s">
        <v>74</v>
      </c>
      <c r="BH153" t="s">
        <v>74</v>
      </c>
      <c r="BI153">
        <v>1</v>
      </c>
      <c r="BJ153" t="s">
        <v>2510</v>
      </c>
      <c r="BK153" t="s">
        <v>3261</v>
      </c>
      <c r="BL153" t="s">
        <v>2510</v>
      </c>
      <c r="BM153" t="s">
        <v>3262</v>
      </c>
      <c r="BN153" t="s">
        <v>74</v>
      </c>
      <c r="BO153" t="s">
        <v>74</v>
      </c>
      <c r="BP153" t="s">
        <v>74</v>
      </c>
      <c r="BQ153" t="s">
        <v>74</v>
      </c>
      <c r="BR153" t="s">
        <v>106</v>
      </c>
      <c r="BS153" t="s">
        <v>3291</v>
      </c>
      <c r="BT153" t="str">
        <f>HYPERLINK("https%3A%2F%2Fwww.webofscience.com%2Fwos%2Fwoscc%2Ffull-record%2FWOS:000536432400307","View Full Record in Web of Science")</f>
        <v>View Full Record in Web of Science</v>
      </c>
    </row>
    <row r="154" spans="1:72" x14ac:dyDescent="0.15">
      <c r="A154" t="s">
        <v>72</v>
      </c>
      <c r="B154" t="s">
        <v>3292</v>
      </c>
      <c r="C154" t="s">
        <v>74</v>
      </c>
      <c r="D154" t="s">
        <v>74</v>
      </c>
      <c r="E154" t="s">
        <v>74</v>
      </c>
      <c r="F154" t="s">
        <v>3293</v>
      </c>
      <c r="G154" t="s">
        <v>74</v>
      </c>
      <c r="H154" t="s">
        <v>74</v>
      </c>
      <c r="I154" t="s">
        <v>3294</v>
      </c>
      <c r="J154" t="s">
        <v>3248</v>
      </c>
      <c r="K154" t="s">
        <v>74</v>
      </c>
      <c r="L154" t="s">
        <v>74</v>
      </c>
      <c r="M154" t="s">
        <v>78</v>
      </c>
      <c r="N154" t="s">
        <v>52</v>
      </c>
      <c r="O154" t="s">
        <v>3249</v>
      </c>
      <c r="P154" t="s">
        <v>3250</v>
      </c>
      <c r="Q154" t="s">
        <v>3251</v>
      </c>
      <c r="R154" t="s">
        <v>74</v>
      </c>
      <c r="S154" t="s">
        <v>74</v>
      </c>
      <c r="T154" t="s">
        <v>74</v>
      </c>
      <c r="U154" t="s">
        <v>74</v>
      </c>
      <c r="V154" t="s">
        <v>74</v>
      </c>
      <c r="W154" t="s">
        <v>3295</v>
      </c>
      <c r="X154" t="s">
        <v>3296</v>
      </c>
      <c r="Y154" t="s">
        <v>74</v>
      </c>
      <c r="Z154" t="s">
        <v>3297</v>
      </c>
      <c r="AA154" t="s">
        <v>74</v>
      </c>
      <c r="AB154" t="s">
        <v>74</v>
      </c>
      <c r="AC154" t="s">
        <v>74</v>
      </c>
      <c r="AD154" t="s">
        <v>74</v>
      </c>
      <c r="AE154" t="s">
        <v>74</v>
      </c>
      <c r="AF154" t="s">
        <v>74</v>
      </c>
      <c r="AG154">
        <v>0</v>
      </c>
      <c r="AH154">
        <v>0</v>
      </c>
      <c r="AI154">
        <v>0</v>
      </c>
      <c r="AJ154">
        <v>1</v>
      </c>
      <c r="AK154">
        <v>5</v>
      </c>
      <c r="AL154" t="s">
        <v>3077</v>
      </c>
      <c r="AM154" t="s">
        <v>3078</v>
      </c>
      <c r="AN154" t="s">
        <v>3079</v>
      </c>
      <c r="AO154" t="s">
        <v>3255</v>
      </c>
      <c r="AP154" t="s">
        <v>3256</v>
      </c>
      <c r="AQ154" t="s">
        <v>74</v>
      </c>
      <c r="AR154" t="s">
        <v>3257</v>
      </c>
      <c r="AS154" t="s">
        <v>3258</v>
      </c>
      <c r="AT154" t="s">
        <v>2912</v>
      </c>
      <c r="AU154">
        <v>2020</v>
      </c>
      <c r="AV154">
        <v>60</v>
      </c>
      <c r="AW154" t="s">
        <v>74</v>
      </c>
      <c r="AX154" t="s">
        <v>74</v>
      </c>
      <c r="AY154">
        <v>1</v>
      </c>
      <c r="AZ154" t="s">
        <v>74</v>
      </c>
      <c r="BA154" t="s">
        <v>3298</v>
      </c>
      <c r="BB154" t="s">
        <v>3299</v>
      </c>
      <c r="BC154" t="s">
        <v>3299</v>
      </c>
      <c r="BD154" t="s">
        <v>74</v>
      </c>
      <c r="BE154" t="s">
        <v>74</v>
      </c>
      <c r="BF154" t="s">
        <v>74</v>
      </c>
      <c r="BG154" t="s">
        <v>74</v>
      </c>
      <c r="BH154" t="s">
        <v>74</v>
      </c>
      <c r="BI154">
        <v>1</v>
      </c>
      <c r="BJ154" t="s">
        <v>2510</v>
      </c>
      <c r="BK154" t="s">
        <v>3261</v>
      </c>
      <c r="BL154" t="s">
        <v>2510</v>
      </c>
      <c r="BM154" t="s">
        <v>3262</v>
      </c>
      <c r="BN154" t="s">
        <v>74</v>
      </c>
      <c r="BO154" t="s">
        <v>74</v>
      </c>
      <c r="BP154" t="s">
        <v>74</v>
      </c>
      <c r="BQ154" t="s">
        <v>74</v>
      </c>
      <c r="BR154" t="s">
        <v>106</v>
      </c>
      <c r="BS154" t="s">
        <v>3300</v>
      </c>
      <c r="BT154" t="str">
        <f>HYPERLINK("https%3A%2F%2Fwww.webofscience.com%2Fwos%2Fwoscc%2Ffull-record%2FWOS:000536432400320","View Full Record in Web of Science")</f>
        <v>View Full Record in Web of Science</v>
      </c>
    </row>
    <row r="155" spans="1:72" x14ac:dyDescent="0.15">
      <c r="A155" t="s">
        <v>72</v>
      </c>
      <c r="B155" t="s">
        <v>3301</v>
      </c>
      <c r="C155" t="s">
        <v>74</v>
      </c>
      <c r="D155" t="s">
        <v>74</v>
      </c>
      <c r="E155" t="s">
        <v>74</v>
      </c>
      <c r="F155" t="s">
        <v>3302</v>
      </c>
      <c r="G155" t="s">
        <v>74</v>
      </c>
      <c r="H155" t="s">
        <v>74</v>
      </c>
      <c r="I155" t="s">
        <v>3303</v>
      </c>
      <c r="J155" t="s">
        <v>3248</v>
      </c>
      <c r="K155" t="s">
        <v>74</v>
      </c>
      <c r="L155" t="s">
        <v>74</v>
      </c>
      <c r="M155" t="s">
        <v>78</v>
      </c>
      <c r="N155" t="s">
        <v>52</v>
      </c>
      <c r="O155" t="s">
        <v>3249</v>
      </c>
      <c r="P155" t="s">
        <v>3250</v>
      </c>
      <c r="Q155" t="s">
        <v>3251</v>
      </c>
      <c r="R155" t="s">
        <v>74</v>
      </c>
      <c r="S155" t="s">
        <v>74</v>
      </c>
      <c r="T155" t="s">
        <v>74</v>
      </c>
      <c r="U155" t="s">
        <v>74</v>
      </c>
      <c r="V155" t="s">
        <v>74</v>
      </c>
      <c r="W155" t="s">
        <v>3304</v>
      </c>
      <c r="X155" t="s">
        <v>3268</v>
      </c>
      <c r="Y155" t="s">
        <v>74</v>
      </c>
      <c r="Z155" t="s">
        <v>3305</v>
      </c>
      <c r="AA155" t="s">
        <v>3306</v>
      </c>
      <c r="AB155" t="s">
        <v>74</v>
      </c>
      <c r="AC155" t="s">
        <v>74</v>
      </c>
      <c r="AD155" t="s">
        <v>74</v>
      </c>
      <c r="AE155" t="s">
        <v>74</v>
      </c>
      <c r="AF155" t="s">
        <v>74</v>
      </c>
      <c r="AG155">
        <v>0</v>
      </c>
      <c r="AH155">
        <v>0</v>
      </c>
      <c r="AI155">
        <v>0</v>
      </c>
      <c r="AJ155">
        <v>0</v>
      </c>
      <c r="AK155">
        <v>0</v>
      </c>
      <c r="AL155" t="s">
        <v>3077</v>
      </c>
      <c r="AM155" t="s">
        <v>3078</v>
      </c>
      <c r="AN155" t="s">
        <v>3079</v>
      </c>
      <c r="AO155" t="s">
        <v>3255</v>
      </c>
      <c r="AP155" t="s">
        <v>3256</v>
      </c>
      <c r="AQ155" t="s">
        <v>74</v>
      </c>
      <c r="AR155" t="s">
        <v>3257</v>
      </c>
      <c r="AS155" t="s">
        <v>3258</v>
      </c>
      <c r="AT155" t="s">
        <v>2912</v>
      </c>
      <c r="AU155">
        <v>2020</v>
      </c>
      <c r="AV155">
        <v>60</v>
      </c>
      <c r="AW155" t="s">
        <v>74</v>
      </c>
      <c r="AX155" t="s">
        <v>74</v>
      </c>
      <c r="AY155">
        <v>1</v>
      </c>
      <c r="AZ155" t="s">
        <v>74</v>
      </c>
      <c r="BA155" t="s">
        <v>3307</v>
      </c>
      <c r="BB155" t="s">
        <v>3308</v>
      </c>
      <c r="BC155" t="s">
        <v>3308</v>
      </c>
      <c r="BD155" t="s">
        <v>74</v>
      </c>
      <c r="BE155" t="s">
        <v>74</v>
      </c>
      <c r="BF155" t="s">
        <v>74</v>
      </c>
      <c r="BG155" t="s">
        <v>74</v>
      </c>
      <c r="BH155" t="s">
        <v>74</v>
      </c>
      <c r="BI155">
        <v>1</v>
      </c>
      <c r="BJ155" t="s">
        <v>2510</v>
      </c>
      <c r="BK155" t="s">
        <v>3261</v>
      </c>
      <c r="BL155" t="s">
        <v>2510</v>
      </c>
      <c r="BM155" t="s">
        <v>3262</v>
      </c>
      <c r="BN155" t="s">
        <v>74</v>
      </c>
      <c r="BO155" t="s">
        <v>74</v>
      </c>
      <c r="BP155" t="s">
        <v>74</v>
      </c>
      <c r="BQ155" t="s">
        <v>74</v>
      </c>
      <c r="BR155" t="s">
        <v>106</v>
      </c>
      <c r="BS155" t="s">
        <v>3309</v>
      </c>
      <c r="BT155" t="str">
        <f>HYPERLINK("https%3A%2F%2Fwww.webofscience.com%2Fwos%2Fwoscc%2Ffull-record%2FWOS:000536432400399","View Full Record in Web of Science")</f>
        <v>View Full Record in Web of Science</v>
      </c>
    </row>
    <row r="156" spans="1:72" x14ac:dyDescent="0.15">
      <c r="A156" t="s">
        <v>72</v>
      </c>
      <c r="B156" t="s">
        <v>3310</v>
      </c>
      <c r="C156" t="s">
        <v>74</v>
      </c>
      <c r="D156" t="s">
        <v>74</v>
      </c>
      <c r="E156" t="s">
        <v>74</v>
      </c>
      <c r="F156" t="s">
        <v>3311</v>
      </c>
      <c r="G156" t="s">
        <v>74</v>
      </c>
      <c r="H156" t="s">
        <v>74</v>
      </c>
      <c r="I156" t="s">
        <v>3312</v>
      </c>
      <c r="J156" t="s">
        <v>3248</v>
      </c>
      <c r="K156" t="s">
        <v>74</v>
      </c>
      <c r="L156" t="s">
        <v>74</v>
      </c>
      <c r="M156" t="s">
        <v>78</v>
      </c>
      <c r="N156" t="s">
        <v>52</v>
      </c>
      <c r="O156" t="s">
        <v>3249</v>
      </c>
      <c r="P156" t="s">
        <v>3250</v>
      </c>
      <c r="Q156" t="s">
        <v>3251</v>
      </c>
      <c r="R156" t="s">
        <v>74</v>
      </c>
      <c r="S156" t="s">
        <v>74</v>
      </c>
      <c r="T156" t="s">
        <v>74</v>
      </c>
      <c r="U156" t="s">
        <v>74</v>
      </c>
      <c r="V156" t="s">
        <v>74</v>
      </c>
      <c r="W156" t="s">
        <v>3313</v>
      </c>
      <c r="X156" t="s">
        <v>3314</v>
      </c>
      <c r="Y156" t="s">
        <v>74</v>
      </c>
      <c r="Z156" t="s">
        <v>3315</v>
      </c>
      <c r="AA156" t="s">
        <v>74</v>
      </c>
      <c r="AB156" t="s">
        <v>74</v>
      </c>
      <c r="AC156" t="s">
        <v>74</v>
      </c>
      <c r="AD156" t="s">
        <v>74</v>
      </c>
      <c r="AE156" t="s">
        <v>74</v>
      </c>
      <c r="AF156" t="s">
        <v>74</v>
      </c>
      <c r="AG156">
        <v>0</v>
      </c>
      <c r="AH156">
        <v>1</v>
      </c>
      <c r="AI156">
        <v>1</v>
      </c>
      <c r="AJ156">
        <v>0</v>
      </c>
      <c r="AK156">
        <v>0</v>
      </c>
      <c r="AL156" t="s">
        <v>3077</v>
      </c>
      <c r="AM156" t="s">
        <v>3078</v>
      </c>
      <c r="AN156" t="s">
        <v>3079</v>
      </c>
      <c r="AO156" t="s">
        <v>3255</v>
      </c>
      <c r="AP156" t="s">
        <v>3256</v>
      </c>
      <c r="AQ156" t="s">
        <v>74</v>
      </c>
      <c r="AR156" t="s">
        <v>3257</v>
      </c>
      <c r="AS156" t="s">
        <v>3258</v>
      </c>
      <c r="AT156" t="s">
        <v>2912</v>
      </c>
      <c r="AU156">
        <v>2020</v>
      </c>
      <c r="AV156">
        <v>60</v>
      </c>
      <c r="AW156" t="s">
        <v>74</v>
      </c>
      <c r="AX156" t="s">
        <v>74</v>
      </c>
      <c r="AY156">
        <v>1</v>
      </c>
      <c r="AZ156" t="s">
        <v>74</v>
      </c>
      <c r="BA156" t="s">
        <v>3316</v>
      </c>
      <c r="BB156" t="s">
        <v>3317</v>
      </c>
      <c r="BC156" t="s">
        <v>3317</v>
      </c>
      <c r="BD156" t="s">
        <v>74</v>
      </c>
      <c r="BE156" t="s">
        <v>74</v>
      </c>
      <c r="BF156" t="s">
        <v>74</v>
      </c>
      <c r="BG156" t="s">
        <v>74</v>
      </c>
      <c r="BH156" t="s">
        <v>74</v>
      </c>
      <c r="BI156">
        <v>1</v>
      </c>
      <c r="BJ156" t="s">
        <v>2510</v>
      </c>
      <c r="BK156" t="s">
        <v>3261</v>
      </c>
      <c r="BL156" t="s">
        <v>2510</v>
      </c>
      <c r="BM156" t="s">
        <v>3262</v>
      </c>
      <c r="BN156" t="s">
        <v>74</v>
      </c>
      <c r="BO156" t="s">
        <v>74</v>
      </c>
      <c r="BP156" t="s">
        <v>74</v>
      </c>
      <c r="BQ156" t="s">
        <v>74</v>
      </c>
      <c r="BR156" t="s">
        <v>106</v>
      </c>
      <c r="BS156" t="s">
        <v>3318</v>
      </c>
      <c r="BT156" t="str">
        <f>HYPERLINK("https%3A%2F%2Fwww.webofscience.com%2Fwos%2Fwoscc%2Ffull-record%2FWOS:000536432400413","View Full Record in Web of Science")</f>
        <v>View Full Record in Web of Science</v>
      </c>
    </row>
    <row r="157" spans="1:72" x14ac:dyDescent="0.15">
      <c r="A157" t="s">
        <v>72</v>
      </c>
      <c r="B157" t="s">
        <v>3319</v>
      </c>
      <c r="C157" t="s">
        <v>74</v>
      </c>
      <c r="D157" t="s">
        <v>74</v>
      </c>
      <c r="E157" t="s">
        <v>74</v>
      </c>
      <c r="F157" t="s">
        <v>3320</v>
      </c>
      <c r="G157" t="s">
        <v>74</v>
      </c>
      <c r="H157" t="s">
        <v>74</v>
      </c>
      <c r="I157" t="s">
        <v>3321</v>
      </c>
      <c r="J157" t="s">
        <v>3248</v>
      </c>
      <c r="K157" t="s">
        <v>74</v>
      </c>
      <c r="L157" t="s">
        <v>74</v>
      </c>
      <c r="M157" t="s">
        <v>78</v>
      </c>
      <c r="N157" t="s">
        <v>52</v>
      </c>
      <c r="O157" t="s">
        <v>3249</v>
      </c>
      <c r="P157" t="s">
        <v>3250</v>
      </c>
      <c r="Q157" t="s">
        <v>3251</v>
      </c>
      <c r="R157" t="s">
        <v>74</v>
      </c>
      <c r="S157" t="s">
        <v>74</v>
      </c>
      <c r="T157" t="s">
        <v>74</v>
      </c>
      <c r="U157" t="s">
        <v>74</v>
      </c>
      <c r="V157" t="s">
        <v>74</v>
      </c>
      <c r="W157" t="s">
        <v>3322</v>
      </c>
      <c r="X157" t="s">
        <v>3323</v>
      </c>
      <c r="Y157" t="s">
        <v>74</v>
      </c>
      <c r="Z157" t="s">
        <v>3324</v>
      </c>
      <c r="AA157" t="s">
        <v>3325</v>
      </c>
      <c r="AB157" t="s">
        <v>3326</v>
      </c>
      <c r="AC157" t="s">
        <v>3327</v>
      </c>
      <c r="AD157" t="s">
        <v>3328</v>
      </c>
      <c r="AE157" t="s">
        <v>3329</v>
      </c>
      <c r="AF157" t="s">
        <v>74</v>
      </c>
      <c r="AG157">
        <v>0</v>
      </c>
      <c r="AH157">
        <v>1</v>
      </c>
      <c r="AI157">
        <v>1</v>
      </c>
      <c r="AJ157">
        <v>2</v>
      </c>
      <c r="AK157">
        <v>3</v>
      </c>
      <c r="AL157" t="s">
        <v>3077</v>
      </c>
      <c r="AM157" t="s">
        <v>3078</v>
      </c>
      <c r="AN157" t="s">
        <v>3079</v>
      </c>
      <c r="AO157" t="s">
        <v>3255</v>
      </c>
      <c r="AP157" t="s">
        <v>3256</v>
      </c>
      <c r="AQ157" t="s">
        <v>74</v>
      </c>
      <c r="AR157" t="s">
        <v>3257</v>
      </c>
      <c r="AS157" t="s">
        <v>3258</v>
      </c>
      <c r="AT157" t="s">
        <v>2912</v>
      </c>
      <c r="AU157">
        <v>2020</v>
      </c>
      <c r="AV157">
        <v>60</v>
      </c>
      <c r="AW157" t="s">
        <v>74</v>
      </c>
      <c r="AX157" t="s">
        <v>74</v>
      </c>
      <c r="AY157">
        <v>1</v>
      </c>
      <c r="AZ157" t="s">
        <v>74</v>
      </c>
      <c r="BA157" t="s">
        <v>3330</v>
      </c>
      <c r="BB157" t="s">
        <v>3331</v>
      </c>
      <c r="BC157" t="s">
        <v>3331</v>
      </c>
      <c r="BD157" t="s">
        <v>74</v>
      </c>
      <c r="BE157" t="s">
        <v>74</v>
      </c>
      <c r="BF157" t="s">
        <v>74</v>
      </c>
      <c r="BG157" t="s">
        <v>74</v>
      </c>
      <c r="BH157" t="s">
        <v>74</v>
      </c>
      <c r="BI157">
        <v>1</v>
      </c>
      <c r="BJ157" t="s">
        <v>2510</v>
      </c>
      <c r="BK157" t="s">
        <v>3261</v>
      </c>
      <c r="BL157" t="s">
        <v>2510</v>
      </c>
      <c r="BM157" t="s">
        <v>3262</v>
      </c>
      <c r="BN157">
        <v>33326578</v>
      </c>
      <c r="BO157" t="s">
        <v>517</v>
      </c>
      <c r="BP157" t="s">
        <v>74</v>
      </c>
      <c r="BQ157" t="s">
        <v>74</v>
      </c>
      <c r="BR157" t="s">
        <v>106</v>
      </c>
      <c r="BS157" t="s">
        <v>3332</v>
      </c>
      <c r="BT157" t="str">
        <f>HYPERLINK("https%3A%2F%2Fwww.webofscience.com%2Fwos%2Fwoscc%2Ffull-record%2FWOS:000536432400623","View Full Record in Web of Science")</f>
        <v>View Full Record in Web of Science</v>
      </c>
    </row>
    <row r="158" spans="1:72" x14ac:dyDescent="0.15">
      <c r="A158" t="s">
        <v>72</v>
      </c>
      <c r="B158" t="s">
        <v>3333</v>
      </c>
      <c r="C158" t="s">
        <v>74</v>
      </c>
      <c r="D158" t="s">
        <v>74</v>
      </c>
      <c r="E158" t="s">
        <v>74</v>
      </c>
      <c r="F158" t="s">
        <v>3334</v>
      </c>
      <c r="G158" t="s">
        <v>74</v>
      </c>
      <c r="H158" t="s">
        <v>74</v>
      </c>
      <c r="I158" t="s">
        <v>3335</v>
      </c>
      <c r="J158" t="s">
        <v>3248</v>
      </c>
      <c r="K158" t="s">
        <v>74</v>
      </c>
      <c r="L158" t="s">
        <v>74</v>
      </c>
      <c r="M158" t="s">
        <v>78</v>
      </c>
      <c r="N158" t="s">
        <v>52</v>
      </c>
      <c r="O158" t="s">
        <v>3249</v>
      </c>
      <c r="P158" t="s">
        <v>3250</v>
      </c>
      <c r="Q158" t="s">
        <v>3251</v>
      </c>
      <c r="R158" t="s">
        <v>74</v>
      </c>
      <c r="S158" t="s">
        <v>74</v>
      </c>
      <c r="T158" t="s">
        <v>74</v>
      </c>
      <c r="U158" t="s">
        <v>74</v>
      </c>
      <c r="V158" t="s">
        <v>74</v>
      </c>
      <c r="W158" t="s">
        <v>3336</v>
      </c>
      <c r="X158" t="s">
        <v>3337</v>
      </c>
      <c r="Y158" t="s">
        <v>74</v>
      </c>
      <c r="Z158" t="s">
        <v>3338</v>
      </c>
      <c r="AA158" t="s">
        <v>3339</v>
      </c>
      <c r="AB158" t="s">
        <v>3340</v>
      </c>
      <c r="AC158" t="s">
        <v>74</v>
      </c>
      <c r="AD158" t="s">
        <v>74</v>
      </c>
      <c r="AE158" t="s">
        <v>74</v>
      </c>
      <c r="AF158" t="s">
        <v>74</v>
      </c>
      <c r="AG158">
        <v>0</v>
      </c>
      <c r="AH158">
        <v>0</v>
      </c>
      <c r="AI158">
        <v>0</v>
      </c>
      <c r="AJ158">
        <v>0</v>
      </c>
      <c r="AK158">
        <v>2</v>
      </c>
      <c r="AL158" t="s">
        <v>3077</v>
      </c>
      <c r="AM158" t="s">
        <v>3078</v>
      </c>
      <c r="AN158" t="s">
        <v>3079</v>
      </c>
      <c r="AO158" t="s">
        <v>3255</v>
      </c>
      <c r="AP158" t="s">
        <v>3256</v>
      </c>
      <c r="AQ158" t="s">
        <v>74</v>
      </c>
      <c r="AR158" t="s">
        <v>3257</v>
      </c>
      <c r="AS158" t="s">
        <v>3258</v>
      </c>
      <c r="AT158" t="s">
        <v>2912</v>
      </c>
      <c r="AU158">
        <v>2020</v>
      </c>
      <c r="AV158">
        <v>60</v>
      </c>
      <c r="AW158" t="s">
        <v>74</v>
      </c>
      <c r="AX158" t="s">
        <v>74</v>
      </c>
      <c r="AY158">
        <v>1</v>
      </c>
      <c r="AZ158" t="s">
        <v>74</v>
      </c>
      <c r="BA158" t="s">
        <v>3341</v>
      </c>
      <c r="BB158" t="s">
        <v>3342</v>
      </c>
      <c r="BC158" t="s">
        <v>3342</v>
      </c>
      <c r="BD158" t="s">
        <v>74</v>
      </c>
      <c r="BE158" t="s">
        <v>74</v>
      </c>
      <c r="BF158" t="s">
        <v>74</v>
      </c>
      <c r="BG158" t="s">
        <v>74</v>
      </c>
      <c r="BH158" t="s">
        <v>74</v>
      </c>
      <c r="BI158">
        <v>1</v>
      </c>
      <c r="BJ158" t="s">
        <v>2510</v>
      </c>
      <c r="BK158" t="s">
        <v>3261</v>
      </c>
      <c r="BL158" t="s">
        <v>2510</v>
      </c>
      <c r="BM158" t="s">
        <v>3262</v>
      </c>
      <c r="BN158" t="s">
        <v>74</v>
      </c>
      <c r="BO158" t="s">
        <v>74</v>
      </c>
      <c r="BP158" t="s">
        <v>74</v>
      </c>
      <c r="BQ158" t="s">
        <v>74</v>
      </c>
      <c r="BR158" t="s">
        <v>106</v>
      </c>
      <c r="BS158" t="s">
        <v>3343</v>
      </c>
      <c r="BT158" t="str">
        <f>HYPERLINK("https%3A%2F%2Fwww.webofscience.com%2Fwos%2Fwoscc%2Ffull-record%2FWOS:000536432400749","View Full Record in Web of Science")</f>
        <v>View Full Record in Web of Science</v>
      </c>
    </row>
    <row r="159" spans="1:72" x14ac:dyDescent="0.15">
      <c r="A159" t="s">
        <v>72</v>
      </c>
      <c r="B159" t="s">
        <v>3344</v>
      </c>
      <c r="C159" t="s">
        <v>74</v>
      </c>
      <c r="D159" t="s">
        <v>74</v>
      </c>
      <c r="E159" t="s">
        <v>74</v>
      </c>
      <c r="F159" t="s">
        <v>3345</v>
      </c>
      <c r="G159" t="s">
        <v>74</v>
      </c>
      <c r="H159" t="s">
        <v>74</v>
      </c>
      <c r="I159" t="s">
        <v>3346</v>
      </c>
      <c r="J159" t="s">
        <v>3248</v>
      </c>
      <c r="K159" t="s">
        <v>74</v>
      </c>
      <c r="L159" t="s">
        <v>74</v>
      </c>
      <c r="M159" t="s">
        <v>78</v>
      </c>
      <c r="N159" t="s">
        <v>52</v>
      </c>
      <c r="O159" t="s">
        <v>3249</v>
      </c>
      <c r="P159" t="s">
        <v>3250</v>
      </c>
      <c r="Q159" t="s">
        <v>3251</v>
      </c>
      <c r="R159" t="s">
        <v>74</v>
      </c>
      <c r="S159" t="s">
        <v>74</v>
      </c>
      <c r="T159" t="s">
        <v>74</v>
      </c>
      <c r="U159" t="s">
        <v>74</v>
      </c>
      <c r="V159" t="s">
        <v>74</v>
      </c>
      <c r="W159" t="s">
        <v>3347</v>
      </c>
      <c r="X159" t="s">
        <v>3348</v>
      </c>
      <c r="Y159" t="s">
        <v>74</v>
      </c>
      <c r="Z159" t="s">
        <v>3349</v>
      </c>
      <c r="AA159" t="s">
        <v>74</v>
      </c>
      <c r="AB159" t="s">
        <v>74</v>
      </c>
      <c r="AC159" t="s">
        <v>74</v>
      </c>
      <c r="AD159" t="s">
        <v>74</v>
      </c>
      <c r="AE159" t="s">
        <v>74</v>
      </c>
      <c r="AF159" t="s">
        <v>74</v>
      </c>
      <c r="AG159">
        <v>0</v>
      </c>
      <c r="AH159">
        <v>0</v>
      </c>
      <c r="AI159">
        <v>0</v>
      </c>
      <c r="AJ159">
        <v>0</v>
      </c>
      <c r="AK159">
        <v>1</v>
      </c>
      <c r="AL159" t="s">
        <v>3077</v>
      </c>
      <c r="AM159" t="s">
        <v>3078</v>
      </c>
      <c r="AN159" t="s">
        <v>3079</v>
      </c>
      <c r="AO159" t="s">
        <v>3255</v>
      </c>
      <c r="AP159" t="s">
        <v>3256</v>
      </c>
      <c r="AQ159" t="s">
        <v>74</v>
      </c>
      <c r="AR159" t="s">
        <v>3257</v>
      </c>
      <c r="AS159" t="s">
        <v>3258</v>
      </c>
      <c r="AT159" t="s">
        <v>2912</v>
      </c>
      <c r="AU159">
        <v>2020</v>
      </c>
      <c r="AV159">
        <v>60</v>
      </c>
      <c r="AW159" t="s">
        <v>74</v>
      </c>
      <c r="AX159" t="s">
        <v>74</v>
      </c>
      <c r="AY159">
        <v>1</v>
      </c>
      <c r="AZ159" t="s">
        <v>74</v>
      </c>
      <c r="BA159" t="s">
        <v>3350</v>
      </c>
      <c r="BB159" t="s">
        <v>3351</v>
      </c>
      <c r="BC159" t="s">
        <v>3351</v>
      </c>
      <c r="BD159" t="s">
        <v>74</v>
      </c>
      <c r="BE159" t="s">
        <v>74</v>
      </c>
      <c r="BF159" t="s">
        <v>74</v>
      </c>
      <c r="BG159" t="s">
        <v>74</v>
      </c>
      <c r="BH159" t="s">
        <v>74</v>
      </c>
      <c r="BI159">
        <v>1</v>
      </c>
      <c r="BJ159" t="s">
        <v>2510</v>
      </c>
      <c r="BK159" t="s">
        <v>3261</v>
      </c>
      <c r="BL159" t="s">
        <v>2510</v>
      </c>
      <c r="BM159" t="s">
        <v>3262</v>
      </c>
      <c r="BN159" t="s">
        <v>74</v>
      </c>
      <c r="BO159" t="s">
        <v>74</v>
      </c>
      <c r="BP159" t="s">
        <v>74</v>
      </c>
      <c r="BQ159" t="s">
        <v>74</v>
      </c>
      <c r="BR159" t="s">
        <v>106</v>
      </c>
      <c r="BS159" t="s">
        <v>3352</v>
      </c>
      <c r="BT159" t="str">
        <f>HYPERLINK("https%3A%2F%2Fwww.webofscience.com%2Fwos%2Fwoscc%2Ffull-record%2FWOS:000536432400788","View Full Record in Web of Science")</f>
        <v>View Full Record in Web of Science</v>
      </c>
    </row>
    <row r="160" spans="1:72" x14ac:dyDescent="0.15">
      <c r="A160" t="s">
        <v>72</v>
      </c>
      <c r="B160" t="s">
        <v>3353</v>
      </c>
      <c r="C160" t="s">
        <v>74</v>
      </c>
      <c r="D160" t="s">
        <v>74</v>
      </c>
      <c r="E160" t="s">
        <v>74</v>
      </c>
      <c r="F160" t="s">
        <v>3354</v>
      </c>
      <c r="G160" t="s">
        <v>74</v>
      </c>
      <c r="H160" t="s">
        <v>74</v>
      </c>
      <c r="I160" t="s">
        <v>3355</v>
      </c>
      <c r="J160" t="s">
        <v>3248</v>
      </c>
      <c r="K160" t="s">
        <v>74</v>
      </c>
      <c r="L160" t="s">
        <v>74</v>
      </c>
      <c r="M160" t="s">
        <v>78</v>
      </c>
      <c r="N160" t="s">
        <v>52</v>
      </c>
      <c r="O160" t="s">
        <v>3249</v>
      </c>
      <c r="P160" t="s">
        <v>3250</v>
      </c>
      <c r="Q160" t="s">
        <v>3251</v>
      </c>
      <c r="R160" t="s">
        <v>74</v>
      </c>
      <c r="S160" t="s">
        <v>74</v>
      </c>
      <c r="T160" t="s">
        <v>74</v>
      </c>
      <c r="U160" t="s">
        <v>74</v>
      </c>
      <c r="V160" t="s">
        <v>74</v>
      </c>
      <c r="W160" t="s">
        <v>3356</v>
      </c>
      <c r="X160" t="s">
        <v>3357</v>
      </c>
      <c r="Y160" t="s">
        <v>74</v>
      </c>
      <c r="Z160" t="s">
        <v>3358</v>
      </c>
      <c r="AA160" t="s">
        <v>74</v>
      </c>
      <c r="AB160" t="s">
        <v>74</v>
      </c>
      <c r="AC160" t="s">
        <v>74</v>
      </c>
      <c r="AD160" t="s">
        <v>74</v>
      </c>
      <c r="AE160" t="s">
        <v>74</v>
      </c>
      <c r="AF160" t="s">
        <v>74</v>
      </c>
      <c r="AG160">
        <v>0</v>
      </c>
      <c r="AH160">
        <v>0</v>
      </c>
      <c r="AI160">
        <v>0</v>
      </c>
      <c r="AJ160">
        <v>0</v>
      </c>
      <c r="AK160">
        <v>1</v>
      </c>
      <c r="AL160" t="s">
        <v>3077</v>
      </c>
      <c r="AM160" t="s">
        <v>3078</v>
      </c>
      <c r="AN160" t="s">
        <v>3079</v>
      </c>
      <c r="AO160" t="s">
        <v>3255</v>
      </c>
      <c r="AP160" t="s">
        <v>3256</v>
      </c>
      <c r="AQ160" t="s">
        <v>74</v>
      </c>
      <c r="AR160" t="s">
        <v>3257</v>
      </c>
      <c r="AS160" t="s">
        <v>3258</v>
      </c>
      <c r="AT160" t="s">
        <v>2912</v>
      </c>
      <c r="AU160">
        <v>2020</v>
      </c>
      <c r="AV160">
        <v>60</v>
      </c>
      <c r="AW160" t="s">
        <v>74</v>
      </c>
      <c r="AX160" t="s">
        <v>74</v>
      </c>
      <c r="AY160">
        <v>1</v>
      </c>
      <c r="AZ160" t="s">
        <v>74</v>
      </c>
      <c r="BA160" t="s">
        <v>3359</v>
      </c>
      <c r="BB160" t="s">
        <v>3360</v>
      </c>
      <c r="BC160" t="s">
        <v>3360</v>
      </c>
      <c r="BD160" t="s">
        <v>74</v>
      </c>
      <c r="BE160" t="s">
        <v>74</v>
      </c>
      <c r="BF160" t="s">
        <v>74</v>
      </c>
      <c r="BG160" t="s">
        <v>74</v>
      </c>
      <c r="BH160" t="s">
        <v>74</v>
      </c>
      <c r="BI160">
        <v>1</v>
      </c>
      <c r="BJ160" t="s">
        <v>2510</v>
      </c>
      <c r="BK160" t="s">
        <v>3261</v>
      </c>
      <c r="BL160" t="s">
        <v>2510</v>
      </c>
      <c r="BM160" t="s">
        <v>3262</v>
      </c>
      <c r="BN160" t="s">
        <v>74</v>
      </c>
      <c r="BO160" t="s">
        <v>74</v>
      </c>
      <c r="BP160" t="s">
        <v>74</v>
      </c>
      <c r="BQ160" t="s">
        <v>74</v>
      </c>
      <c r="BR160" t="s">
        <v>106</v>
      </c>
      <c r="BS160" t="s">
        <v>3361</v>
      </c>
      <c r="BT160" t="str">
        <f>HYPERLINK("https%3A%2F%2Fwww.webofscience.com%2Fwos%2Fwoscc%2Ffull-record%2FWOS:000536432401092","View Full Record in Web of Science")</f>
        <v>View Full Record in Web of Science</v>
      </c>
    </row>
    <row r="161" spans="1:72" x14ac:dyDescent="0.15">
      <c r="A161" t="s">
        <v>72</v>
      </c>
      <c r="B161" t="s">
        <v>3362</v>
      </c>
      <c r="C161" t="s">
        <v>74</v>
      </c>
      <c r="D161" t="s">
        <v>74</v>
      </c>
      <c r="E161" t="s">
        <v>74</v>
      </c>
      <c r="F161" t="s">
        <v>3363</v>
      </c>
      <c r="G161" t="s">
        <v>74</v>
      </c>
      <c r="H161" t="s">
        <v>74</v>
      </c>
      <c r="I161" t="s">
        <v>3364</v>
      </c>
      <c r="J161" t="s">
        <v>3248</v>
      </c>
      <c r="K161" t="s">
        <v>74</v>
      </c>
      <c r="L161" t="s">
        <v>74</v>
      </c>
      <c r="M161" t="s">
        <v>78</v>
      </c>
      <c r="N161" t="s">
        <v>52</v>
      </c>
      <c r="O161" t="s">
        <v>3249</v>
      </c>
      <c r="P161" t="s">
        <v>3250</v>
      </c>
      <c r="Q161" t="s">
        <v>3251</v>
      </c>
      <c r="R161" t="s">
        <v>74</v>
      </c>
      <c r="S161" t="s">
        <v>74</v>
      </c>
      <c r="T161" t="s">
        <v>74</v>
      </c>
      <c r="U161" t="s">
        <v>74</v>
      </c>
      <c r="V161" t="s">
        <v>74</v>
      </c>
      <c r="W161" t="s">
        <v>3365</v>
      </c>
      <c r="X161" t="s">
        <v>3366</v>
      </c>
      <c r="Y161" t="s">
        <v>74</v>
      </c>
      <c r="Z161" t="s">
        <v>3367</v>
      </c>
      <c r="AA161" t="s">
        <v>3368</v>
      </c>
      <c r="AB161" t="s">
        <v>3369</v>
      </c>
      <c r="AC161" t="s">
        <v>74</v>
      </c>
      <c r="AD161" t="s">
        <v>74</v>
      </c>
      <c r="AE161" t="s">
        <v>74</v>
      </c>
      <c r="AF161" t="s">
        <v>74</v>
      </c>
      <c r="AG161">
        <v>0</v>
      </c>
      <c r="AH161">
        <v>0</v>
      </c>
      <c r="AI161">
        <v>0</v>
      </c>
      <c r="AJ161">
        <v>0</v>
      </c>
      <c r="AK161">
        <v>0</v>
      </c>
      <c r="AL161" t="s">
        <v>3077</v>
      </c>
      <c r="AM161" t="s">
        <v>3078</v>
      </c>
      <c r="AN161" t="s">
        <v>3079</v>
      </c>
      <c r="AO161" t="s">
        <v>3255</v>
      </c>
      <c r="AP161" t="s">
        <v>3256</v>
      </c>
      <c r="AQ161" t="s">
        <v>74</v>
      </c>
      <c r="AR161" t="s">
        <v>3257</v>
      </c>
      <c r="AS161" t="s">
        <v>3258</v>
      </c>
      <c r="AT161" t="s">
        <v>2912</v>
      </c>
      <c r="AU161">
        <v>2020</v>
      </c>
      <c r="AV161">
        <v>60</v>
      </c>
      <c r="AW161" t="s">
        <v>74</v>
      </c>
      <c r="AX161" t="s">
        <v>74</v>
      </c>
      <c r="AY161">
        <v>1</v>
      </c>
      <c r="AZ161" t="s">
        <v>74</v>
      </c>
      <c r="BA161" t="s">
        <v>3370</v>
      </c>
      <c r="BB161" t="s">
        <v>3371</v>
      </c>
      <c r="BC161" t="s">
        <v>3371</v>
      </c>
      <c r="BD161" t="s">
        <v>74</v>
      </c>
      <c r="BE161" t="s">
        <v>74</v>
      </c>
      <c r="BF161" t="s">
        <v>74</v>
      </c>
      <c r="BG161" t="s">
        <v>74</v>
      </c>
      <c r="BH161" t="s">
        <v>74</v>
      </c>
      <c r="BI161">
        <v>1</v>
      </c>
      <c r="BJ161" t="s">
        <v>2510</v>
      </c>
      <c r="BK161" t="s">
        <v>3261</v>
      </c>
      <c r="BL161" t="s">
        <v>2510</v>
      </c>
      <c r="BM161" t="s">
        <v>3262</v>
      </c>
      <c r="BN161" t="s">
        <v>74</v>
      </c>
      <c r="BO161" t="s">
        <v>74</v>
      </c>
      <c r="BP161" t="s">
        <v>74</v>
      </c>
      <c r="BQ161" t="s">
        <v>74</v>
      </c>
      <c r="BR161" t="s">
        <v>106</v>
      </c>
      <c r="BS161" t="s">
        <v>3372</v>
      </c>
      <c r="BT161" t="str">
        <f>HYPERLINK("https%3A%2F%2Fwww.webofscience.com%2Fwos%2Fwoscc%2Ffull-record%2FWOS:000536432401118","View Full Record in Web of Science")</f>
        <v>View Full Record in Web of Science</v>
      </c>
    </row>
    <row r="162" spans="1:72" x14ac:dyDescent="0.15">
      <c r="A162" t="s">
        <v>72</v>
      </c>
      <c r="B162" t="s">
        <v>3373</v>
      </c>
      <c r="C162" t="s">
        <v>74</v>
      </c>
      <c r="D162" t="s">
        <v>74</v>
      </c>
      <c r="E162" t="s">
        <v>74</v>
      </c>
      <c r="F162" t="s">
        <v>3374</v>
      </c>
      <c r="G162" t="s">
        <v>74</v>
      </c>
      <c r="H162" t="s">
        <v>74</v>
      </c>
      <c r="I162" t="s">
        <v>3375</v>
      </c>
      <c r="J162" t="s">
        <v>3248</v>
      </c>
      <c r="K162" t="s">
        <v>74</v>
      </c>
      <c r="L162" t="s">
        <v>74</v>
      </c>
      <c r="M162" t="s">
        <v>78</v>
      </c>
      <c r="N162" t="s">
        <v>52</v>
      </c>
      <c r="O162" t="s">
        <v>3249</v>
      </c>
      <c r="P162" t="s">
        <v>3250</v>
      </c>
      <c r="Q162" t="s">
        <v>3251</v>
      </c>
      <c r="R162" t="s">
        <v>74</v>
      </c>
      <c r="S162" t="s">
        <v>74</v>
      </c>
      <c r="T162" t="s">
        <v>74</v>
      </c>
      <c r="U162" t="s">
        <v>74</v>
      </c>
      <c r="V162" t="s">
        <v>74</v>
      </c>
      <c r="W162" t="s">
        <v>3376</v>
      </c>
      <c r="X162" t="s">
        <v>3377</v>
      </c>
      <c r="Y162" t="s">
        <v>74</v>
      </c>
      <c r="Z162" t="s">
        <v>3378</v>
      </c>
      <c r="AA162" t="s">
        <v>3379</v>
      </c>
      <c r="AB162" t="s">
        <v>74</v>
      </c>
      <c r="AC162" t="s">
        <v>74</v>
      </c>
      <c r="AD162" t="s">
        <v>74</v>
      </c>
      <c r="AE162" t="s">
        <v>74</v>
      </c>
      <c r="AF162" t="s">
        <v>74</v>
      </c>
      <c r="AG162">
        <v>0</v>
      </c>
      <c r="AH162">
        <v>0</v>
      </c>
      <c r="AI162">
        <v>0</v>
      </c>
      <c r="AJ162">
        <v>0</v>
      </c>
      <c r="AK162">
        <v>1</v>
      </c>
      <c r="AL162" t="s">
        <v>3077</v>
      </c>
      <c r="AM162" t="s">
        <v>3078</v>
      </c>
      <c r="AN162" t="s">
        <v>3079</v>
      </c>
      <c r="AO162" t="s">
        <v>3255</v>
      </c>
      <c r="AP162" t="s">
        <v>3256</v>
      </c>
      <c r="AQ162" t="s">
        <v>74</v>
      </c>
      <c r="AR162" t="s">
        <v>3257</v>
      </c>
      <c r="AS162" t="s">
        <v>3258</v>
      </c>
      <c r="AT162" t="s">
        <v>2912</v>
      </c>
      <c r="AU162">
        <v>2020</v>
      </c>
      <c r="AV162">
        <v>60</v>
      </c>
      <c r="AW162" t="s">
        <v>74</v>
      </c>
      <c r="AX162" t="s">
        <v>74</v>
      </c>
      <c r="AY162">
        <v>1</v>
      </c>
      <c r="AZ162" t="s">
        <v>74</v>
      </c>
      <c r="BA162" t="s">
        <v>3380</v>
      </c>
      <c r="BB162" t="s">
        <v>3381</v>
      </c>
      <c r="BC162" t="s">
        <v>3381</v>
      </c>
      <c r="BD162" t="s">
        <v>74</v>
      </c>
      <c r="BE162" t="s">
        <v>74</v>
      </c>
      <c r="BF162" t="s">
        <v>74</v>
      </c>
      <c r="BG162" t="s">
        <v>74</v>
      </c>
      <c r="BH162" t="s">
        <v>74</v>
      </c>
      <c r="BI162">
        <v>1</v>
      </c>
      <c r="BJ162" t="s">
        <v>2510</v>
      </c>
      <c r="BK162" t="s">
        <v>3261</v>
      </c>
      <c r="BL162" t="s">
        <v>2510</v>
      </c>
      <c r="BM162" t="s">
        <v>3262</v>
      </c>
      <c r="BN162" t="s">
        <v>74</v>
      </c>
      <c r="BO162" t="s">
        <v>74</v>
      </c>
      <c r="BP162" t="s">
        <v>74</v>
      </c>
      <c r="BQ162" t="s">
        <v>74</v>
      </c>
      <c r="BR162" t="s">
        <v>106</v>
      </c>
      <c r="BS162" t="s">
        <v>3382</v>
      </c>
      <c r="BT162" t="str">
        <f>HYPERLINK("https%3A%2F%2Fwww.webofscience.com%2Fwos%2Fwoscc%2Ffull-record%2FWOS:000536432401124","View Full Record in Web of Science")</f>
        <v>View Full Record in Web of Science</v>
      </c>
    </row>
    <row r="163" spans="1:72" x14ac:dyDescent="0.15">
      <c r="A163" t="s">
        <v>72</v>
      </c>
      <c r="B163" t="s">
        <v>3383</v>
      </c>
      <c r="C163" t="s">
        <v>74</v>
      </c>
      <c r="D163" t="s">
        <v>74</v>
      </c>
      <c r="E163" t="s">
        <v>74</v>
      </c>
      <c r="F163" t="s">
        <v>3384</v>
      </c>
      <c r="G163" t="s">
        <v>74</v>
      </c>
      <c r="H163" t="s">
        <v>74</v>
      </c>
      <c r="I163" t="s">
        <v>3385</v>
      </c>
      <c r="J163" t="s">
        <v>3248</v>
      </c>
      <c r="K163" t="s">
        <v>74</v>
      </c>
      <c r="L163" t="s">
        <v>74</v>
      </c>
      <c r="M163" t="s">
        <v>78</v>
      </c>
      <c r="N163" t="s">
        <v>52</v>
      </c>
      <c r="O163" t="s">
        <v>3249</v>
      </c>
      <c r="P163" t="s">
        <v>3250</v>
      </c>
      <c r="Q163" t="s">
        <v>3251</v>
      </c>
      <c r="R163" t="s">
        <v>74</v>
      </c>
      <c r="S163" t="s">
        <v>74</v>
      </c>
      <c r="T163" t="s">
        <v>74</v>
      </c>
      <c r="U163" t="s">
        <v>74</v>
      </c>
      <c r="V163" t="s">
        <v>74</v>
      </c>
      <c r="W163" t="s">
        <v>3386</v>
      </c>
      <c r="X163" t="s">
        <v>3387</v>
      </c>
      <c r="Y163" t="s">
        <v>74</v>
      </c>
      <c r="Z163" t="s">
        <v>3388</v>
      </c>
      <c r="AA163" t="s">
        <v>74</v>
      </c>
      <c r="AB163" t="s">
        <v>74</v>
      </c>
      <c r="AC163" t="s">
        <v>74</v>
      </c>
      <c r="AD163" t="s">
        <v>74</v>
      </c>
      <c r="AE163" t="s">
        <v>74</v>
      </c>
      <c r="AF163" t="s">
        <v>74</v>
      </c>
      <c r="AG163">
        <v>0</v>
      </c>
      <c r="AH163">
        <v>0</v>
      </c>
      <c r="AI163">
        <v>0</v>
      </c>
      <c r="AJ163">
        <v>0</v>
      </c>
      <c r="AK163">
        <v>1</v>
      </c>
      <c r="AL163" t="s">
        <v>3077</v>
      </c>
      <c r="AM163" t="s">
        <v>3078</v>
      </c>
      <c r="AN163" t="s">
        <v>3079</v>
      </c>
      <c r="AO163" t="s">
        <v>3255</v>
      </c>
      <c r="AP163" t="s">
        <v>3256</v>
      </c>
      <c r="AQ163" t="s">
        <v>74</v>
      </c>
      <c r="AR163" t="s">
        <v>3257</v>
      </c>
      <c r="AS163" t="s">
        <v>3258</v>
      </c>
      <c r="AT163" t="s">
        <v>2912</v>
      </c>
      <c r="AU163">
        <v>2020</v>
      </c>
      <c r="AV163">
        <v>60</v>
      </c>
      <c r="AW163" t="s">
        <v>74</v>
      </c>
      <c r="AX163" t="s">
        <v>74</v>
      </c>
      <c r="AY163">
        <v>1</v>
      </c>
      <c r="AZ163" t="s">
        <v>74</v>
      </c>
      <c r="BA163" t="s">
        <v>3389</v>
      </c>
      <c r="BB163" t="s">
        <v>3390</v>
      </c>
      <c r="BC163" t="s">
        <v>3390</v>
      </c>
      <c r="BD163" t="s">
        <v>74</v>
      </c>
      <c r="BE163" t="s">
        <v>74</v>
      </c>
      <c r="BF163" t="s">
        <v>74</v>
      </c>
      <c r="BG163" t="s">
        <v>74</v>
      </c>
      <c r="BH163" t="s">
        <v>74</v>
      </c>
      <c r="BI163">
        <v>1</v>
      </c>
      <c r="BJ163" t="s">
        <v>2510</v>
      </c>
      <c r="BK163" t="s">
        <v>3261</v>
      </c>
      <c r="BL163" t="s">
        <v>2510</v>
      </c>
      <c r="BM163" t="s">
        <v>3262</v>
      </c>
      <c r="BN163" t="s">
        <v>74</v>
      </c>
      <c r="BO163" t="s">
        <v>74</v>
      </c>
      <c r="BP163" t="s">
        <v>74</v>
      </c>
      <c r="BQ163" t="s">
        <v>74</v>
      </c>
      <c r="BR163" t="s">
        <v>106</v>
      </c>
      <c r="BS163" t="s">
        <v>3391</v>
      </c>
      <c r="BT163" t="str">
        <f>HYPERLINK("https%3A%2F%2Fwww.webofscience.com%2Fwos%2Fwoscc%2Ffull-record%2FWOS:000536432401139","View Full Record in Web of Science")</f>
        <v>View Full Record in Web of Science</v>
      </c>
    </row>
    <row r="164" spans="1:72" x14ac:dyDescent="0.15">
      <c r="A164" t="s">
        <v>72</v>
      </c>
      <c r="B164" t="s">
        <v>3392</v>
      </c>
      <c r="C164" t="s">
        <v>74</v>
      </c>
      <c r="D164" t="s">
        <v>74</v>
      </c>
      <c r="E164" t="s">
        <v>74</v>
      </c>
      <c r="F164" t="s">
        <v>3393</v>
      </c>
      <c r="G164" t="s">
        <v>74</v>
      </c>
      <c r="H164" t="s">
        <v>74</v>
      </c>
      <c r="I164" t="s">
        <v>3394</v>
      </c>
      <c r="J164" t="s">
        <v>3248</v>
      </c>
      <c r="K164" t="s">
        <v>74</v>
      </c>
      <c r="L164" t="s">
        <v>74</v>
      </c>
      <c r="M164" t="s">
        <v>78</v>
      </c>
      <c r="N164" t="s">
        <v>52</v>
      </c>
      <c r="O164" t="s">
        <v>3249</v>
      </c>
      <c r="P164" t="s">
        <v>3250</v>
      </c>
      <c r="Q164" t="s">
        <v>3251</v>
      </c>
      <c r="R164" t="s">
        <v>74</v>
      </c>
      <c r="S164" t="s">
        <v>74</v>
      </c>
      <c r="T164" t="s">
        <v>74</v>
      </c>
      <c r="U164" t="s">
        <v>74</v>
      </c>
      <c r="V164" t="s">
        <v>74</v>
      </c>
      <c r="W164" t="s">
        <v>3395</v>
      </c>
      <c r="X164" t="s">
        <v>3396</v>
      </c>
      <c r="Y164" t="s">
        <v>74</v>
      </c>
      <c r="Z164" t="s">
        <v>3397</v>
      </c>
      <c r="AA164" t="s">
        <v>74</v>
      </c>
      <c r="AB164" t="s">
        <v>74</v>
      </c>
      <c r="AC164" t="s">
        <v>3398</v>
      </c>
      <c r="AD164" t="s">
        <v>568</v>
      </c>
      <c r="AE164" t="s">
        <v>3399</v>
      </c>
      <c r="AF164" t="s">
        <v>74</v>
      </c>
      <c r="AG164">
        <v>0</v>
      </c>
      <c r="AH164">
        <v>0</v>
      </c>
      <c r="AI164">
        <v>0</v>
      </c>
      <c r="AJ164">
        <v>1</v>
      </c>
      <c r="AK164">
        <v>2</v>
      </c>
      <c r="AL164" t="s">
        <v>3077</v>
      </c>
      <c r="AM164" t="s">
        <v>3078</v>
      </c>
      <c r="AN164" t="s">
        <v>3079</v>
      </c>
      <c r="AO164" t="s">
        <v>3255</v>
      </c>
      <c r="AP164" t="s">
        <v>3256</v>
      </c>
      <c r="AQ164" t="s">
        <v>74</v>
      </c>
      <c r="AR164" t="s">
        <v>3257</v>
      </c>
      <c r="AS164" t="s">
        <v>3258</v>
      </c>
      <c r="AT164" t="s">
        <v>2912</v>
      </c>
      <c r="AU164">
        <v>2020</v>
      </c>
      <c r="AV164">
        <v>60</v>
      </c>
      <c r="AW164" t="s">
        <v>74</v>
      </c>
      <c r="AX164" t="s">
        <v>74</v>
      </c>
      <c r="AY164">
        <v>1</v>
      </c>
      <c r="AZ164" t="s">
        <v>74</v>
      </c>
      <c r="BA164" t="s">
        <v>3400</v>
      </c>
      <c r="BB164" t="s">
        <v>3390</v>
      </c>
      <c r="BC164" t="s">
        <v>3390</v>
      </c>
      <c r="BD164" t="s">
        <v>74</v>
      </c>
      <c r="BE164" t="s">
        <v>74</v>
      </c>
      <c r="BF164" t="s">
        <v>74</v>
      </c>
      <c r="BG164" t="s">
        <v>74</v>
      </c>
      <c r="BH164" t="s">
        <v>74</v>
      </c>
      <c r="BI164">
        <v>1</v>
      </c>
      <c r="BJ164" t="s">
        <v>2510</v>
      </c>
      <c r="BK164" t="s">
        <v>3261</v>
      </c>
      <c r="BL164" t="s">
        <v>2510</v>
      </c>
      <c r="BM164" t="s">
        <v>3262</v>
      </c>
      <c r="BN164" t="s">
        <v>74</v>
      </c>
      <c r="BO164" t="s">
        <v>74</v>
      </c>
      <c r="BP164" t="s">
        <v>74</v>
      </c>
      <c r="BQ164" t="s">
        <v>74</v>
      </c>
      <c r="BR164" t="s">
        <v>106</v>
      </c>
      <c r="BS164" t="s">
        <v>3401</v>
      </c>
      <c r="BT164" t="str">
        <f>HYPERLINK("https%3A%2F%2Fwww.webofscience.com%2Fwos%2Fwoscc%2Ffull-record%2FWOS:000536432401138","View Full Record in Web of Science")</f>
        <v>View Full Record in Web of Science</v>
      </c>
    </row>
    <row r="165" spans="1:72" x14ac:dyDescent="0.15">
      <c r="A165" t="s">
        <v>72</v>
      </c>
      <c r="B165" t="s">
        <v>3402</v>
      </c>
      <c r="C165" t="s">
        <v>74</v>
      </c>
      <c r="D165" t="s">
        <v>74</v>
      </c>
      <c r="E165" t="s">
        <v>74</v>
      </c>
      <c r="F165" t="s">
        <v>3403</v>
      </c>
      <c r="G165" t="s">
        <v>74</v>
      </c>
      <c r="H165" t="s">
        <v>74</v>
      </c>
      <c r="I165" t="s">
        <v>3404</v>
      </c>
      <c r="J165" t="s">
        <v>3248</v>
      </c>
      <c r="K165" t="s">
        <v>74</v>
      </c>
      <c r="L165" t="s">
        <v>74</v>
      </c>
      <c r="M165" t="s">
        <v>78</v>
      </c>
      <c r="N165" t="s">
        <v>52</v>
      </c>
      <c r="O165" t="s">
        <v>3249</v>
      </c>
      <c r="P165" t="s">
        <v>3250</v>
      </c>
      <c r="Q165" t="s">
        <v>3251</v>
      </c>
      <c r="R165" t="s">
        <v>74</v>
      </c>
      <c r="S165" t="s">
        <v>74</v>
      </c>
      <c r="T165" t="s">
        <v>74</v>
      </c>
      <c r="U165" t="s">
        <v>74</v>
      </c>
      <c r="V165" t="s">
        <v>74</v>
      </c>
      <c r="W165" t="s">
        <v>3405</v>
      </c>
      <c r="X165" t="s">
        <v>3406</v>
      </c>
      <c r="Y165" t="s">
        <v>74</v>
      </c>
      <c r="Z165" t="s">
        <v>3407</v>
      </c>
      <c r="AA165" t="s">
        <v>3408</v>
      </c>
      <c r="AB165" t="s">
        <v>74</v>
      </c>
      <c r="AC165" t="s">
        <v>74</v>
      </c>
      <c r="AD165" t="s">
        <v>74</v>
      </c>
      <c r="AE165" t="s">
        <v>74</v>
      </c>
      <c r="AF165" t="s">
        <v>74</v>
      </c>
      <c r="AG165">
        <v>0</v>
      </c>
      <c r="AH165">
        <v>0</v>
      </c>
      <c r="AI165">
        <v>0</v>
      </c>
      <c r="AJ165">
        <v>0</v>
      </c>
      <c r="AK165">
        <v>0</v>
      </c>
      <c r="AL165" t="s">
        <v>3077</v>
      </c>
      <c r="AM165" t="s">
        <v>3078</v>
      </c>
      <c r="AN165" t="s">
        <v>3079</v>
      </c>
      <c r="AO165" t="s">
        <v>3255</v>
      </c>
      <c r="AP165" t="s">
        <v>3256</v>
      </c>
      <c r="AQ165" t="s">
        <v>74</v>
      </c>
      <c r="AR165" t="s">
        <v>3257</v>
      </c>
      <c r="AS165" t="s">
        <v>3258</v>
      </c>
      <c r="AT165" t="s">
        <v>2912</v>
      </c>
      <c r="AU165">
        <v>2020</v>
      </c>
      <c r="AV165">
        <v>60</v>
      </c>
      <c r="AW165" t="s">
        <v>74</v>
      </c>
      <c r="AX165" t="s">
        <v>74</v>
      </c>
      <c r="AY165">
        <v>1</v>
      </c>
      <c r="AZ165" t="s">
        <v>74</v>
      </c>
      <c r="BA165" t="s">
        <v>3409</v>
      </c>
      <c r="BB165" t="s">
        <v>3410</v>
      </c>
      <c r="BC165" t="s">
        <v>3410</v>
      </c>
      <c r="BD165" t="s">
        <v>74</v>
      </c>
      <c r="BE165" t="s">
        <v>74</v>
      </c>
      <c r="BF165" t="s">
        <v>74</v>
      </c>
      <c r="BG165" t="s">
        <v>74</v>
      </c>
      <c r="BH165" t="s">
        <v>74</v>
      </c>
      <c r="BI165">
        <v>1</v>
      </c>
      <c r="BJ165" t="s">
        <v>2510</v>
      </c>
      <c r="BK165" t="s">
        <v>3261</v>
      </c>
      <c r="BL165" t="s">
        <v>2510</v>
      </c>
      <c r="BM165" t="s">
        <v>3262</v>
      </c>
      <c r="BN165" t="s">
        <v>74</v>
      </c>
      <c r="BO165" t="s">
        <v>74</v>
      </c>
      <c r="BP165" t="s">
        <v>74</v>
      </c>
      <c r="BQ165" t="s">
        <v>74</v>
      </c>
      <c r="BR165" t="s">
        <v>106</v>
      </c>
      <c r="BS165" t="s">
        <v>3411</v>
      </c>
      <c r="BT165" t="str">
        <f>HYPERLINK("https%3A%2F%2Fwww.webofscience.com%2Fwos%2Fwoscc%2Ffull-record%2FWOS:000536432402201","View Full Record in Web of Science")</f>
        <v>View Full Record in Web of Science</v>
      </c>
    </row>
    <row r="166" spans="1:72" x14ac:dyDescent="0.15">
      <c r="A166" t="s">
        <v>72</v>
      </c>
      <c r="B166" t="s">
        <v>3412</v>
      </c>
      <c r="C166" t="s">
        <v>74</v>
      </c>
      <c r="D166" t="s">
        <v>74</v>
      </c>
      <c r="E166" t="s">
        <v>74</v>
      </c>
      <c r="F166" t="s">
        <v>3413</v>
      </c>
      <c r="G166" t="s">
        <v>74</v>
      </c>
      <c r="H166" t="s">
        <v>74</v>
      </c>
      <c r="I166" t="s">
        <v>3414</v>
      </c>
      <c r="J166" t="s">
        <v>3415</v>
      </c>
      <c r="K166" t="s">
        <v>74</v>
      </c>
      <c r="L166" t="s">
        <v>74</v>
      </c>
      <c r="M166" t="s">
        <v>78</v>
      </c>
      <c r="N166" t="s">
        <v>79</v>
      </c>
      <c r="O166" t="s">
        <v>74</v>
      </c>
      <c r="P166" t="s">
        <v>74</v>
      </c>
      <c r="Q166" t="s">
        <v>74</v>
      </c>
      <c r="R166" t="s">
        <v>74</v>
      </c>
      <c r="S166" t="s">
        <v>74</v>
      </c>
      <c r="T166" t="s">
        <v>3416</v>
      </c>
      <c r="U166" t="s">
        <v>3417</v>
      </c>
      <c r="V166" t="s">
        <v>3418</v>
      </c>
      <c r="W166" t="s">
        <v>3419</v>
      </c>
      <c r="X166" t="s">
        <v>3420</v>
      </c>
      <c r="Y166" t="s">
        <v>3421</v>
      </c>
      <c r="Z166" t="s">
        <v>3422</v>
      </c>
      <c r="AA166" t="s">
        <v>3423</v>
      </c>
      <c r="AB166" t="s">
        <v>3424</v>
      </c>
      <c r="AC166" t="s">
        <v>74</v>
      </c>
      <c r="AD166" t="s">
        <v>74</v>
      </c>
      <c r="AE166" t="s">
        <v>74</v>
      </c>
      <c r="AF166" t="s">
        <v>74</v>
      </c>
      <c r="AG166">
        <v>99</v>
      </c>
      <c r="AH166">
        <v>65</v>
      </c>
      <c r="AI166">
        <v>70</v>
      </c>
      <c r="AJ166">
        <v>6</v>
      </c>
      <c r="AK166">
        <v>39</v>
      </c>
      <c r="AL166" t="s">
        <v>1656</v>
      </c>
      <c r="AM166" t="s">
        <v>93</v>
      </c>
      <c r="AN166" t="s">
        <v>94</v>
      </c>
      <c r="AO166" t="s">
        <v>3425</v>
      </c>
      <c r="AP166" t="s">
        <v>74</v>
      </c>
      <c r="AQ166" t="s">
        <v>74</v>
      </c>
      <c r="AR166" t="s">
        <v>3426</v>
      </c>
      <c r="AS166" t="s">
        <v>3427</v>
      </c>
      <c r="AT166" t="s">
        <v>2912</v>
      </c>
      <c r="AU166">
        <v>2020</v>
      </c>
      <c r="AV166">
        <v>15</v>
      </c>
      <c r="AW166">
        <v>3</v>
      </c>
      <c r="AX166" t="s">
        <v>74</v>
      </c>
      <c r="AY166" t="s">
        <v>74</v>
      </c>
      <c r="AZ166" t="s">
        <v>74</v>
      </c>
      <c r="BA166" t="s">
        <v>74</v>
      </c>
      <c r="BB166" t="s">
        <v>74</v>
      </c>
      <c r="BC166" t="s">
        <v>74</v>
      </c>
      <c r="BD166">
        <v>34007</v>
      </c>
      <c r="BE166" t="s">
        <v>3428</v>
      </c>
      <c r="BF166" t="str">
        <f>HYPERLINK("http://dx.doi.org/10.1088/1748-9326/ab666c","http://dx.doi.org/10.1088/1748-9326/ab666c")</f>
        <v>http://dx.doi.org/10.1088/1748-9326/ab666c</v>
      </c>
      <c r="BG166" t="s">
        <v>74</v>
      </c>
      <c r="BH166" t="s">
        <v>74</v>
      </c>
      <c r="BI166">
        <v>15</v>
      </c>
      <c r="BJ166" t="s">
        <v>984</v>
      </c>
      <c r="BK166" t="s">
        <v>1149</v>
      </c>
      <c r="BL166" t="s">
        <v>985</v>
      </c>
      <c r="BM166" t="s">
        <v>3429</v>
      </c>
      <c r="BN166" t="s">
        <v>74</v>
      </c>
      <c r="BO166" t="s">
        <v>1359</v>
      </c>
      <c r="BP166" t="s">
        <v>74</v>
      </c>
      <c r="BQ166" t="s">
        <v>74</v>
      </c>
      <c r="BR166" t="s">
        <v>106</v>
      </c>
      <c r="BS166" t="s">
        <v>3430</v>
      </c>
      <c r="BT166" t="str">
        <f>HYPERLINK("https%3A%2F%2Fwww.webofscience.com%2Fwos%2Fwoscc%2Ffull-record%2FWOS:000537406500001","View Full Record in Web of Science")</f>
        <v>View Full Record in Web of Science</v>
      </c>
    </row>
    <row r="167" spans="1:72" x14ac:dyDescent="0.15">
      <c r="A167" t="s">
        <v>72</v>
      </c>
      <c r="B167" t="s">
        <v>3431</v>
      </c>
      <c r="C167" t="s">
        <v>74</v>
      </c>
      <c r="D167" t="s">
        <v>74</v>
      </c>
      <c r="E167" t="s">
        <v>74</v>
      </c>
      <c r="F167" t="s">
        <v>3432</v>
      </c>
      <c r="G167" t="s">
        <v>74</v>
      </c>
      <c r="H167" t="s">
        <v>74</v>
      </c>
      <c r="I167" t="s">
        <v>3433</v>
      </c>
      <c r="J167" t="s">
        <v>3248</v>
      </c>
      <c r="K167" t="s">
        <v>74</v>
      </c>
      <c r="L167" t="s">
        <v>74</v>
      </c>
      <c r="M167" t="s">
        <v>78</v>
      </c>
      <c r="N167" t="s">
        <v>52</v>
      </c>
      <c r="O167" t="s">
        <v>3249</v>
      </c>
      <c r="P167" t="s">
        <v>3250</v>
      </c>
      <c r="Q167" t="s">
        <v>3251</v>
      </c>
      <c r="R167" t="s">
        <v>74</v>
      </c>
      <c r="S167" t="s">
        <v>74</v>
      </c>
      <c r="T167" t="s">
        <v>74</v>
      </c>
      <c r="U167" t="s">
        <v>74</v>
      </c>
      <c r="V167" t="s">
        <v>74</v>
      </c>
      <c r="W167" t="s">
        <v>3434</v>
      </c>
      <c r="X167" t="s">
        <v>3435</v>
      </c>
      <c r="Y167" t="s">
        <v>74</v>
      </c>
      <c r="Z167" t="s">
        <v>3436</v>
      </c>
      <c r="AA167" t="s">
        <v>74</v>
      </c>
      <c r="AB167" t="s">
        <v>74</v>
      </c>
      <c r="AC167" t="s">
        <v>74</v>
      </c>
      <c r="AD167" t="s">
        <v>74</v>
      </c>
      <c r="AE167" t="s">
        <v>74</v>
      </c>
      <c r="AF167" t="s">
        <v>74</v>
      </c>
      <c r="AG167">
        <v>0</v>
      </c>
      <c r="AH167">
        <v>0</v>
      </c>
      <c r="AI167">
        <v>0</v>
      </c>
      <c r="AJ167">
        <v>2</v>
      </c>
      <c r="AK167">
        <v>30</v>
      </c>
      <c r="AL167" t="s">
        <v>3077</v>
      </c>
      <c r="AM167" t="s">
        <v>3078</v>
      </c>
      <c r="AN167" t="s">
        <v>3079</v>
      </c>
      <c r="AO167" t="s">
        <v>3255</v>
      </c>
      <c r="AP167" t="s">
        <v>3256</v>
      </c>
      <c r="AQ167" t="s">
        <v>74</v>
      </c>
      <c r="AR167" t="s">
        <v>3257</v>
      </c>
      <c r="AS167" t="s">
        <v>3258</v>
      </c>
      <c r="AT167" t="s">
        <v>2912</v>
      </c>
      <c r="AU167">
        <v>2020</v>
      </c>
      <c r="AV167">
        <v>60</v>
      </c>
      <c r="AW167" t="s">
        <v>74</v>
      </c>
      <c r="AX167" t="s">
        <v>74</v>
      </c>
      <c r="AY167">
        <v>1</v>
      </c>
      <c r="AZ167" t="s">
        <v>74</v>
      </c>
      <c r="BA167" t="s">
        <v>3437</v>
      </c>
      <c r="BB167" t="s">
        <v>3438</v>
      </c>
      <c r="BC167" t="s">
        <v>3438</v>
      </c>
      <c r="BD167" t="s">
        <v>74</v>
      </c>
      <c r="BE167" t="s">
        <v>74</v>
      </c>
      <c r="BF167" t="s">
        <v>74</v>
      </c>
      <c r="BG167" t="s">
        <v>74</v>
      </c>
      <c r="BH167" t="s">
        <v>74</v>
      </c>
      <c r="BI167">
        <v>1</v>
      </c>
      <c r="BJ167" t="s">
        <v>2510</v>
      </c>
      <c r="BK167" t="s">
        <v>3261</v>
      </c>
      <c r="BL167" t="s">
        <v>2510</v>
      </c>
      <c r="BM167" t="s">
        <v>3262</v>
      </c>
      <c r="BN167" t="s">
        <v>74</v>
      </c>
      <c r="BO167" t="s">
        <v>74</v>
      </c>
      <c r="BP167" t="s">
        <v>74</v>
      </c>
      <c r="BQ167" t="s">
        <v>74</v>
      </c>
      <c r="BR167" t="s">
        <v>106</v>
      </c>
      <c r="BS167" t="s">
        <v>3439</v>
      </c>
      <c r="BT167" t="str">
        <f>HYPERLINK("https%3A%2F%2Fwww.webofscience.com%2Fwos%2Fwoscc%2Ffull-record%2FWOS:000536432400184","View Full Record in Web of Science")</f>
        <v>View Full Record in Web of Science</v>
      </c>
    </row>
    <row r="168" spans="1:72" x14ac:dyDescent="0.15">
      <c r="A168" t="s">
        <v>72</v>
      </c>
      <c r="B168" t="s">
        <v>3440</v>
      </c>
      <c r="C168" t="s">
        <v>74</v>
      </c>
      <c r="D168" t="s">
        <v>74</v>
      </c>
      <c r="E168" t="s">
        <v>74</v>
      </c>
      <c r="F168" t="s">
        <v>3441</v>
      </c>
      <c r="G168" t="s">
        <v>74</v>
      </c>
      <c r="H168" t="s">
        <v>74</v>
      </c>
      <c r="I168" t="s">
        <v>3442</v>
      </c>
      <c r="J168" t="s">
        <v>3248</v>
      </c>
      <c r="K168" t="s">
        <v>74</v>
      </c>
      <c r="L168" t="s">
        <v>74</v>
      </c>
      <c r="M168" t="s">
        <v>78</v>
      </c>
      <c r="N168" t="s">
        <v>52</v>
      </c>
      <c r="O168" t="s">
        <v>3249</v>
      </c>
      <c r="P168" t="s">
        <v>3250</v>
      </c>
      <c r="Q168" t="s">
        <v>3251</v>
      </c>
      <c r="R168" t="s">
        <v>74</v>
      </c>
      <c r="S168" t="s">
        <v>74</v>
      </c>
      <c r="T168" t="s">
        <v>74</v>
      </c>
      <c r="U168" t="s">
        <v>74</v>
      </c>
      <c r="V168" t="s">
        <v>74</v>
      </c>
      <c r="W168" t="s">
        <v>3443</v>
      </c>
      <c r="X168" t="s">
        <v>3444</v>
      </c>
      <c r="Y168" t="s">
        <v>74</v>
      </c>
      <c r="Z168" t="s">
        <v>3445</v>
      </c>
      <c r="AA168" t="s">
        <v>74</v>
      </c>
      <c r="AB168" t="s">
        <v>74</v>
      </c>
      <c r="AC168" t="s">
        <v>74</v>
      </c>
      <c r="AD168" t="s">
        <v>74</v>
      </c>
      <c r="AE168" t="s">
        <v>74</v>
      </c>
      <c r="AF168" t="s">
        <v>74</v>
      </c>
      <c r="AG168">
        <v>0</v>
      </c>
      <c r="AH168">
        <v>0</v>
      </c>
      <c r="AI168">
        <v>0</v>
      </c>
      <c r="AJ168">
        <v>0</v>
      </c>
      <c r="AK168">
        <v>4</v>
      </c>
      <c r="AL168" t="s">
        <v>3077</v>
      </c>
      <c r="AM168" t="s">
        <v>3078</v>
      </c>
      <c r="AN168" t="s">
        <v>3079</v>
      </c>
      <c r="AO168" t="s">
        <v>3255</v>
      </c>
      <c r="AP168" t="s">
        <v>3256</v>
      </c>
      <c r="AQ168" t="s">
        <v>74</v>
      </c>
      <c r="AR168" t="s">
        <v>3257</v>
      </c>
      <c r="AS168" t="s">
        <v>3258</v>
      </c>
      <c r="AT168" t="s">
        <v>2912</v>
      </c>
      <c r="AU168">
        <v>2020</v>
      </c>
      <c r="AV168">
        <v>60</v>
      </c>
      <c r="AW168" t="s">
        <v>74</v>
      </c>
      <c r="AX168" t="s">
        <v>74</v>
      </c>
      <c r="AY168">
        <v>1</v>
      </c>
      <c r="AZ168" t="s">
        <v>74</v>
      </c>
      <c r="BA168" t="s">
        <v>3446</v>
      </c>
      <c r="BB168" t="s">
        <v>3447</v>
      </c>
      <c r="BC168" t="s">
        <v>3447</v>
      </c>
      <c r="BD168" t="s">
        <v>74</v>
      </c>
      <c r="BE168" t="s">
        <v>74</v>
      </c>
      <c r="BF168" t="s">
        <v>74</v>
      </c>
      <c r="BG168" t="s">
        <v>74</v>
      </c>
      <c r="BH168" t="s">
        <v>74</v>
      </c>
      <c r="BI168">
        <v>1</v>
      </c>
      <c r="BJ168" t="s">
        <v>2510</v>
      </c>
      <c r="BK168" t="s">
        <v>3261</v>
      </c>
      <c r="BL168" t="s">
        <v>2510</v>
      </c>
      <c r="BM168" t="s">
        <v>3262</v>
      </c>
      <c r="BN168" t="s">
        <v>74</v>
      </c>
      <c r="BO168" t="s">
        <v>74</v>
      </c>
      <c r="BP168" t="s">
        <v>74</v>
      </c>
      <c r="BQ168" t="s">
        <v>74</v>
      </c>
      <c r="BR168" t="s">
        <v>106</v>
      </c>
      <c r="BS168" t="s">
        <v>3448</v>
      </c>
      <c r="BT168" t="str">
        <f>HYPERLINK("https%3A%2F%2Fwww.webofscience.com%2Fwos%2Fwoscc%2Ffull-record%2FWOS:000536432401252","View Full Record in Web of Science")</f>
        <v>View Full Record in Web of Science</v>
      </c>
    </row>
    <row r="169" spans="1:72" x14ac:dyDescent="0.15">
      <c r="A169" t="s">
        <v>72</v>
      </c>
      <c r="B169" t="s">
        <v>3449</v>
      </c>
      <c r="C169" t="s">
        <v>74</v>
      </c>
      <c r="D169" t="s">
        <v>74</v>
      </c>
      <c r="E169" t="s">
        <v>74</v>
      </c>
      <c r="F169" t="s">
        <v>3450</v>
      </c>
      <c r="G169" t="s">
        <v>74</v>
      </c>
      <c r="H169" t="s">
        <v>74</v>
      </c>
      <c r="I169" t="s">
        <v>3451</v>
      </c>
      <c r="J169" t="s">
        <v>3452</v>
      </c>
      <c r="K169" t="s">
        <v>74</v>
      </c>
      <c r="L169" t="s">
        <v>74</v>
      </c>
      <c r="M169" t="s">
        <v>78</v>
      </c>
      <c r="N169" t="s">
        <v>79</v>
      </c>
      <c r="O169" t="s">
        <v>74</v>
      </c>
      <c r="P169" t="s">
        <v>74</v>
      </c>
      <c r="Q169" t="s">
        <v>74</v>
      </c>
      <c r="R169" t="s">
        <v>74</v>
      </c>
      <c r="S169" t="s">
        <v>74</v>
      </c>
      <c r="T169" t="s">
        <v>3453</v>
      </c>
      <c r="U169" t="s">
        <v>3454</v>
      </c>
      <c r="V169" t="s">
        <v>3455</v>
      </c>
      <c r="W169" t="s">
        <v>3456</v>
      </c>
      <c r="X169" t="s">
        <v>3457</v>
      </c>
      <c r="Y169" t="s">
        <v>3458</v>
      </c>
      <c r="Z169" t="s">
        <v>3459</v>
      </c>
      <c r="AA169" t="s">
        <v>3460</v>
      </c>
      <c r="AB169" t="s">
        <v>74</v>
      </c>
      <c r="AC169" t="s">
        <v>74</v>
      </c>
      <c r="AD169" t="s">
        <v>74</v>
      </c>
      <c r="AE169" t="s">
        <v>74</v>
      </c>
      <c r="AF169" t="s">
        <v>74</v>
      </c>
      <c r="AG169">
        <v>47</v>
      </c>
      <c r="AH169">
        <v>7</v>
      </c>
      <c r="AI169">
        <v>7</v>
      </c>
      <c r="AJ169">
        <v>1</v>
      </c>
      <c r="AK169">
        <v>9</v>
      </c>
      <c r="AL169" t="s">
        <v>1055</v>
      </c>
      <c r="AM169" t="s">
        <v>435</v>
      </c>
      <c r="AN169" t="s">
        <v>1056</v>
      </c>
      <c r="AO169" t="s">
        <v>3461</v>
      </c>
      <c r="AP169" t="s">
        <v>3462</v>
      </c>
      <c r="AQ169" t="s">
        <v>74</v>
      </c>
      <c r="AR169" t="s">
        <v>3463</v>
      </c>
      <c r="AS169" t="s">
        <v>3464</v>
      </c>
      <c r="AT169" t="s">
        <v>2912</v>
      </c>
      <c r="AU169">
        <v>2020</v>
      </c>
      <c r="AV169">
        <v>32</v>
      </c>
      <c r="AW169">
        <v>1</v>
      </c>
      <c r="AX169" t="s">
        <v>74</v>
      </c>
      <c r="AY169" t="s">
        <v>74</v>
      </c>
      <c r="AZ169" t="s">
        <v>74</v>
      </c>
      <c r="BA169" t="s">
        <v>74</v>
      </c>
      <c r="BB169">
        <v>53</v>
      </c>
      <c r="BC169">
        <v>81</v>
      </c>
      <c r="BD169" t="s">
        <v>74</v>
      </c>
      <c r="BE169" t="s">
        <v>3465</v>
      </c>
      <c r="BF169" t="str">
        <f>HYPERLINK("http://dx.doi.org/10.1093/jel/eqz015","http://dx.doi.org/10.1093/jel/eqz015")</f>
        <v>http://dx.doi.org/10.1093/jel/eqz015</v>
      </c>
      <c r="BG169" t="s">
        <v>74</v>
      </c>
      <c r="BH169" t="s">
        <v>74</v>
      </c>
      <c r="BI169">
        <v>29</v>
      </c>
      <c r="BJ169" t="s">
        <v>3466</v>
      </c>
      <c r="BK169" t="s">
        <v>3467</v>
      </c>
      <c r="BL169" t="s">
        <v>3468</v>
      </c>
      <c r="BM169" t="s">
        <v>3469</v>
      </c>
      <c r="BN169" t="s">
        <v>74</v>
      </c>
      <c r="BO169" t="s">
        <v>74</v>
      </c>
      <c r="BP169" t="s">
        <v>74</v>
      </c>
      <c r="BQ169" t="s">
        <v>74</v>
      </c>
      <c r="BR169" t="s">
        <v>106</v>
      </c>
      <c r="BS169" t="s">
        <v>3470</v>
      </c>
      <c r="BT169" t="str">
        <f>HYPERLINK("https%3A%2F%2Fwww.webofscience.com%2Fwos%2Fwoscc%2Ffull-record%2FWOS:000536502200003","View Full Record in Web of Science")</f>
        <v>View Full Record in Web of Science</v>
      </c>
    </row>
    <row r="170" spans="1:72" x14ac:dyDescent="0.15">
      <c r="A170" t="s">
        <v>72</v>
      </c>
      <c r="B170" t="s">
        <v>3471</v>
      </c>
      <c r="C170" t="s">
        <v>74</v>
      </c>
      <c r="D170" t="s">
        <v>74</v>
      </c>
      <c r="E170" t="s">
        <v>74</v>
      </c>
      <c r="F170" t="s">
        <v>3472</v>
      </c>
      <c r="G170" t="s">
        <v>74</v>
      </c>
      <c r="H170" t="s">
        <v>74</v>
      </c>
      <c r="I170" t="s">
        <v>3473</v>
      </c>
      <c r="J170" t="s">
        <v>3474</v>
      </c>
      <c r="K170" t="s">
        <v>74</v>
      </c>
      <c r="L170" t="s">
        <v>74</v>
      </c>
      <c r="M170" t="s">
        <v>78</v>
      </c>
      <c r="N170" t="s">
        <v>79</v>
      </c>
      <c r="O170" t="s">
        <v>74</v>
      </c>
      <c r="P170" t="s">
        <v>74</v>
      </c>
      <c r="Q170" t="s">
        <v>74</v>
      </c>
      <c r="R170" t="s">
        <v>74</v>
      </c>
      <c r="S170" t="s">
        <v>74</v>
      </c>
      <c r="T170" t="s">
        <v>3475</v>
      </c>
      <c r="U170" t="s">
        <v>74</v>
      </c>
      <c r="V170" t="s">
        <v>3476</v>
      </c>
      <c r="W170" t="s">
        <v>3477</v>
      </c>
      <c r="X170" t="s">
        <v>3478</v>
      </c>
      <c r="Y170" t="s">
        <v>3479</v>
      </c>
      <c r="Z170" t="s">
        <v>3480</v>
      </c>
      <c r="AA170" t="s">
        <v>3481</v>
      </c>
      <c r="AB170" t="s">
        <v>3482</v>
      </c>
      <c r="AC170" t="s">
        <v>3483</v>
      </c>
      <c r="AD170" t="s">
        <v>3484</v>
      </c>
      <c r="AE170" t="s">
        <v>3485</v>
      </c>
      <c r="AF170" t="s">
        <v>74</v>
      </c>
      <c r="AG170">
        <v>33</v>
      </c>
      <c r="AH170">
        <v>2</v>
      </c>
      <c r="AI170">
        <v>2</v>
      </c>
      <c r="AJ170">
        <v>2</v>
      </c>
      <c r="AK170">
        <v>11</v>
      </c>
      <c r="AL170" t="s">
        <v>1055</v>
      </c>
      <c r="AM170" t="s">
        <v>435</v>
      </c>
      <c r="AN170" t="s">
        <v>1056</v>
      </c>
      <c r="AO170" t="s">
        <v>3486</v>
      </c>
      <c r="AP170" t="s">
        <v>3487</v>
      </c>
      <c r="AQ170" t="s">
        <v>74</v>
      </c>
      <c r="AR170" t="s">
        <v>3488</v>
      </c>
      <c r="AS170" t="s">
        <v>3489</v>
      </c>
      <c r="AT170" t="s">
        <v>2912</v>
      </c>
      <c r="AU170">
        <v>2020</v>
      </c>
      <c r="AV170">
        <v>77</v>
      </c>
      <c r="AW170">
        <v>2</v>
      </c>
      <c r="AX170" t="s">
        <v>74</v>
      </c>
      <c r="AY170" t="s">
        <v>74</v>
      </c>
      <c r="AZ170" t="s">
        <v>74</v>
      </c>
      <c r="BA170" t="s">
        <v>74</v>
      </c>
      <c r="BB170">
        <v>826</v>
      </c>
      <c r="BC170">
        <v>834</v>
      </c>
      <c r="BD170" t="s">
        <v>74</v>
      </c>
      <c r="BE170" t="s">
        <v>3490</v>
      </c>
      <c r="BF170" t="str">
        <f>HYPERLINK("http://dx.doi.org/10.1093/icesjms/fsz242","http://dx.doi.org/10.1093/icesjms/fsz242")</f>
        <v>http://dx.doi.org/10.1093/icesjms/fsz242</v>
      </c>
      <c r="BG170" t="s">
        <v>74</v>
      </c>
      <c r="BH170" t="s">
        <v>74</v>
      </c>
      <c r="BI170">
        <v>9</v>
      </c>
      <c r="BJ170" t="s">
        <v>3491</v>
      </c>
      <c r="BK170" t="s">
        <v>103</v>
      </c>
      <c r="BL170" t="s">
        <v>3491</v>
      </c>
      <c r="BM170" t="s">
        <v>3492</v>
      </c>
      <c r="BN170" t="s">
        <v>74</v>
      </c>
      <c r="BO170" t="s">
        <v>175</v>
      </c>
      <c r="BP170" t="s">
        <v>74</v>
      </c>
      <c r="BQ170" t="s">
        <v>74</v>
      </c>
      <c r="BR170" t="s">
        <v>106</v>
      </c>
      <c r="BS170" t="s">
        <v>3493</v>
      </c>
      <c r="BT170" t="str">
        <f>HYPERLINK("https%3A%2F%2Fwww.webofscience.com%2Fwos%2Fwoscc%2Ffull-record%2FWOS:000536430100032","View Full Record in Web of Science")</f>
        <v>View Full Record in Web of Science</v>
      </c>
    </row>
    <row r="171" spans="1:72" x14ac:dyDescent="0.15">
      <c r="A171" t="s">
        <v>72</v>
      </c>
      <c r="B171" t="s">
        <v>3494</v>
      </c>
      <c r="C171" t="s">
        <v>74</v>
      </c>
      <c r="D171" t="s">
        <v>74</v>
      </c>
      <c r="E171" t="s">
        <v>74</v>
      </c>
      <c r="F171" t="s">
        <v>3495</v>
      </c>
      <c r="G171" t="s">
        <v>74</v>
      </c>
      <c r="H171" t="s">
        <v>74</v>
      </c>
      <c r="I171" t="s">
        <v>3496</v>
      </c>
      <c r="J171" t="s">
        <v>3497</v>
      </c>
      <c r="K171" t="s">
        <v>74</v>
      </c>
      <c r="L171" t="s">
        <v>74</v>
      </c>
      <c r="M171" t="s">
        <v>78</v>
      </c>
      <c r="N171" t="s">
        <v>79</v>
      </c>
      <c r="O171" t="s">
        <v>74</v>
      </c>
      <c r="P171" t="s">
        <v>74</v>
      </c>
      <c r="Q171" t="s">
        <v>74</v>
      </c>
      <c r="R171" t="s">
        <v>74</v>
      </c>
      <c r="S171" t="s">
        <v>74</v>
      </c>
      <c r="T171" t="s">
        <v>3498</v>
      </c>
      <c r="U171" t="s">
        <v>3499</v>
      </c>
      <c r="V171" t="s">
        <v>3500</v>
      </c>
      <c r="W171" t="s">
        <v>3501</v>
      </c>
      <c r="X171" t="s">
        <v>3502</v>
      </c>
      <c r="Y171" t="s">
        <v>3503</v>
      </c>
      <c r="Z171" t="s">
        <v>3504</v>
      </c>
      <c r="AA171" t="s">
        <v>3505</v>
      </c>
      <c r="AB171" t="s">
        <v>3506</v>
      </c>
      <c r="AC171" t="s">
        <v>3507</v>
      </c>
      <c r="AD171" t="s">
        <v>3508</v>
      </c>
      <c r="AE171" t="s">
        <v>3509</v>
      </c>
      <c r="AF171" t="s">
        <v>74</v>
      </c>
      <c r="AG171">
        <v>83</v>
      </c>
      <c r="AH171">
        <v>23</v>
      </c>
      <c r="AI171">
        <v>23</v>
      </c>
      <c r="AJ171">
        <v>0</v>
      </c>
      <c r="AK171">
        <v>8</v>
      </c>
      <c r="AL171" t="s">
        <v>855</v>
      </c>
      <c r="AM171" t="s">
        <v>266</v>
      </c>
      <c r="AN171" t="s">
        <v>856</v>
      </c>
      <c r="AO171" t="s">
        <v>3510</v>
      </c>
      <c r="AP171" t="s">
        <v>3511</v>
      </c>
      <c r="AQ171" t="s">
        <v>74</v>
      </c>
      <c r="AR171" t="s">
        <v>3512</v>
      </c>
      <c r="AS171" t="s">
        <v>3513</v>
      </c>
      <c r="AT171" t="s">
        <v>2912</v>
      </c>
      <c r="AU171">
        <v>2020</v>
      </c>
      <c r="AV171">
        <v>125</v>
      </c>
      <c r="AW171">
        <v>3</v>
      </c>
      <c r="AX171" t="s">
        <v>74</v>
      </c>
      <c r="AY171" t="s">
        <v>74</v>
      </c>
      <c r="AZ171" t="s">
        <v>74</v>
      </c>
      <c r="BA171" t="s">
        <v>74</v>
      </c>
      <c r="BB171" t="s">
        <v>74</v>
      </c>
      <c r="BC171" t="s">
        <v>74</v>
      </c>
      <c r="BD171" t="s">
        <v>3514</v>
      </c>
      <c r="BE171" t="s">
        <v>3515</v>
      </c>
      <c r="BF171" t="str">
        <f>HYPERLINK("http://dx.doi.org/10.1029/2019JC015678","http://dx.doi.org/10.1029/2019JC015678")</f>
        <v>http://dx.doi.org/10.1029/2019JC015678</v>
      </c>
      <c r="BG171" t="s">
        <v>74</v>
      </c>
      <c r="BH171" t="s">
        <v>74</v>
      </c>
      <c r="BI171">
        <v>21</v>
      </c>
      <c r="BJ171" t="s">
        <v>639</v>
      </c>
      <c r="BK171" t="s">
        <v>103</v>
      </c>
      <c r="BL171" t="s">
        <v>639</v>
      </c>
      <c r="BM171" t="s">
        <v>3516</v>
      </c>
      <c r="BN171" t="s">
        <v>74</v>
      </c>
      <c r="BO171" t="s">
        <v>74</v>
      </c>
      <c r="BP171" t="s">
        <v>74</v>
      </c>
      <c r="BQ171" t="s">
        <v>74</v>
      </c>
      <c r="BR171" t="s">
        <v>106</v>
      </c>
      <c r="BS171" t="s">
        <v>3517</v>
      </c>
      <c r="BT171" t="str">
        <f>HYPERLINK("https%3A%2F%2Fwww.webofscience.com%2Fwos%2Fwoscc%2Ffull-record%2FWOS:000534229400001","View Full Record in Web of Science")</f>
        <v>View Full Record in Web of Science</v>
      </c>
    </row>
    <row r="172" spans="1:72" x14ac:dyDescent="0.15">
      <c r="A172" t="s">
        <v>72</v>
      </c>
      <c r="B172" t="s">
        <v>3518</v>
      </c>
      <c r="C172" t="s">
        <v>74</v>
      </c>
      <c r="D172" t="s">
        <v>74</v>
      </c>
      <c r="E172" t="s">
        <v>74</v>
      </c>
      <c r="F172" t="s">
        <v>3519</v>
      </c>
      <c r="G172" t="s">
        <v>74</v>
      </c>
      <c r="H172" t="s">
        <v>74</v>
      </c>
      <c r="I172" t="s">
        <v>3520</v>
      </c>
      <c r="J172" t="s">
        <v>3497</v>
      </c>
      <c r="K172" t="s">
        <v>74</v>
      </c>
      <c r="L172" t="s">
        <v>74</v>
      </c>
      <c r="M172" t="s">
        <v>78</v>
      </c>
      <c r="N172" t="s">
        <v>79</v>
      </c>
      <c r="O172" t="s">
        <v>74</v>
      </c>
      <c r="P172" t="s">
        <v>74</v>
      </c>
      <c r="Q172" t="s">
        <v>74</v>
      </c>
      <c r="R172" t="s">
        <v>74</v>
      </c>
      <c r="S172" t="s">
        <v>74</v>
      </c>
      <c r="T172" t="s">
        <v>3521</v>
      </c>
      <c r="U172" t="s">
        <v>3522</v>
      </c>
      <c r="V172" t="s">
        <v>3523</v>
      </c>
      <c r="W172" t="s">
        <v>3524</v>
      </c>
      <c r="X172" t="s">
        <v>3525</v>
      </c>
      <c r="Y172" t="s">
        <v>3526</v>
      </c>
      <c r="Z172" t="s">
        <v>3527</v>
      </c>
      <c r="AA172" t="s">
        <v>3528</v>
      </c>
      <c r="AB172" t="s">
        <v>3529</v>
      </c>
      <c r="AC172" t="s">
        <v>3530</v>
      </c>
      <c r="AD172" t="s">
        <v>3531</v>
      </c>
      <c r="AE172" t="s">
        <v>3532</v>
      </c>
      <c r="AF172" t="s">
        <v>74</v>
      </c>
      <c r="AG172">
        <v>76</v>
      </c>
      <c r="AH172">
        <v>20</v>
      </c>
      <c r="AI172">
        <v>24</v>
      </c>
      <c r="AJ172">
        <v>2</v>
      </c>
      <c r="AK172">
        <v>27</v>
      </c>
      <c r="AL172" t="s">
        <v>855</v>
      </c>
      <c r="AM172" t="s">
        <v>266</v>
      </c>
      <c r="AN172" t="s">
        <v>856</v>
      </c>
      <c r="AO172" t="s">
        <v>3510</v>
      </c>
      <c r="AP172" t="s">
        <v>3511</v>
      </c>
      <c r="AQ172" t="s">
        <v>74</v>
      </c>
      <c r="AR172" t="s">
        <v>3512</v>
      </c>
      <c r="AS172" t="s">
        <v>3513</v>
      </c>
      <c r="AT172" t="s">
        <v>2912</v>
      </c>
      <c r="AU172">
        <v>2020</v>
      </c>
      <c r="AV172">
        <v>125</v>
      </c>
      <c r="AW172">
        <v>3</v>
      </c>
      <c r="AX172" t="s">
        <v>74</v>
      </c>
      <c r="AY172" t="s">
        <v>74</v>
      </c>
      <c r="AZ172" t="s">
        <v>74</v>
      </c>
      <c r="BA172" t="s">
        <v>74</v>
      </c>
      <c r="BB172" t="s">
        <v>74</v>
      </c>
      <c r="BC172" t="s">
        <v>74</v>
      </c>
      <c r="BD172" t="s">
        <v>3533</v>
      </c>
      <c r="BE172" t="s">
        <v>3534</v>
      </c>
      <c r="BF172" t="str">
        <f>HYPERLINK("http://dx.doi.org/10.1029/2019JC015877","http://dx.doi.org/10.1029/2019JC015877")</f>
        <v>http://dx.doi.org/10.1029/2019JC015877</v>
      </c>
      <c r="BG172" t="s">
        <v>74</v>
      </c>
      <c r="BH172" t="s">
        <v>74</v>
      </c>
      <c r="BI172">
        <v>23</v>
      </c>
      <c r="BJ172" t="s">
        <v>639</v>
      </c>
      <c r="BK172" t="s">
        <v>103</v>
      </c>
      <c r="BL172" t="s">
        <v>639</v>
      </c>
      <c r="BM172" t="s">
        <v>3516</v>
      </c>
      <c r="BN172" t="s">
        <v>74</v>
      </c>
      <c r="BO172" t="s">
        <v>3535</v>
      </c>
      <c r="BP172" t="s">
        <v>74</v>
      </c>
      <c r="BQ172" t="s">
        <v>74</v>
      </c>
      <c r="BR172" t="s">
        <v>106</v>
      </c>
      <c r="BS172" t="s">
        <v>3536</v>
      </c>
      <c r="BT172" t="str">
        <f>HYPERLINK("https%3A%2F%2Fwww.webofscience.com%2Fwos%2Fwoscc%2Ffull-record%2FWOS:000534229400026","View Full Record in Web of Science")</f>
        <v>View Full Record in Web of Science</v>
      </c>
    </row>
    <row r="173" spans="1:72" x14ac:dyDescent="0.15">
      <c r="A173" t="s">
        <v>72</v>
      </c>
      <c r="B173" t="s">
        <v>3537</v>
      </c>
      <c r="C173" t="s">
        <v>74</v>
      </c>
      <c r="D173" t="s">
        <v>74</v>
      </c>
      <c r="E173" t="s">
        <v>74</v>
      </c>
      <c r="F173" t="s">
        <v>3538</v>
      </c>
      <c r="G173" t="s">
        <v>74</v>
      </c>
      <c r="H173" t="s">
        <v>74</v>
      </c>
      <c r="I173" t="s">
        <v>3539</v>
      </c>
      <c r="J173" t="s">
        <v>3540</v>
      </c>
      <c r="K173" t="s">
        <v>74</v>
      </c>
      <c r="L173" t="s">
        <v>74</v>
      </c>
      <c r="M173" t="s">
        <v>78</v>
      </c>
      <c r="N173" t="s">
        <v>79</v>
      </c>
      <c r="O173" t="s">
        <v>74</v>
      </c>
      <c r="P173" t="s">
        <v>74</v>
      </c>
      <c r="Q173" t="s">
        <v>74</v>
      </c>
      <c r="R173" t="s">
        <v>74</v>
      </c>
      <c r="S173" t="s">
        <v>74</v>
      </c>
      <c r="T173" t="s">
        <v>3541</v>
      </c>
      <c r="U173" t="s">
        <v>3542</v>
      </c>
      <c r="V173" t="s">
        <v>3543</v>
      </c>
      <c r="W173" t="s">
        <v>3544</v>
      </c>
      <c r="X173" t="s">
        <v>3545</v>
      </c>
      <c r="Y173" t="s">
        <v>3546</v>
      </c>
      <c r="Z173" t="s">
        <v>3547</v>
      </c>
      <c r="AA173" t="s">
        <v>3548</v>
      </c>
      <c r="AB173" t="s">
        <v>3549</v>
      </c>
      <c r="AC173" t="s">
        <v>3550</v>
      </c>
      <c r="AD173" t="s">
        <v>3551</v>
      </c>
      <c r="AE173" t="s">
        <v>3552</v>
      </c>
      <c r="AF173" t="s">
        <v>74</v>
      </c>
      <c r="AG173">
        <v>96</v>
      </c>
      <c r="AH173">
        <v>16</v>
      </c>
      <c r="AI173">
        <v>17</v>
      </c>
      <c r="AJ173">
        <v>1</v>
      </c>
      <c r="AK173">
        <v>5</v>
      </c>
      <c r="AL173" t="s">
        <v>855</v>
      </c>
      <c r="AM173" t="s">
        <v>266</v>
      </c>
      <c r="AN173" t="s">
        <v>856</v>
      </c>
      <c r="AO173" t="s">
        <v>3553</v>
      </c>
      <c r="AP173" t="s">
        <v>3554</v>
      </c>
      <c r="AQ173" t="s">
        <v>74</v>
      </c>
      <c r="AR173" t="s">
        <v>3555</v>
      </c>
      <c r="AS173" t="s">
        <v>3556</v>
      </c>
      <c r="AT173" t="s">
        <v>2912</v>
      </c>
      <c r="AU173">
        <v>2020</v>
      </c>
      <c r="AV173">
        <v>35</v>
      </c>
      <c r="AW173">
        <v>3</v>
      </c>
      <c r="AX173" t="s">
        <v>74</v>
      </c>
      <c r="AY173" t="s">
        <v>74</v>
      </c>
      <c r="AZ173" t="s">
        <v>74</v>
      </c>
      <c r="BA173" t="s">
        <v>74</v>
      </c>
      <c r="BB173" t="s">
        <v>74</v>
      </c>
      <c r="BC173" t="s">
        <v>74</v>
      </c>
      <c r="BD173" t="s">
        <v>3557</v>
      </c>
      <c r="BE173" t="s">
        <v>3558</v>
      </c>
      <c r="BF173" t="str">
        <f>HYPERLINK("http://dx.doi.org/10.1029/2019PA003733","http://dx.doi.org/10.1029/2019PA003733")</f>
        <v>http://dx.doi.org/10.1029/2019PA003733</v>
      </c>
      <c r="BG173" t="s">
        <v>74</v>
      </c>
      <c r="BH173" t="s">
        <v>74</v>
      </c>
      <c r="BI173">
        <v>16</v>
      </c>
      <c r="BJ173" t="s">
        <v>3559</v>
      </c>
      <c r="BK173" t="s">
        <v>103</v>
      </c>
      <c r="BL173" t="s">
        <v>3560</v>
      </c>
      <c r="BM173" t="s">
        <v>3561</v>
      </c>
      <c r="BN173" t="s">
        <v>74</v>
      </c>
      <c r="BO173" t="s">
        <v>3562</v>
      </c>
      <c r="BP173" t="s">
        <v>74</v>
      </c>
      <c r="BQ173" t="s">
        <v>74</v>
      </c>
      <c r="BR173" t="s">
        <v>106</v>
      </c>
      <c r="BS173" t="s">
        <v>3563</v>
      </c>
      <c r="BT173" t="str">
        <f>HYPERLINK("https%3A%2F%2Fwww.webofscience.com%2Fwos%2Fwoscc%2Ffull-record%2FWOS:000534473900006","View Full Record in Web of Science")</f>
        <v>View Full Record in Web of Science</v>
      </c>
    </row>
    <row r="174" spans="1:72" x14ac:dyDescent="0.15">
      <c r="A174" t="s">
        <v>72</v>
      </c>
      <c r="B174" t="s">
        <v>3564</v>
      </c>
      <c r="C174" t="s">
        <v>74</v>
      </c>
      <c r="D174" t="s">
        <v>74</v>
      </c>
      <c r="E174" t="s">
        <v>74</v>
      </c>
      <c r="F174" t="s">
        <v>3565</v>
      </c>
      <c r="G174" t="s">
        <v>74</v>
      </c>
      <c r="H174" t="s">
        <v>74</v>
      </c>
      <c r="I174" t="s">
        <v>3566</v>
      </c>
      <c r="J174" t="s">
        <v>3567</v>
      </c>
      <c r="K174" t="s">
        <v>74</v>
      </c>
      <c r="L174" t="s">
        <v>74</v>
      </c>
      <c r="M174" t="s">
        <v>78</v>
      </c>
      <c r="N174" t="s">
        <v>79</v>
      </c>
      <c r="O174" t="s">
        <v>74</v>
      </c>
      <c r="P174" t="s">
        <v>74</v>
      </c>
      <c r="Q174" t="s">
        <v>74</v>
      </c>
      <c r="R174" t="s">
        <v>74</v>
      </c>
      <c r="S174" t="s">
        <v>74</v>
      </c>
      <c r="T174" t="s">
        <v>3568</v>
      </c>
      <c r="U174" t="s">
        <v>3569</v>
      </c>
      <c r="V174" t="s">
        <v>3570</v>
      </c>
      <c r="W174" t="s">
        <v>3571</v>
      </c>
      <c r="X174" t="s">
        <v>3572</v>
      </c>
      <c r="Y174" t="s">
        <v>3573</v>
      </c>
      <c r="Z174" t="s">
        <v>3574</v>
      </c>
      <c r="AA174" t="s">
        <v>74</v>
      </c>
      <c r="AB174" t="s">
        <v>3575</v>
      </c>
      <c r="AC174" t="s">
        <v>3576</v>
      </c>
      <c r="AD174" t="s">
        <v>3577</v>
      </c>
      <c r="AE174" t="s">
        <v>3578</v>
      </c>
      <c r="AF174" t="s">
        <v>74</v>
      </c>
      <c r="AG174">
        <v>118</v>
      </c>
      <c r="AH174">
        <v>2</v>
      </c>
      <c r="AI174">
        <v>3</v>
      </c>
      <c r="AJ174">
        <v>0</v>
      </c>
      <c r="AK174">
        <v>5</v>
      </c>
      <c r="AL174" t="s">
        <v>855</v>
      </c>
      <c r="AM174" t="s">
        <v>266</v>
      </c>
      <c r="AN174" t="s">
        <v>856</v>
      </c>
      <c r="AO174" t="s">
        <v>74</v>
      </c>
      <c r="AP174" t="s">
        <v>3579</v>
      </c>
      <c r="AQ174" t="s">
        <v>74</v>
      </c>
      <c r="AR174" t="s">
        <v>3580</v>
      </c>
      <c r="AS174" t="s">
        <v>3581</v>
      </c>
      <c r="AT174" t="s">
        <v>2912</v>
      </c>
      <c r="AU174">
        <v>2020</v>
      </c>
      <c r="AV174">
        <v>21</v>
      </c>
      <c r="AW174">
        <v>3</v>
      </c>
      <c r="AX174" t="s">
        <v>74</v>
      </c>
      <c r="AY174" t="s">
        <v>74</v>
      </c>
      <c r="AZ174" t="s">
        <v>74</v>
      </c>
      <c r="BA174" t="s">
        <v>74</v>
      </c>
      <c r="BB174" t="s">
        <v>74</v>
      </c>
      <c r="BC174" t="s">
        <v>74</v>
      </c>
      <c r="BD174" t="s">
        <v>74</v>
      </c>
      <c r="BE174" t="s">
        <v>3582</v>
      </c>
      <c r="BF174" t="str">
        <f>HYPERLINK("http://dx.doi.org/10.1029/2019GC008568","http://dx.doi.org/10.1029/2019GC008568")</f>
        <v>http://dx.doi.org/10.1029/2019GC008568</v>
      </c>
      <c r="BG174" t="s">
        <v>74</v>
      </c>
      <c r="BH174" t="s">
        <v>74</v>
      </c>
      <c r="BI174">
        <v>25</v>
      </c>
      <c r="BJ174" t="s">
        <v>442</v>
      </c>
      <c r="BK174" t="s">
        <v>103</v>
      </c>
      <c r="BL174" t="s">
        <v>442</v>
      </c>
      <c r="BM174" t="s">
        <v>3583</v>
      </c>
      <c r="BN174" t="s">
        <v>74</v>
      </c>
      <c r="BO174" t="s">
        <v>517</v>
      </c>
      <c r="BP174" t="s">
        <v>74</v>
      </c>
      <c r="BQ174" t="s">
        <v>74</v>
      </c>
      <c r="BR174" t="s">
        <v>106</v>
      </c>
      <c r="BS174" t="s">
        <v>3584</v>
      </c>
      <c r="BT174" t="str">
        <f>HYPERLINK("https%3A%2F%2Fwww.webofscience.com%2Fwos%2Fwoscc%2Ffull-record%2FWOS:000534469900019","View Full Record in Web of Science")</f>
        <v>View Full Record in Web of Science</v>
      </c>
    </row>
    <row r="175" spans="1:72" x14ac:dyDescent="0.15">
      <c r="A175" t="s">
        <v>72</v>
      </c>
      <c r="B175" t="s">
        <v>3585</v>
      </c>
      <c r="C175" t="s">
        <v>74</v>
      </c>
      <c r="D175" t="s">
        <v>74</v>
      </c>
      <c r="E175" t="s">
        <v>74</v>
      </c>
      <c r="F175" t="s">
        <v>3586</v>
      </c>
      <c r="G175" t="s">
        <v>74</v>
      </c>
      <c r="H175" t="s">
        <v>74</v>
      </c>
      <c r="I175" t="s">
        <v>3587</v>
      </c>
      <c r="J175" t="s">
        <v>3588</v>
      </c>
      <c r="K175" t="s">
        <v>74</v>
      </c>
      <c r="L175" t="s">
        <v>74</v>
      </c>
      <c r="M175" t="s">
        <v>78</v>
      </c>
      <c r="N175" t="s">
        <v>79</v>
      </c>
      <c r="O175" t="s">
        <v>74</v>
      </c>
      <c r="P175" t="s">
        <v>74</v>
      </c>
      <c r="Q175" t="s">
        <v>74</v>
      </c>
      <c r="R175" t="s">
        <v>74</v>
      </c>
      <c r="S175" t="s">
        <v>74</v>
      </c>
      <c r="T175" t="s">
        <v>74</v>
      </c>
      <c r="U175" t="s">
        <v>74</v>
      </c>
      <c r="V175" t="s">
        <v>3589</v>
      </c>
      <c r="W175" t="s">
        <v>3590</v>
      </c>
      <c r="X175" t="s">
        <v>3591</v>
      </c>
      <c r="Y175" t="s">
        <v>3592</v>
      </c>
      <c r="Z175" t="s">
        <v>3593</v>
      </c>
      <c r="AA175" t="s">
        <v>3594</v>
      </c>
      <c r="AB175" t="s">
        <v>3595</v>
      </c>
      <c r="AC175" t="s">
        <v>3596</v>
      </c>
      <c r="AD175" t="s">
        <v>3597</v>
      </c>
      <c r="AE175" t="s">
        <v>3598</v>
      </c>
      <c r="AF175" t="s">
        <v>74</v>
      </c>
      <c r="AG175">
        <v>29</v>
      </c>
      <c r="AH175">
        <v>13</v>
      </c>
      <c r="AI175">
        <v>13</v>
      </c>
      <c r="AJ175">
        <v>0</v>
      </c>
      <c r="AK175">
        <v>7</v>
      </c>
      <c r="AL175" t="s">
        <v>855</v>
      </c>
      <c r="AM175" t="s">
        <v>266</v>
      </c>
      <c r="AN175" t="s">
        <v>856</v>
      </c>
      <c r="AO175" t="s">
        <v>3599</v>
      </c>
      <c r="AP175" t="s">
        <v>3600</v>
      </c>
      <c r="AQ175" t="s">
        <v>74</v>
      </c>
      <c r="AR175" t="s">
        <v>3601</v>
      </c>
      <c r="AS175" t="s">
        <v>3602</v>
      </c>
      <c r="AT175" t="s">
        <v>2912</v>
      </c>
      <c r="AU175">
        <v>2020</v>
      </c>
      <c r="AV175">
        <v>125</v>
      </c>
      <c r="AW175">
        <v>3</v>
      </c>
      <c r="AX175" t="s">
        <v>74</v>
      </c>
      <c r="AY175" t="s">
        <v>74</v>
      </c>
      <c r="AZ175" t="s">
        <v>74</v>
      </c>
      <c r="BA175" t="s">
        <v>74</v>
      </c>
      <c r="BB175" t="s">
        <v>74</v>
      </c>
      <c r="BC175" t="s">
        <v>74</v>
      </c>
      <c r="BD175" t="s">
        <v>3603</v>
      </c>
      <c r="BE175" t="s">
        <v>3604</v>
      </c>
      <c r="BF175" t="str">
        <f>HYPERLINK("http://dx.doi.org/10.1029/2019JA027738","http://dx.doi.org/10.1029/2019JA027738")</f>
        <v>http://dx.doi.org/10.1029/2019JA027738</v>
      </c>
      <c r="BG175" t="s">
        <v>74</v>
      </c>
      <c r="BH175" t="s">
        <v>74</v>
      </c>
      <c r="BI175">
        <v>11</v>
      </c>
      <c r="BJ175" t="s">
        <v>102</v>
      </c>
      <c r="BK175" t="s">
        <v>103</v>
      </c>
      <c r="BL175" t="s">
        <v>102</v>
      </c>
      <c r="BM175" t="s">
        <v>3605</v>
      </c>
      <c r="BN175">
        <v>32714733</v>
      </c>
      <c r="BO175" t="s">
        <v>3606</v>
      </c>
      <c r="BP175" t="s">
        <v>74</v>
      </c>
      <c r="BQ175" t="s">
        <v>74</v>
      </c>
      <c r="BR175" t="s">
        <v>106</v>
      </c>
      <c r="BS175" t="s">
        <v>3607</v>
      </c>
      <c r="BT175" t="str">
        <f>HYPERLINK("https%3A%2F%2Fwww.webofscience.com%2Fwos%2Fwoscc%2Ffull-record%2FWOS:000535389600050","View Full Record in Web of Science")</f>
        <v>View Full Record in Web of Science</v>
      </c>
    </row>
    <row r="176" spans="1:72" x14ac:dyDescent="0.15">
      <c r="A176" t="s">
        <v>72</v>
      </c>
      <c r="B176" t="s">
        <v>3608</v>
      </c>
      <c r="C176" t="s">
        <v>74</v>
      </c>
      <c r="D176" t="s">
        <v>74</v>
      </c>
      <c r="E176" t="s">
        <v>74</v>
      </c>
      <c r="F176" t="s">
        <v>3609</v>
      </c>
      <c r="G176" t="s">
        <v>74</v>
      </c>
      <c r="H176" t="s">
        <v>74</v>
      </c>
      <c r="I176" t="s">
        <v>3610</v>
      </c>
      <c r="J176" t="s">
        <v>3611</v>
      </c>
      <c r="K176" t="s">
        <v>74</v>
      </c>
      <c r="L176" t="s">
        <v>74</v>
      </c>
      <c r="M176" t="s">
        <v>78</v>
      </c>
      <c r="N176" t="s">
        <v>79</v>
      </c>
      <c r="O176" t="s">
        <v>74</v>
      </c>
      <c r="P176" t="s">
        <v>74</v>
      </c>
      <c r="Q176" t="s">
        <v>74</v>
      </c>
      <c r="R176" t="s">
        <v>74</v>
      </c>
      <c r="S176" t="s">
        <v>74</v>
      </c>
      <c r="T176" t="s">
        <v>74</v>
      </c>
      <c r="U176" t="s">
        <v>3612</v>
      </c>
      <c r="V176" t="s">
        <v>3613</v>
      </c>
      <c r="W176" t="s">
        <v>3614</v>
      </c>
      <c r="X176" t="s">
        <v>3615</v>
      </c>
      <c r="Y176" t="s">
        <v>3616</v>
      </c>
      <c r="Z176" t="s">
        <v>3617</v>
      </c>
      <c r="AA176" t="s">
        <v>3618</v>
      </c>
      <c r="AB176" t="s">
        <v>74</v>
      </c>
      <c r="AC176" t="s">
        <v>3619</v>
      </c>
      <c r="AD176" t="s">
        <v>3620</v>
      </c>
      <c r="AE176" t="s">
        <v>3621</v>
      </c>
      <c r="AF176" t="s">
        <v>74</v>
      </c>
      <c r="AG176">
        <v>33</v>
      </c>
      <c r="AH176">
        <v>2</v>
      </c>
      <c r="AI176">
        <v>2</v>
      </c>
      <c r="AJ176">
        <v>0</v>
      </c>
      <c r="AK176">
        <v>1</v>
      </c>
      <c r="AL176" t="s">
        <v>3622</v>
      </c>
      <c r="AM176" t="s">
        <v>3623</v>
      </c>
      <c r="AN176" t="s">
        <v>3624</v>
      </c>
      <c r="AO176" t="s">
        <v>3625</v>
      </c>
      <c r="AP176" t="s">
        <v>3626</v>
      </c>
      <c r="AQ176" t="s">
        <v>74</v>
      </c>
      <c r="AR176" t="s">
        <v>3627</v>
      </c>
      <c r="AS176" t="s">
        <v>3628</v>
      </c>
      <c r="AT176" t="s">
        <v>2912</v>
      </c>
      <c r="AU176">
        <v>2020</v>
      </c>
      <c r="AV176">
        <v>45</v>
      </c>
      <c r="AW176">
        <v>3</v>
      </c>
      <c r="AX176" t="s">
        <v>74</v>
      </c>
      <c r="AY176" t="s">
        <v>74</v>
      </c>
      <c r="AZ176" t="s">
        <v>74</v>
      </c>
      <c r="BA176" t="s">
        <v>74</v>
      </c>
      <c r="BB176">
        <v>153</v>
      </c>
      <c r="BC176">
        <v>160</v>
      </c>
      <c r="BD176" t="s">
        <v>74</v>
      </c>
      <c r="BE176" t="s">
        <v>3629</v>
      </c>
      <c r="BF176" t="str">
        <f>HYPERLINK("http://dx.doi.org/10.3103/S1068373920030024","http://dx.doi.org/10.3103/S1068373920030024")</f>
        <v>http://dx.doi.org/10.3103/S1068373920030024</v>
      </c>
      <c r="BG176" t="s">
        <v>74</v>
      </c>
      <c r="BH176" t="s">
        <v>74</v>
      </c>
      <c r="BI176">
        <v>8</v>
      </c>
      <c r="BJ176" t="s">
        <v>907</v>
      </c>
      <c r="BK176" t="s">
        <v>103</v>
      </c>
      <c r="BL176" t="s">
        <v>907</v>
      </c>
      <c r="BM176" t="s">
        <v>3630</v>
      </c>
      <c r="BN176" t="s">
        <v>74</v>
      </c>
      <c r="BO176" t="s">
        <v>74</v>
      </c>
      <c r="BP176" t="s">
        <v>74</v>
      </c>
      <c r="BQ176" t="s">
        <v>74</v>
      </c>
      <c r="BR176" t="s">
        <v>106</v>
      </c>
      <c r="BS176" t="s">
        <v>3631</v>
      </c>
      <c r="BT176" t="str">
        <f>HYPERLINK("https%3A%2F%2Fwww.webofscience.com%2Fwos%2Fwoscc%2Ffull-record%2FWOS:000534962100002","View Full Record in Web of Science")</f>
        <v>View Full Record in Web of Science</v>
      </c>
    </row>
    <row r="177" spans="1:72" x14ac:dyDescent="0.15">
      <c r="A177" t="s">
        <v>72</v>
      </c>
      <c r="B177" t="s">
        <v>3632</v>
      </c>
      <c r="C177" t="s">
        <v>74</v>
      </c>
      <c r="D177" t="s">
        <v>74</v>
      </c>
      <c r="E177" t="s">
        <v>74</v>
      </c>
      <c r="F177" t="s">
        <v>3633</v>
      </c>
      <c r="G177" t="s">
        <v>74</v>
      </c>
      <c r="H177" t="s">
        <v>74</v>
      </c>
      <c r="I177" t="s">
        <v>3634</v>
      </c>
      <c r="J177" t="s">
        <v>3611</v>
      </c>
      <c r="K177" t="s">
        <v>74</v>
      </c>
      <c r="L177" t="s">
        <v>74</v>
      </c>
      <c r="M177" t="s">
        <v>78</v>
      </c>
      <c r="N177" t="s">
        <v>79</v>
      </c>
      <c r="O177" t="s">
        <v>74</v>
      </c>
      <c r="P177" t="s">
        <v>74</v>
      </c>
      <c r="Q177" t="s">
        <v>74</v>
      </c>
      <c r="R177" t="s">
        <v>74</v>
      </c>
      <c r="S177" t="s">
        <v>74</v>
      </c>
      <c r="T177" t="s">
        <v>74</v>
      </c>
      <c r="U177" t="s">
        <v>74</v>
      </c>
      <c r="V177" t="s">
        <v>3635</v>
      </c>
      <c r="W177" t="s">
        <v>3636</v>
      </c>
      <c r="X177" t="s">
        <v>3637</v>
      </c>
      <c r="Y177" t="s">
        <v>3638</v>
      </c>
      <c r="Z177" t="s">
        <v>3639</v>
      </c>
      <c r="AA177" t="s">
        <v>74</v>
      </c>
      <c r="AB177" t="s">
        <v>74</v>
      </c>
      <c r="AC177" t="s">
        <v>74</v>
      </c>
      <c r="AD177" t="s">
        <v>74</v>
      </c>
      <c r="AE177" t="s">
        <v>74</v>
      </c>
      <c r="AF177" t="s">
        <v>74</v>
      </c>
      <c r="AG177">
        <v>23</v>
      </c>
      <c r="AH177">
        <v>5</v>
      </c>
      <c r="AI177">
        <v>5</v>
      </c>
      <c r="AJ177">
        <v>1</v>
      </c>
      <c r="AK177">
        <v>6</v>
      </c>
      <c r="AL177" t="s">
        <v>3622</v>
      </c>
      <c r="AM177" t="s">
        <v>3623</v>
      </c>
      <c r="AN177" t="s">
        <v>3624</v>
      </c>
      <c r="AO177" t="s">
        <v>3625</v>
      </c>
      <c r="AP177" t="s">
        <v>3626</v>
      </c>
      <c r="AQ177" t="s">
        <v>74</v>
      </c>
      <c r="AR177" t="s">
        <v>3627</v>
      </c>
      <c r="AS177" t="s">
        <v>3628</v>
      </c>
      <c r="AT177" t="s">
        <v>2912</v>
      </c>
      <c r="AU177">
        <v>2020</v>
      </c>
      <c r="AV177">
        <v>45</v>
      </c>
      <c r="AW177">
        <v>3</v>
      </c>
      <c r="AX177" t="s">
        <v>74</v>
      </c>
      <c r="AY177" t="s">
        <v>74</v>
      </c>
      <c r="AZ177" t="s">
        <v>74</v>
      </c>
      <c r="BA177" t="s">
        <v>74</v>
      </c>
      <c r="BB177">
        <v>161</v>
      </c>
      <c r="BC177">
        <v>168</v>
      </c>
      <c r="BD177" t="s">
        <v>74</v>
      </c>
      <c r="BE177" t="s">
        <v>3640</v>
      </c>
      <c r="BF177" t="str">
        <f>HYPERLINK("http://dx.doi.org/10.3103/S1068373920030036","http://dx.doi.org/10.3103/S1068373920030036")</f>
        <v>http://dx.doi.org/10.3103/S1068373920030036</v>
      </c>
      <c r="BG177" t="s">
        <v>74</v>
      </c>
      <c r="BH177" t="s">
        <v>74</v>
      </c>
      <c r="BI177">
        <v>8</v>
      </c>
      <c r="BJ177" t="s">
        <v>907</v>
      </c>
      <c r="BK177" t="s">
        <v>103</v>
      </c>
      <c r="BL177" t="s">
        <v>907</v>
      </c>
      <c r="BM177" t="s">
        <v>3630</v>
      </c>
      <c r="BN177" t="s">
        <v>74</v>
      </c>
      <c r="BO177" t="s">
        <v>74</v>
      </c>
      <c r="BP177" t="s">
        <v>74</v>
      </c>
      <c r="BQ177" t="s">
        <v>74</v>
      </c>
      <c r="BR177" t="s">
        <v>106</v>
      </c>
      <c r="BS177" t="s">
        <v>3641</v>
      </c>
      <c r="BT177" t="str">
        <f>HYPERLINK("https%3A%2F%2Fwww.webofscience.com%2Fwos%2Fwoscc%2Ffull-record%2FWOS:000534962100003","View Full Record in Web of Science")</f>
        <v>View Full Record in Web of Science</v>
      </c>
    </row>
    <row r="178" spans="1:72" x14ac:dyDescent="0.15">
      <c r="A178" t="s">
        <v>72</v>
      </c>
      <c r="B178" t="s">
        <v>3642</v>
      </c>
      <c r="C178" t="s">
        <v>74</v>
      </c>
      <c r="D178" t="s">
        <v>74</v>
      </c>
      <c r="E178" t="s">
        <v>74</v>
      </c>
      <c r="F178" t="s">
        <v>3643</v>
      </c>
      <c r="G178" t="s">
        <v>74</v>
      </c>
      <c r="H178" t="s">
        <v>74</v>
      </c>
      <c r="I178" t="s">
        <v>3644</v>
      </c>
      <c r="J178" t="s">
        <v>3645</v>
      </c>
      <c r="K178" t="s">
        <v>74</v>
      </c>
      <c r="L178" t="s">
        <v>74</v>
      </c>
      <c r="M178" t="s">
        <v>78</v>
      </c>
      <c r="N178" t="s">
        <v>79</v>
      </c>
      <c r="O178" t="s">
        <v>74</v>
      </c>
      <c r="P178" t="s">
        <v>74</v>
      </c>
      <c r="Q178" t="s">
        <v>74</v>
      </c>
      <c r="R178" t="s">
        <v>74</v>
      </c>
      <c r="S178" t="s">
        <v>74</v>
      </c>
      <c r="T178" t="s">
        <v>3646</v>
      </c>
      <c r="U178" t="s">
        <v>3647</v>
      </c>
      <c r="V178" t="s">
        <v>3648</v>
      </c>
      <c r="W178" t="s">
        <v>3649</v>
      </c>
      <c r="X178" t="s">
        <v>3650</v>
      </c>
      <c r="Y178" t="s">
        <v>3651</v>
      </c>
      <c r="Z178" t="s">
        <v>3652</v>
      </c>
      <c r="AA178" t="s">
        <v>3653</v>
      </c>
      <c r="AB178" t="s">
        <v>3654</v>
      </c>
      <c r="AC178" t="s">
        <v>74</v>
      </c>
      <c r="AD178" t="s">
        <v>74</v>
      </c>
      <c r="AE178" t="s">
        <v>74</v>
      </c>
      <c r="AF178" t="s">
        <v>74</v>
      </c>
      <c r="AG178">
        <v>14</v>
      </c>
      <c r="AH178">
        <v>0</v>
      </c>
      <c r="AI178">
        <v>0</v>
      </c>
      <c r="AJ178">
        <v>0</v>
      </c>
      <c r="AK178">
        <v>3</v>
      </c>
      <c r="AL178" t="s">
        <v>3655</v>
      </c>
      <c r="AM178" t="s">
        <v>545</v>
      </c>
      <c r="AN178" t="s">
        <v>3656</v>
      </c>
      <c r="AO178" t="s">
        <v>3657</v>
      </c>
      <c r="AP178" t="s">
        <v>3658</v>
      </c>
      <c r="AQ178" t="s">
        <v>74</v>
      </c>
      <c r="AR178" t="s">
        <v>3645</v>
      </c>
      <c r="AS178" t="s">
        <v>3659</v>
      </c>
      <c r="AT178" t="s">
        <v>2912</v>
      </c>
      <c r="AU178">
        <v>2020</v>
      </c>
      <c r="AV178">
        <v>41</v>
      </c>
      <c r="AW178">
        <v>2</v>
      </c>
      <c r="AX178" t="s">
        <v>74</v>
      </c>
      <c r="AY178" t="s">
        <v>74</v>
      </c>
      <c r="AZ178" t="s">
        <v>74</v>
      </c>
      <c r="BA178" t="s">
        <v>74</v>
      </c>
      <c r="BB178">
        <v>57</v>
      </c>
      <c r="BC178">
        <v>61</v>
      </c>
      <c r="BD178" t="s">
        <v>74</v>
      </c>
      <c r="BE178" t="s">
        <v>74</v>
      </c>
      <c r="BF178" t="s">
        <v>74</v>
      </c>
      <c r="BG178" t="s">
        <v>74</v>
      </c>
      <c r="BH178" t="s">
        <v>74</v>
      </c>
      <c r="BI178">
        <v>5</v>
      </c>
      <c r="BJ178" t="s">
        <v>3660</v>
      </c>
      <c r="BK178" t="s">
        <v>103</v>
      </c>
      <c r="BL178" t="s">
        <v>3661</v>
      </c>
      <c r="BM178" t="s">
        <v>3662</v>
      </c>
      <c r="BN178">
        <v>33988654</v>
      </c>
      <c r="BO178" t="s">
        <v>74</v>
      </c>
      <c r="BP178" t="s">
        <v>74</v>
      </c>
      <c r="BQ178" t="s">
        <v>74</v>
      </c>
      <c r="BR178" t="s">
        <v>106</v>
      </c>
      <c r="BS178" t="s">
        <v>3663</v>
      </c>
      <c r="BT178" t="str">
        <f>HYPERLINK("https%3A%2F%2Fwww.webofscience.com%2Fwos%2Fwoscc%2Ffull-record%2FWOS:000534629500001","View Full Record in Web of Science")</f>
        <v>View Full Record in Web of Science</v>
      </c>
    </row>
    <row r="179" spans="1:72" x14ac:dyDescent="0.15">
      <c r="A179" t="s">
        <v>72</v>
      </c>
      <c r="B179" t="s">
        <v>3664</v>
      </c>
      <c r="C179" t="s">
        <v>74</v>
      </c>
      <c r="D179" t="s">
        <v>74</v>
      </c>
      <c r="E179" t="s">
        <v>74</v>
      </c>
      <c r="F179" t="s">
        <v>3665</v>
      </c>
      <c r="G179" t="s">
        <v>74</v>
      </c>
      <c r="H179" t="s">
        <v>74</v>
      </c>
      <c r="I179" t="s">
        <v>3666</v>
      </c>
      <c r="J179" t="s">
        <v>3667</v>
      </c>
      <c r="K179" t="s">
        <v>74</v>
      </c>
      <c r="L179" t="s">
        <v>74</v>
      </c>
      <c r="M179" t="s">
        <v>78</v>
      </c>
      <c r="N179" t="s">
        <v>79</v>
      </c>
      <c r="O179" t="s">
        <v>74</v>
      </c>
      <c r="P179" t="s">
        <v>74</v>
      </c>
      <c r="Q179" t="s">
        <v>74</v>
      </c>
      <c r="R179" t="s">
        <v>74</v>
      </c>
      <c r="S179" t="s">
        <v>74</v>
      </c>
      <c r="T179" t="s">
        <v>3668</v>
      </c>
      <c r="U179" t="s">
        <v>3669</v>
      </c>
      <c r="V179" t="s">
        <v>3670</v>
      </c>
      <c r="W179" t="s">
        <v>3671</v>
      </c>
      <c r="X179" t="s">
        <v>3672</v>
      </c>
      <c r="Y179" t="s">
        <v>3673</v>
      </c>
      <c r="Z179" t="s">
        <v>3674</v>
      </c>
      <c r="AA179" t="s">
        <v>3675</v>
      </c>
      <c r="AB179" t="s">
        <v>3676</v>
      </c>
      <c r="AC179" t="s">
        <v>74</v>
      </c>
      <c r="AD179" t="s">
        <v>74</v>
      </c>
      <c r="AE179" t="s">
        <v>74</v>
      </c>
      <c r="AF179" t="s">
        <v>74</v>
      </c>
      <c r="AG179">
        <v>26</v>
      </c>
      <c r="AH179">
        <v>4</v>
      </c>
      <c r="AI179">
        <v>4</v>
      </c>
      <c r="AJ179">
        <v>1</v>
      </c>
      <c r="AK179">
        <v>3</v>
      </c>
      <c r="AL179" t="s">
        <v>3677</v>
      </c>
      <c r="AM179" t="s">
        <v>3678</v>
      </c>
      <c r="AN179" t="s">
        <v>3679</v>
      </c>
      <c r="AO179" t="s">
        <v>3680</v>
      </c>
      <c r="AP179" t="s">
        <v>3681</v>
      </c>
      <c r="AQ179" t="s">
        <v>74</v>
      </c>
      <c r="AR179" t="s">
        <v>3682</v>
      </c>
      <c r="AS179" t="s">
        <v>3683</v>
      </c>
      <c r="AT179" t="s">
        <v>2912</v>
      </c>
      <c r="AU179">
        <v>2020</v>
      </c>
      <c r="AV179">
        <v>20</v>
      </c>
      <c r="AW179">
        <v>1</v>
      </c>
      <c r="AX179" t="s">
        <v>74</v>
      </c>
      <c r="AY179" t="s">
        <v>74</v>
      </c>
      <c r="AZ179" t="s">
        <v>74</v>
      </c>
      <c r="BA179" t="s">
        <v>74</v>
      </c>
      <c r="BB179">
        <v>5</v>
      </c>
      <c r="BC179">
        <v>12</v>
      </c>
      <c r="BD179" t="s">
        <v>74</v>
      </c>
      <c r="BE179" t="s">
        <v>74</v>
      </c>
      <c r="BF179" t="s">
        <v>74</v>
      </c>
      <c r="BG179" t="s">
        <v>74</v>
      </c>
      <c r="BH179" t="s">
        <v>74</v>
      </c>
      <c r="BI179">
        <v>8</v>
      </c>
      <c r="BJ179" t="s">
        <v>3684</v>
      </c>
      <c r="BK179" t="s">
        <v>274</v>
      </c>
      <c r="BL179" t="s">
        <v>3685</v>
      </c>
      <c r="BM179" t="s">
        <v>3686</v>
      </c>
      <c r="BN179" t="s">
        <v>74</v>
      </c>
      <c r="BO179" t="s">
        <v>74</v>
      </c>
      <c r="BP179" t="s">
        <v>74</v>
      </c>
      <c r="BQ179" t="s">
        <v>74</v>
      </c>
      <c r="BR179" t="s">
        <v>106</v>
      </c>
      <c r="BS179" t="s">
        <v>3687</v>
      </c>
      <c r="BT179" t="str">
        <f>HYPERLINK("https%3A%2F%2Fwww.webofscience.com%2Fwos%2Fwoscc%2Ffull-record%2FWOS:000534558900001","View Full Record in Web of Science")</f>
        <v>View Full Record in Web of Science</v>
      </c>
    </row>
    <row r="180" spans="1:72" x14ac:dyDescent="0.15">
      <c r="A180" t="s">
        <v>72</v>
      </c>
      <c r="B180" t="s">
        <v>3688</v>
      </c>
      <c r="C180" t="s">
        <v>74</v>
      </c>
      <c r="D180" t="s">
        <v>74</v>
      </c>
      <c r="E180" t="s">
        <v>74</v>
      </c>
      <c r="F180" t="s">
        <v>3689</v>
      </c>
      <c r="G180" t="s">
        <v>74</v>
      </c>
      <c r="H180" t="s">
        <v>74</v>
      </c>
      <c r="I180" t="s">
        <v>3690</v>
      </c>
      <c r="J180" t="s">
        <v>3130</v>
      </c>
      <c r="K180" t="s">
        <v>74</v>
      </c>
      <c r="L180" t="s">
        <v>74</v>
      </c>
      <c r="M180" t="s">
        <v>78</v>
      </c>
      <c r="N180" t="s">
        <v>3031</v>
      </c>
      <c r="O180" t="s">
        <v>3691</v>
      </c>
      <c r="P180" t="s">
        <v>3692</v>
      </c>
      <c r="Q180" t="s">
        <v>3693</v>
      </c>
      <c r="R180" t="s">
        <v>74</v>
      </c>
      <c r="S180" t="s">
        <v>74</v>
      </c>
      <c r="T180" t="s">
        <v>3694</v>
      </c>
      <c r="U180" t="s">
        <v>3695</v>
      </c>
      <c r="V180" t="s">
        <v>3696</v>
      </c>
      <c r="W180" t="s">
        <v>3697</v>
      </c>
      <c r="X180" t="s">
        <v>3698</v>
      </c>
      <c r="Y180" t="s">
        <v>3699</v>
      </c>
      <c r="Z180" t="s">
        <v>3700</v>
      </c>
      <c r="AA180" t="s">
        <v>3701</v>
      </c>
      <c r="AB180" t="s">
        <v>3702</v>
      </c>
      <c r="AC180" t="s">
        <v>3703</v>
      </c>
      <c r="AD180" t="s">
        <v>3704</v>
      </c>
      <c r="AE180" t="s">
        <v>3705</v>
      </c>
      <c r="AF180" t="s">
        <v>74</v>
      </c>
      <c r="AG180">
        <v>99</v>
      </c>
      <c r="AH180">
        <v>31</v>
      </c>
      <c r="AI180">
        <v>36</v>
      </c>
      <c r="AJ180">
        <v>0</v>
      </c>
      <c r="AK180">
        <v>4</v>
      </c>
      <c r="AL180" t="s">
        <v>1055</v>
      </c>
      <c r="AM180" t="s">
        <v>435</v>
      </c>
      <c r="AN180" t="s">
        <v>1056</v>
      </c>
      <c r="AO180" t="s">
        <v>3143</v>
      </c>
      <c r="AP180" t="s">
        <v>3144</v>
      </c>
      <c r="AQ180" t="s">
        <v>74</v>
      </c>
      <c r="AR180" t="s">
        <v>3145</v>
      </c>
      <c r="AS180" t="s">
        <v>3146</v>
      </c>
      <c r="AT180" t="s">
        <v>2912</v>
      </c>
      <c r="AU180">
        <v>2020</v>
      </c>
      <c r="AV180">
        <v>188</v>
      </c>
      <c r="AW180">
        <v>3</v>
      </c>
      <c r="AX180" t="s">
        <v>74</v>
      </c>
      <c r="AY180" t="s">
        <v>74</v>
      </c>
      <c r="AZ180" t="s">
        <v>74</v>
      </c>
      <c r="BA180" t="s">
        <v>74</v>
      </c>
      <c r="BB180">
        <v>733</v>
      </c>
      <c r="BC180">
        <v>752</v>
      </c>
      <c r="BD180" t="s">
        <v>74</v>
      </c>
      <c r="BE180" t="s">
        <v>74</v>
      </c>
      <c r="BF180" t="s">
        <v>74</v>
      </c>
      <c r="BG180" t="s">
        <v>74</v>
      </c>
      <c r="BH180" t="s">
        <v>74</v>
      </c>
      <c r="BI180">
        <v>20</v>
      </c>
      <c r="BJ180" t="s">
        <v>2510</v>
      </c>
      <c r="BK180" t="s">
        <v>3261</v>
      </c>
      <c r="BL180" t="s">
        <v>2510</v>
      </c>
      <c r="BM180" t="s">
        <v>3147</v>
      </c>
      <c r="BN180" t="s">
        <v>74</v>
      </c>
      <c r="BO180" t="s">
        <v>74</v>
      </c>
      <c r="BP180" t="s">
        <v>74</v>
      </c>
      <c r="BQ180" t="s">
        <v>74</v>
      </c>
      <c r="BR180" t="s">
        <v>106</v>
      </c>
      <c r="BS180" t="s">
        <v>3706</v>
      </c>
      <c r="BT180" t="str">
        <f>HYPERLINK("https%3A%2F%2Fwww.webofscience.com%2Fwos%2Fwoscc%2Ffull-record%2FWOS:000531861500006","View Full Record in Web of Science")</f>
        <v>View Full Record in Web of Science</v>
      </c>
    </row>
    <row r="181" spans="1:72" x14ac:dyDescent="0.15">
      <c r="A181" t="s">
        <v>72</v>
      </c>
      <c r="B181" t="s">
        <v>3707</v>
      </c>
      <c r="C181" t="s">
        <v>74</v>
      </c>
      <c r="D181" t="s">
        <v>74</v>
      </c>
      <c r="E181" t="s">
        <v>74</v>
      </c>
      <c r="F181" t="s">
        <v>3708</v>
      </c>
      <c r="G181" t="s">
        <v>74</v>
      </c>
      <c r="H181" t="s">
        <v>74</v>
      </c>
      <c r="I181" t="s">
        <v>3709</v>
      </c>
      <c r="J181" t="s">
        <v>3130</v>
      </c>
      <c r="K181" t="s">
        <v>74</v>
      </c>
      <c r="L181" t="s">
        <v>74</v>
      </c>
      <c r="M181" t="s">
        <v>78</v>
      </c>
      <c r="N181" t="s">
        <v>3031</v>
      </c>
      <c r="O181" t="s">
        <v>3691</v>
      </c>
      <c r="P181" t="s">
        <v>3692</v>
      </c>
      <c r="Q181" t="s">
        <v>3693</v>
      </c>
      <c r="R181" t="s">
        <v>74</v>
      </c>
      <c r="S181" t="s">
        <v>74</v>
      </c>
      <c r="T181" t="s">
        <v>3710</v>
      </c>
      <c r="U181" t="s">
        <v>3711</v>
      </c>
      <c r="V181" t="s">
        <v>3712</v>
      </c>
      <c r="W181" t="s">
        <v>3713</v>
      </c>
      <c r="X181" t="s">
        <v>3714</v>
      </c>
      <c r="Y181" t="s">
        <v>3715</v>
      </c>
      <c r="Z181" t="s">
        <v>3716</v>
      </c>
      <c r="AA181" t="s">
        <v>3717</v>
      </c>
      <c r="AB181" t="s">
        <v>3718</v>
      </c>
      <c r="AC181" t="s">
        <v>3719</v>
      </c>
      <c r="AD181" t="s">
        <v>3720</v>
      </c>
      <c r="AE181" t="s">
        <v>3721</v>
      </c>
      <c r="AF181" t="s">
        <v>74</v>
      </c>
      <c r="AG181">
        <v>85</v>
      </c>
      <c r="AH181">
        <v>11</v>
      </c>
      <c r="AI181">
        <v>12</v>
      </c>
      <c r="AJ181">
        <v>1</v>
      </c>
      <c r="AK181">
        <v>10</v>
      </c>
      <c r="AL181" t="s">
        <v>1055</v>
      </c>
      <c r="AM181" t="s">
        <v>435</v>
      </c>
      <c r="AN181" t="s">
        <v>1056</v>
      </c>
      <c r="AO181" t="s">
        <v>3143</v>
      </c>
      <c r="AP181" t="s">
        <v>3144</v>
      </c>
      <c r="AQ181" t="s">
        <v>74</v>
      </c>
      <c r="AR181" t="s">
        <v>3145</v>
      </c>
      <c r="AS181" t="s">
        <v>3146</v>
      </c>
      <c r="AT181" t="s">
        <v>2912</v>
      </c>
      <c r="AU181">
        <v>2020</v>
      </c>
      <c r="AV181">
        <v>188</v>
      </c>
      <c r="AW181">
        <v>3</v>
      </c>
      <c r="AX181" t="s">
        <v>74</v>
      </c>
      <c r="AY181" t="s">
        <v>74</v>
      </c>
      <c r="AZ181" t="s">
        <v>74</v>
      </c>
      <c r="BA181" t="s">
        <v>74</v>
      </c>
      <c r="BB181">
        <v>809</v>
      </c>
      <c r="BC181">
        <v>819</v>
      </c>
      <c r="BD181" t="s">
        <v>74</v>
      </c>
      <c r="BE181" t="s">
        <v>74</v>
      </c>
      <c r="BF181" t="s">
        <v>74</v>
      </c>
      <c r="BG181" t="s">
        <v>74</v>
      </c>
      <c r="BH181" t="s">
        <v>74</v>
      </c>
      <c r="BI181">
        <v>11</v>
      </c>
      <c r="BJ181" t="s">
        <v>2510</v>
      </c>
      <c r="BK181" t="s">
        <v>3261</v>
      </c>
      <c r="BL181" t="s">
        <v>2510</v>
      </c>
      <c r="BM181" t="s">
        <v>3147</v>
      </c>
      <c r="BN181" t="s">
        <v>74</v>
      </c>
      <c r="BO181" t="s">
        <v>74</v>
      </c>
      <c r="BP181" t="s">
        <v>74</v>
      </c>
      <c r="BQ181" t="s">
        <v>74</v>
      </c>
      <c r="BR181" t="s">
        <v>106</v>
      </c>
      <c r="BS181" t="s">
        <v>3722</v>
      </c>
      <c r="BT181" t="str">
        <f>HYPERLINK("https%3A%2F%2Fwww.webofscience.com%2Fwos%2Fwoscc%2Ffull-record%2FWOS:000531861500011","View Full Record in Web of Science")</f>
        <v>View Full Record in Web of Science</v>
      </c>
    </row>
    <row r="182" spans="1:72" x14ac:dyDescent="0.15">
      <c r="A182" t="s">
        <v>72</v>
      </c>
      <c r="B182" t="s">
        <v>3723</v>
      </c>
      <c r="C182" t="s">
        <v>74</v>
      </c>
      <c r="D182" t="s">
        <v>74</v>
      </c>
      <c r="E182" t="s">
        <v>74</v>
      </c>
      <c r="F182" t="s">
        <v>3724</v>
      </c>
      <c r="G182" t="s">
        <v>74</v>
      </c>
      <c r="H182" t="s">
        <v>74</v>
      </c>
      <c r="I182" t="s">
        <v>3725</v>
      </c>
      <c r="J182" t="s">
        <v>3130</v>
      </c>
      <c r="K182" t="s">
        <v>74</v>
      </c>
      <c r="L182" t="s">
        <v>74</v>
      </c>
      <c r="M182" t="s">
        <v>78</v>
      </c>
      <c r="N182" t="s">
        <v>3031</v>
      </c>
      <c r="O182" t="s">
        <v>3691</v>
      </c>
      <c r="P182" t="s">
        <v>3692</v>
      </c>
      <c r="Q182" t="s">
        <v>3693</v>
      </c>
      <c r="R182" t="s">
        <v>74</v>
      </c>
      <c r="S182" t="s">
        <v>74</v>
      </c>
      <c r="T182" t="s">
        <v>3726</v>
      </c>
      <c r="U182" t="s">
        <v>3727</v>
      </c>
      <c r="V182" t="s">
        <v>3728</v>
      </c>
      <c r="W182" t="s">
        <v>3729</v>
      </c>
      <c r="X182" t="s">
        <v>3730</v>
      </c>
      <c r="Y182" t="s">
        <v>3731</v>
      </c>
      <c r="Z182" t="s">
        <v>3732</v>
      </c>
      <c r="AA182" t="s">
        <v>3733</v>
      </c>
      <c r="AB182" t="s">
        <v>3734</v>
      </c>
      <c r="AC182" t="s">
        <v>3735</v>
      </c>
      <c r="AD182" t="s">
        <v>3736</v>
      </c>
      <c r="AE182" t="s">
        <v>3737</v>
      </c>
      <c r="AF182" t="s">
        <v>74</v>
      </c>
      <c r="AG182">
        <v>31</v>
      </c>
      <c r="AH182">
        <v>5</v>
      </c>
      <c r="AI182">
        <v>6</v>
      </c>
      <c r="AJ182">
        <v>0</v>
      </c>
      <c r="AK182">
        <v>8</v>
      </c>
      <c r="AL182" t="s">
        <v>1055</v>
      </c>
      <c r="AM182" t="s">
        <v>435</v>
      </c>
      <c r="AN182" t="s">
        <v>1056</v>
      </c>
      <c r="AO182" t="s">
        <v>3143</v>
      </c>
      <c r="AP182" t="s">
        <v>3144</v>
      </c>
      <c r="AQ182" t="s">
        <v>74</v>
      </c>
      <c r="AR182" t="s">
        <v>3145</v>
      </c>
      <c r="AS182" t="s">
        <v>3146</v>
      </c>
      <c r="AT182" t="s">
        <v>2912</v>
      </c>
      <c r="AU182">
        <v>2020</v>
      </c>
      <c r="AV182">
        <v>188</v>
      </c>
      <c r="AW182">
        <v>3</v>
      </c>
      <c r="AX182" t="s">
        <v>74</v>
      </c>
      <c r="AY182" t="s">
        <v>74</v>
      </c>
      <c r="AZ182" t="s">
        <v>74</v>
      </c>
      <c r="BA182" t="s">
        <v>74</v>
      </c>
      <c r="BB182">
        <v>839</v>
      </c>
      <c r="BC182">
        <v>847</v>
      </c>
      <c r="BD182" t="s">
        <v>74</v>
      </c>
      <c r="BE182" t="s">
        <v>74</v>
      </c>
      <c r="BF182" t="s">
        <v>74</v>
      </c>
      <c r="BG182" t="s">
        <v>74</v>
      </c>
      <c r="BH182" t="s">
        <v>74</v>
      </c>
      <c r="BI182">
        <v>9</v>
      </c>
      <c r="BJ182" t="s">
        <v>2510</v>
      </c>
      <c r="BK182" t="s">
        <v>3261</v>
      </c>
      <c r="BL182" t="s">
        <v>2510</v>
      </c>
      <c r="BM182" t="s">
        <v>3147</v>
      </c>
      <c r="BN182" t="s">
        <v>74</v>
      </c>
      <c r="BO182" t="s">
        <v>74</v>
      </c>
      <c r="BP182" t="s">
        <v>74</v>
      </c>
      <c r="BQ182" t="s">
        <v>74</v>
      </c>
      <c r="BR182" t="s">
        <v>106</v>
      </c>
      <c r="BS182" t="s">
        <v>3738</v>
      </c>
      <c r="BT182" t="str">
        <f>HYPERLINK("https%3A%2F%2Fwww.webofscience.com%2Fwos%2Fwoscc%2Ffull-record%2FWOS:000531861500013","View Full Record in Web of Science")</f>
        <v>View Full Record in Web of Science</v>
      </c>
    </row>
    <row r="183" spans="1:72" x14ac:dyDescent="0.15">
      <c r="A183" t="s">
        <v>72</v>
      </c>
      <c r="B183" t="s">
        <v>3739</v>
      </c>
      <c r="C183" t="s">
        <v>74</v>
      </c>
      <c r="D183" t="s">
        <v>74</v>
      </c>
      <c r="E183" t="s">
        <v>74</v>
      </c>
      <c r="F183" t="s">
        <v>3740</v>
      </c>
      <c r="G183" t="s">
        <v>74</v>
      </c>
      <c r="H183" t="s">
        <v>74</v>
      </c>
      <c r="I183" t="s">
        <v>3741</v>
      </c>
      <c r="J183" t="s">
        <v>3742</v>
      </c>
      <c r="K183" t="s">
        <v>74</v>
      </c>
      <c r="L183" t="s">
        <v>74</v>
      </c>
      <c r="M183" t="s">
        <v>78</v>
      </c>
      <c r="N183" t="s">
        <v>79</v>
      </c>
      <c r="O183" t="s">
        <v>74</v>
      </c>
      <c r="P183" t="s">
        <v>74</v>
      </c>
      <c r="Q183" t="s">
        <v>74</v>
      </c>
      <c r="R183" t="s">
        <v>74</v>
      </c>
      <c r="S183" t="s">
        <v>74</v>
      </c>
      <c r="T183" t="s">
        <v>74</v>
      </c>
      <c r="U183" t="s">
        <v>3743</v>
      </c>
      <c r="V183" t="s">
        <v>3744</v>
      </c>
      <c r="W183" t="s">
        <v>3745</v>
      </c>
      <c r="X183" t="s">
        <v>3746</v>
      </c>
      <c r="Y183" t="s">
        <v>3747</v>
      </c>
      <c r="Z183" t="s">
        <v>3748</v>
      </c>
      <c r="AA183" t="s">
        <v>3749</v>
      </c>
      <c r="AB183" t="s">
        <v>3750</v>
      </c>
      <c r="AC183" t="s">
        <v>3751</v>
      </c>
      <c r="AD183" t="s">
        <v>3752</v>
      </c>
      <c r="AE183" t="s">
        <v>3753</v>
      </c>
      <c r="AF183" t="s">
        <v>74</v>
      </c>
      <c r="AG183">
        <v>188</v>
      </c>
      <c r="AH183">
        <v>52</v>
      </c>
      <c r="AI183">
        <v>58</v>
      </c>
      <c r="AJ183">
        <v>0</v>
      </c>
      <c r="AK183">
        <v>20</v>
      </c>
      <c r="AL183" t="s">
        <v>855</v>
      </c>
      <c r="AM183" t="s">
        <v>266</v>
      </c>
      <c r="AN183" t="s">
        <v>856</v>
      </c>
      <c r="AO183" t="s">
        <v>3754</v>
      </c>
      <c r="AP183" t="s">
        <v>3755</v>
      </c>
      <c r="AQ183" t="s">
        <v>74</v>
      </c>
      <c r="AR183" t="s">
        <v>3756</v>
      </c>
      <c r="AS183" t="s">
        <v>3757</v>
      </c>
      <c r="AT183" t="s">
        <v>2912</v>
      </c>
      <c r="AU183">
        <v>2020</v>
      </c>
      <c r="AV183">
        <v>125</v>
      </c>
      <c r="AW183">
        <v>3</v>
      </c>
      <c r="AX183" t="s">
        <v>74</v>
      </c>
      <c r="AY183" t="s">
        <v>74</v>
      </c>
      <c r="AZ183" t="s">
        <v>74</v>
      </c>
      <c r="BA183" t="s">
        <v>74</v>
      </c>
      <c r="BB183" t="s">
        <v>74</v>
      </c>
      <c r="BC183" t="s">
        <v>74</v>
      </c>
      <c r="BD183" t="s">
        <v>74</v>
      </c>
      <c r="BE183" t="s">
        <v>3758</v>
      </c>
      <c r="BF183" t="str">
        <f>HYPERLINK("http://dx.doi.org/10.1029/2019JB017823","http://dx.doi.org/10.1029/2019JB017823")</f>
        <v>http://dx.doi.org/10.1029/2019JB017823</v>
      </c>
      <c r="BG183" t="s">
        <v>74</v>
      </c>
      <c r="BH183" t="s">
        <v>74</v>
      </c>
      <c r="BI183">
        <v>33</v>
      </c>
      <c r="BJ183" t="s">
        <v>442</v>
      </c>
      <c r="BK183" t="s">
        <v>103</v>
      </c>
      <c r="BL183" t="s">
        <v>442</v>
      </c>
      <c r="BM183" t="s">
        <v>3759</v>
      </c>
      <c r="BN183" t="s">
        <v>74</v>
      </c>
      <c r="BO183" t="s">
        <v>517</v>
      </c>
      <c r="BP183" t="s">
        <v>74</v>
      </c>
      <c r="BQ183" t="s">
        <v>74</v>
      </c>
      <c r="BR183" t="s">
        <v>106</v>
      </c>
      <c r="BS183" t="s">
        <v>3760</v>
      </c>
      <c r="BT183" t="str">
        <f>HYPERLINK("https%3A%2F%2Fwww.webofscience.com%2Fwos%2Fwoscc%2Ffull-record%2FWOS:000530895800001","View Full Record in Web of Science")</f>
        <v>View Full Record in Web of Science</v>
      </c>
    </row>
    <row r="184" spans="1:72" x14ac:dyDescent="0.15">
      <c r="A184" t="s">
        <v>72</v>
      </c>
      <c r="B184" t="s">
        <v>3761</v>
      </c>
      <c r="C184" t="s">
        <v>74</v>
      </c>
      <c r="D184" t="s">
        <v>74</v>
      </c>
      <c r="E184" t="s">
        <v>74</v>
      </c>
      <c r="F184" t="s">
        <v>3762</v>
      </c>
      <c r="G184" t="s">
        <v>74</v>
      </c>
      <c r="H184" t="s">
        <v>74</v>
      </c>
      <c r="I184" t="s">
        <v>3763</v>
      </c>
      <c r="J184" t="s">
        <v>3764</v>
      </c>
      <c r="K184" t="s">
        <v>74</v>
      </c>
      <c r="L184" t="s">
        <v>74</v>
      </c>
      <c r="M184" t="s">
        <v>78</v>
      </c>
      <c r="N184" t="s">
        <v>79</v>
      </c>
      <c r="O184" t="s">
        <v>74</v>
      </c>
      <c r="P184" t="s">
        <v>74</v>
      </c>
      <c r="Q184" t="s">
        <v>74</v>
      </c>
      <c r="R184" t="s">
        <v>74</v>
      </c>
      <c r="S184" t="s">
        <v>74</v>
      </c>
      <c r="T184" t="s">
        <v>74</v>
      </c>
      <c r="U184" t="s">
        <v>3765</v>
      </c>
      <c r="V184" t="s">
        <v>3766</v>
      </c>
      <c r="W184" t="s">
        <v>3767</v>
      </c>
      <c r="X184" t="s">
        <v>3768</v>
      </c>
      <c r="Y184" t="s">
        <v>3769</v>
      </c>
      <c r="Z184" t="s">
        <v>3770</v>
      </c>
      <c r="AA184" t="s">
        <v>3771</v>
      </c>
      <c r="AB184" t="s">
        <v>3772</v>
      </c>
      <c r="AC184" t="s">
        <v>3773</v>
      </c>
      <c r="AD184" t="s">
        <v>3774</v>
      </c>
      <c r="AE184" t="s">
        <v>3775</v>
      </c>
      <c r="AF184" t="s">
        <v>74</v>
      </c>
      <c r="AG184">
        <v>90</v>
      </c>
      <c r="AH184">
        <v>5</v>
      </c>
      <c r="AI184">
        <v>5</v>
      </c>
      <c r="AJ184">
        <v>0</v>
      </c>
      <c r="AK184">
        <v>13</v>
      </c>
      <c r="AL184" t="s">
        <v>855</v>
      </c>
      <c r="AM184" t="s">
        <v>266</v>
      </c>
      <c r="AN184" t="s">
        <v>856</v>
      </c>
      <c r="AO184" t="s">
        <v>74</v>
      </c>
      <c r="AP184" t="s">
        <v>3776</v>
      </c>
      <c r="AQ184" t="s">
        <v>74</v>
      </c>
      <c r="AR184" t="s">
        <v>3777</v>
      </c>
      <c r="AS184" t="s">
        <v>3778</v>
      </c>
      <c r="AT184" t="s">
        <v>2912</v>
      </c>
      <c r="AU184">
        <v>2020</v>
      </c>
      <c r="AV184">
        <v>7</v>
      </c>
      <c r="AW184">
        <v>3</v>
      </c>
      <c r="AX184" t="s">
        <v>74</v>
      </c>
      <c r="AY184" t="s">
        <v>74</v>
      </c>
      <c r="AZ184" t="s">
        <v>74</v>
      </c>
      <c r="BA184" t="s">
        <v>74</v>
      </c>
      <c r="BB184" t="s">
        <v>74</v>
      </c>
      <c r="BC184" t="s">
        <v>74</v>
      </c>
      <c r="BD184" t="s">
        <v>3779</v>
      </c>
      <c r="BE184" t="s">
        <v>3780</v>
      </c>
      <c r="BF184" t="str">
        <f>HYPERLINK("http://dx.doi.org/10.1029/2019EA000695","http://dx.doi.org/10.1029/2019EA000695")</f>
        <v>http://dx.doi.org/10.1029/2019EA000695</v>
      </c>
      <c r="BG184" t="s">
        <v>74</v>
      </c>
      <c r="BH184" t="s">
        <v>74</v>
      </c>
      <c r="BI184">
        <v>19</v>
      </c>
      <c r="BJ184" t="s">
        <v>3781</v>
      </c>
      <c r="BK184" t="s">
        <v>103</v>
      </c>
      <c r="BL184" t="s">
        <v>3782</v>
      </c>
      <c r="BM184" t="s">
        <v>3783</v>
      </c>
      <c r="BN184" t="s">
        <v>74</v>
      </c>
      <c r="BO184" t="s">
        <v>276</v>
      </c>
      <c r="BP184" t="s">
        <v>74</v>
      </c>
      <c r="BQ184" t="s">
        <v>74</v>
      </c>
      <c r="BR184" t="s">
        <v>106</v>
      </c>
      <c r="BS184" t="s">
        <v>3784</v>
      </c>
      <c r="BT184" t="str">
        <f>HYPERLINK("https%3A%2F%2Fwww.webofscience.com%2Fwos%2Fwoscc%2Ffull-record%2FWOS:000529137300001","View Full Record in Web of Science")</f>
        <v>View Full Record in Web of Science</v>
      </c>
    </row>
    <row r="185" spans="1:72" x14ac:dyDescent="0.15">
      <c r="A185" t="s">
        <v>72</v>
      </c>
      <c r="B185" t="s">
        <v>3785</v>
      </c>
      <c r="C185" t="s">
        <v>74</v>
      </c>
      <c r="D185" t="s">
        <v>74</v>
      </c>
      <c r="E185" t="s">
        <v>74</v>
      </c>
      <c r="F185" t="s">
        <v>3786</v>
      </c>
      <c r="G185" t="s">
        <v>74</v>
      </c>
      <c r="H185" t="s">
        <v>74</v>
      </c>
      <c r="I185" t="s">
        <v>3787</v>
      </c>
      <c r="J185" t="s">
        <v>3764</v>
      </c>
      <c r="K185" t="s">
        <v>74</v>
      </c>
      <c r="L185" t="s">
        <v>74</v>
      </c>
      <c r="M185" t="s">
        <v>78</v>
      </c>
      <c r="N185" t="s">
        <v>79</v>
      </c>
      <c r="O185" t="s">
        <v>74</v>
      </c>
      <c r="P185" t="s">
        <v>74</v>
      </c>
      <c r="Q185" t="s">
        <v>74</v>
      </c>
      <c r="R185" t="s">
        <v>74</v>
      </c>
      <c r="S185" t="s">
        <v>74</v>
      </c>
      <c r="T185" t="s">
        <v>74</v>
      </c>
      <c r="U185" t="s">
        <v>3788</v>
      </c>
      <c r="V185" t="s">
        <v>3789</v>
      </c>
      <c r="W185" t="s">
        <v>3790</v>
      </c>
      <c r="X185" t="s">
        <v>3791</v>
      </c>
      <c r="Y185" t="s">
        <v>3792</v>
      </c>
      <c r="Z185" t="s">
        <v>3793</v>
      </c>
      <c r="AA185" t="s">
        <v>3794</v>
      </c>
      <c r="AB185" t="s">
        <v>3795</v>
      </c>
      <c r="AC185" t="s">
        <v>3796</v>
      </c>
      <c r="AD185" t="s">
        <v>3796</v>
      </c>
      <c r="AE185" t="s">
        <v>3797</v>
      </c>
      <c r="AF185" t="s">
        <v>74</v>
      </c>
      <c r="AG185">
        <v>74</v>
      </c>
      <c r="AH185">
        <v>3</v>
      </c>
      <c r="AI185">
        <v>3</v>
      </c>
      <c r="AJ185">
        <v>0</v>
      </c>
      <c r="AK185">
        <v>11</v>
      </c>
      <c r="AL185" t="s">
        <v>855</v>
      </c>
      <c r="AM185" t="s">
        <v>266</v>
      </c>
      <c r="AN185" t="s">
        <v>856</v>
      </c>
      <c r="AO185" t="s">
        <v>74</v>
      </c>
      <c r="AP185" t="s">
        <v>3776</v>
      </c>
      <c r="AQ185" t="s">
        <v>74</v>
      </c>
      <c r="AR185" t="s">
        <v>3777</v>
      </c>
      <c r="AS185" t="s">
        <v>3778</v>
      </c>
      <c r="AT185" t="s">
        <v>2912</v>
      </c>
      <c r="AU185">
        <v>2020</v>
      </c>
      <c r="AV185">
        <v>7</v>
      </c>
      <c r="AW185">
        <v>3</v>
      </c>
      <c r="AX185" t="s">
        <v>74</v>
      </c>
      <c r="AY185" t="s">
        <v>74</v>
      </c>
      <c r="AZ185" t="s">
        <v>74</v>
      </c>
      <c r="BA185" t="s">
        <v>74</v>
      </c>
      <c r="BB185" t="s">
        <v>74</v>
      </c>
      <c r="BC185" t="s">
        <v>74</v>
      </c>
      <c r="BD185" t="s">
        <v>3798</v>
      </c>
      <c r="BE185" t="s">
        <v>3799</v>
      </c>
      <c r="BF185" t="str">
        <f>HYPERLINK("http://dx.doi.org/10.1029/2019EA000860","http://dx.doi.org/10.1029/2019EA000860")</f>
        <v>http://dx.doi.org/10.1029/2019EA000860</v>
      </c>
      <c r="BG185" t="s">
        <v>74</v>
      </c>
      <c r="BH185" t="s">
        <v>74</v>
      </c>
      <c r="BI185">
        <v>11</v>
      </c>
      <c r="BJ185" t="s">
        <v>3781</v>
      </c>
      <c r="BK185" t="s">
        <v>103</v>
      </c>
      <c r="BL185" t="s">
        <v>3782</v>
      </c>
      <c r="BM185" t="s">
        <v>3783</v>
      </c>
      <c r="BN185" t="s">
        <v>74</v>
      </c>
      <c r="BO185" t="s">
        <v>2592</v>
      </c>
      <c r="BP185" t="s">
        <v>74</v>
      </c>
      <c r="BQ185" t="s">
        <v>74</v>
      </c>
      <c r="BR185" t="s">
        <v>106</v>
      </c>
      <c r="BS185" t="s">
        <v>3800</v>
      </c>
      <c r="BT185" t="str">
        <f>HYPERLINK("https%3A%2F%2Fwww.webofscience.com%2Fwos%2Fwoscc%2Ffull-record%2FWOS:000529137300029","View Full Record in Web of Science")</f>
        <v>View Full Record in Web of Science</v>
      </c>
    </row>
    <row r="186" spans="1:72" x14ac:dyDescent="0.15">
      <c r="A186" t="s">
        <v>72</v>
      </c>
      <c r="B186" t="s">
        <v>3801</v>
      </c>
      <c r="C186" t="s">
        <v>74</v>
      </c>
      <c r="D186" t="s">
        <v>74</v>
      </c>
      <c r="E186" t="s">
        <v>74</v>
      </c>
      <c r="F186" t="s">
        <v>3802</v>
      </c>
      <c r="G186" t="s">
        <v>74</v>
      </c>
      <c r="H186" t="s">
        <v>74</v>
      </c>
      <c r="I186" t="s">
        <v>3803</v>
      </c>
      <c r="J186" t="s">
        <v>3804</v>
      </c>
      <c r="K186" t="s">
        <v>74</v>
      </c>
      <c r="L186" t="s">
        <v>74</v>
      </c>
      <c r="M186" t="s">
        <v>78</v>
      </c>
      <c r="N186" t="s">
        <v>79</v>
      </c>
      <c r="O186" t="s">
        <v>74</v>
      </c>
      <c r="P186" t="s">
        <v>74</v>
      </c>
      <c r="Q186" t="s">
        <v>74</v>
      </c>
      <c r="R186" t="s">
        <v>74</v>
      </c>
      <c r="S186" t="s">
        <v>74</v>
      </c>
      <c r="T186" t="s">
        <v>3805</v>
      </c>
      <c r="U186" t="s">
        <v>3806</v>
      </c>
      <c r="V186" t="s">
        <v>3807</v>
      </c>
      <c r="W186" t="s">
        <v>3808</v>
      </c>
      <c r="X186" t="s">
        <v>3809</v>
      </c>
      <c r="Y186" t="s">
        <v>3810</v>
      </c>
      <c r="Z186" t="s">
        <v>3811</v>
      </c>
      <c r="AA186" t="s">
        <v>3812</v>
      </c>
      <c r="AB186" t="s">
        <v>3813</v>
      </c>
      <c r="AC186" t="s">
        <v>3814</v>
      </c>
      <c r="AD186" t="s">
        <v>3815</v>
      </c>
      <c r="AE186" t="s">
        <v>3816</v>
      </c>
      <c r="AF186" t="s">
        <v>74</v>
      </c>
      <c r="AG186">
        <v>88</v>
      </c>
      <c r="AH186">
        <v>5</v>
      </c>
      <c r="AI186">
        <v>5</v>
      </c>
      <c r="AJ186">
        <v>0</v>
      </c>
      <c r="AK186">
        <v>9</v>
      </c>
      <c r="AL186" t="s">
        <v>3817</v>
      </c>
      <c r="AM186" t="s">
        <v>3818</v>
      </c>
      <c r="AN186" t="s">
        <v>3819</v>
      </c>
      <c r="AO186" t="s">
        <v>74</v>
      </c>
      <c r="AP186" t="s">
        <v>3820</v>
      </c>
      <c r="AQ186" t="s">
        <v>74</v>
      </c>
      <c r="AR186" t="s">
        <v>3821</v>
      </c>
      <c r="AS186" t="s">
        <v>3822</v>
      </c>
      <c r="AT186" t="s">
        <v>2912</v>
      </c>
      <c r="AU186">
        <v>2020</v>
      </c>
      <c r="AV186">
        <v>11</v>
      </c>
      <c r="AW186">
        <v>3</v>
      </c>
      <c r="AX186" t="s">
        <v>74</v>
      </c>
      <c r="AY186" t="s">
        <v>74</v>
      </c>
      <c r="AZ186" t="s">
        <v>74</v>
      </c>
      <c r="BA186" t="s">
        <v>74</v>
      </c>
      <c r="BB186" t="s">
        <v>74</v>
      </c>
      <c r="BC186" t="s">
        <v>74</v>
      </c>
      <c r="BD186">
        <v>298</v>
      </c>
      <c r="BE186" t="s">
        <v>3823</v>
      </c>
      <c r="BF186" t="str">
        <f>HYPERLINK("http://dx.doi.org/10.3390/genes11030298","http://dx.doi.org/10.3390/genes11030298")</f>
        <v>http://dx.doi.org/10.3390/genes11030298</v>
      </c>
      <c r="BG186" t="s">
        <v>74</v>
      </c>
      <c r="BH186" t="s">
        <v>74</v>
      </c>
      <c r="BI186">
        <v>20</v>
      </c>
      <c r="BJ186" t="s">
        <v>3824</v>
      </c>
      <c r="BK186" t="s">
        <v>103</v>
      </c>
      <c r="BL186" t="s">
        <v>3824</v>
      </c>
      <c r="BM186" t="s">
        <v>3825</v>
      </c>
      <c r="BN186">
        <v>32168796</v>
      </c>
      <c r="BO186" t="s">
        <v>1805</v>
      </c>
      <c r="BP186" t="s">
        <v>74</v>
      </c>
      <c r="BQ186" t="s">
        <v>74</v>
      </c>
      <c r="BR186" t="s">
        <v>106</v>
      </c>
      <c r="BS186" t="s">
        <v>3826</v>
      </c>
      <c r="BT186" t="str">
        <f>HYPERLINK("https%3A%2F%2Fwww.webofscience.com%2Fwos%2Fwoscc%2Ffull-record%2FWOS:000529189000062","View Full Record in Web of Science")</f>
        <v>View Full Record in Web of Science</v>
      </c>
    </row>
    <row r="187" spans="1:72" x14ac:dyDescent="0.15">
      <c r="A187" t="s">
        <v>72</v>
      </c>
      <c r="B187" t="s">
        <v>3827</v>
      </c>
      <c r="C187" t="s">
        <v>74</v>
      </c>
      <c r="D187" t="s">
        <v>74</v>
      </c>
      <c r="E187" t="s">
        <v>74</v>
      </c>
      <c r="F187" t="s">
        <v>3828</v>
      </c>
      <c r="G187" t="s">
        <v>74</v>
      </c>
      <c r="H187" t="s">
        <v>74</v>
      </c>
      <c r="I187" t="s">
        <v>3829</v>
      </c>
      <c r="J187" t="s">
        <v>3830</v>
      </c>
      <c r="K187" t="s">
        <v>74</v>
      </c>
      <c r="L187" t="s">
        <v>74</v>
      </c>
      <c r="M187" t="s">
        <v>78</v>
      </c>
      <c r="N187" t="s">
        <v>79</v>
      </c>
      <c r="O187" t="s">
        <v>74</v>
      </c>
      <c r="P187" t="s">
        <v>74</v>
      </c>
      <c r="Q187" t="s">
        <v>74</v>
      </c>
      <c r="R187" t="s">
        <v>74</v>
      </c>
      <c r="S187" t="s">
        <v>74</v>
      </c>
      <c r="T187" t="s">
        <v>74</v>
      </c>
      <c r="U187" t="s">
        <v>3831</v>
      </c>
      <c r="V187" t="s">
        <v>3832</v>
      </c>
      <c r="W187" t="s">
        <v>3833</v>
      </c>
      <c r="X187" t="s">
        <v>3834</v>
      </c>
      <c r="Y187" t="s">
        <v>3835</v>
      </c>
      <c r="Z187" t="s">
        <v>3836</v>
      </c>
      <c r="AA187" t="s">
        <v>3837</v>
      </c>
      <c r="AB187" t="s">
        <v>3838</v>
      </c>
      <c r="AC187" t="s">
        <v>74</v>
      </c>
      <c r="AD187" t="s">
        <v>74</v>
      </c>
      <c r="AE187" t="s">
        <v>74</v>
      </c>
      <c r="AF187" t="s">
        <v>74</v>
      </c>
      <c r="AG187">
        <v>17</v>
      </c>
      <c r="AH187">
        <v>2</v>
      </c>
      <c r="AI187">
        <v>2</v>
      </c>
      <c r="AJ187">
        <v>0</v>
      </c>
      <c r="AK187">
        <v>2</v>
      </c>
      <c r="AL187" t="s">
        <v>3839</v>
      </c>
      <c r="AM187" t="s">
        <v>166</v>
      </c>
      <c r="AN187" t="s">
        <v>3840</v>
      </c>
      <c r="AO187" t="s">
        <v>3841</v>
      </c>
      <c r="AP187" t="s">
        <v>3842</v>
      </c>
      <c r="AQ187" t="s">
        <v>74</v>
      </c>
      <c r="AR187" t="s">
        <v>3843</v>
      </c>
      <c r="AS187" t="s">
        <v>3844</v>
      </c>
      <c r="AT187" t="s">
        <v>2912</v>
      </c>
      <c r="AU187">
        <v>2020</v>
      </c>
      <c r="AV187">
        <v>60</v>
      </c>
      <c r="AW187">
        <v>2</v>
      </c>
      <c r="AX187" t="s">
        <v>74</v>
      </c>
      <c r="AY187" t="s">
        <v>74</v>
      </c>
      <c r="AZ187" t="s">
        <v>74</v>
      </c>
      <c r="BA187" t="s">
        <v>74</v>
      </c>
      <c r="BB187">
        <v>212</v>
      </c>
      <c r="BC187">
        <v>215</v>
      </c>
      <c r="BD187" t="s">
        <v>74</v>
      </c>
      <c r="BE187" t="s">
        <v>3845</v>
      </c>
      <c r="BF187" t="str">
        <f>HYPERLINK("http://dx.doi.org/10.1134/S0016793220020127","http://dx.doi.org/10.1134/S0016793220020127")</f>
        <v>http://dx.doi.org/10.1134/S0016793220020127</v>
      </c>
      <c r="BG187" t="s">
        <v>74</v>
      </c>
      <c r="BH187" t="s">
        <v>74</v>
      </c>
      <c r="BI187">
        <v>4</v>
      </c>
      <c r="BJ187" t="s">
        <v>442</v>
      </c>
      <c r="BK187" t="s">
        <v>103</v>
      </c>
      <c r="BL187" t="s">
        <v>442</v>
      </c>
      <c r="BM187" t="s">
        <v>3846</v>
      </c>
      <c r="BN187" t="s">
        <v>74</v>
      </c>
      <c r="BO187" t="s">
        <v>74</v>
      </c>
      <c r="BP187" t="s">
        <v>74</v>
      </c>
      <c r="BQ187" t="s">
        <v>74</v>
      </c>
      <c r="BR187" t="s">
        <v>106</v>
      </c>
      <c r="BS187" t="s">
        <v>3847</v>
      </c>
      <c r="BT187" t="str">
        <f>HYPERLINK("https%3A%2F%2Fwww.webofscience.com%2Fwos%2Fwoscc%2Ffull-record%2FWOS:000529690800008","View Full Record in Web of Science")</f>
        <v>View Full Record in Web of Science</v>
      </c>
    </row>
    <row r="188" spans="1:72" x14ac:dyDescent="0.15">
      <c r="A188" t="s">
        <v>72</v>
      </c>
      <c r="B188" t="s">
        <v>3848</v>
      </c>
      <c r="C188" t="s">
        <v>74</v>
      </c>
      <c r="D188" t="s">
        <v>74</v>
      </c>
      <c r="E188" t="s">
        <v>74</v>
      </c>
      <c r="F188" t="s">
        <v>3849</v>
      </c>
      <c r="G188" t="s">
        <v>74</v>
      </c>
      <c r="H188" t="s">
        <v>74</v>
      </c>
      <c r="I188" t="s">
        <v>3850</v>
      </c>
      <c r="J188" t="s">
        <v>3851</v>
      </c>
      <c r="K188" t="s">
        <v>74</v>
      </c>
      <c r="L188" t="s">
        <v>74</v>
      </c>
      <c r="M188" t="s">
        <v>78</v>
      </c>
      <c r="N188" t="s">
        <v>79</v>
      </c>
      <c r="O188" t="s">
        <v>74</v>
      </c>
      <c r="P188" t="s">
        <v>74</v>
      </c>
      <c r="Q188" t="s">
        <v>74</v>
      </c>
      <c r="R188" t="s">
        <v>74</v>
      </c>
      <c r="S188" t="s">
        <v>74</v>
      </c>
      <c r="T188" t="s">
        <v>74</v>
      </c>
      <c r="U188" t="s">
        <v>74</v>
      </c>
      <c r="V188" t="s">
        <v>3852</v>
      </c>
      <c r="W188" t="s">
        <v>3853</v>
      </c>
      <c r="X188" t="s">
        <v>74</v>
      </c>
      <c r="Y188" t="s">
        <v>3854</v>
      </c>
      <c r="Z188" t="s">
        <v>3855</v>
      </c>
      <c r="AA188" t="s">
        <v>3856</v>
      </c>
      <c r="AB188" t="s">
        <v>3857</v>
      </c>
      <c r="AC188" t="s">
        <v>3858</v>
      </c>
      <c r="AD188" t="s">
        <v>3859</v>
      </c>
      <c r="AE188" t="s">
        <v>3860</v>
      </c>
      <c r="AF188" t="s">
        <v>74</v>
      </c>
      <c r="AG188">
        <v>20</v>
      </c>
      <c r="AH188">
        <v>7</v>
      </c>
      <c r="AI188">
        <v>7</v>
      </c>
      <c r="AJ188">
        <v>0</v>
      </c>
      <c r="AK188">
        <v>3</v>
      </c>
      <c r="AL188" t="s">
        <v>855</v>
      </c>
      <c r="AM188" t="s">
        <v>266</v>
      </c>
      <c r="AN188" t="s">
        <v>856</v>
      </c>
      <c r="AO188" t="s">
        <v>3861</v>
      </c>
      <c r="AP188" t="s">
        <v>3862</v>
      </c>
      <c r="AQ188" t="s">
        <v>74</v>
      </c>
      <c r="AR188" t="s">
        <v>3863</v>
      </c>
      <c r="AS188" t="s">
        <v>3864</v>
      </c>
      <c r="AT188" t="s">
        <v>2912</v>
      </c>
      <c r="AU188">
        <v>2020</v>
      </c>
      <c r="AV188">
        <v>55</v>
      </c>
      <c r="AW188">
        <v>3</v>
      </c>
      <c r="AX188" t="s">
        <v>74</v>
      </c>
      <c r="AY188" t="s">
        <v>74</v>
      </c>
      <c r="AZ188" t="s">
        <v>74</v>
      </c>
      <c r="BA188" t="s">
        <v>74</v>
      </c>
      <c r="BB188" t="s">
        <v>74</v>
      </c>
      <c r="BC188" t="s">
        <v>74</v>
      </c>
      <c r="BD188" t="s">
        <v>3865</v>
      </c>
      <c r="BE188" t="s">
        <v>3866</v>
      </c>
      <c r="BF188" t="str">
        <f>HYPERLINK("http://dx.doi.org/10.1029/2019RS006920","http://dx.doi.org/10.1029/2019RS006920")</f>
        <v>http://dx.doi.org/10.1029/2019RS006920</v>
      </c>
      <c r="BG188" t="s">
        <v>74</v>
      </c>
      <c r="BH188" t="s">
        <v>74</v>
      </c>
      <c r="BI188">
        <v>12</v>
      </c>
      <c r="BJ188" t="s">
        <v>3867</v>
      </c>
      <c r="BK188" t="s">
        <v>103</v>
      </c>
      <c r="BL188" t="s">
        <v>3867</v>
      </c>
      <c r="BM188" t="s">
        <v>3868</v>
      </c>
      <c r="BN188" t="s">
        <v>74</v>
      </c>
      <c r="BO188" t="s">
        <v>694</v>
      </c>
      <c r="BP188" t="s">
        <v>74</v>
      </c>
      <c r="BQ188" t="s">
        <v>74</v>
      </c>
      <c r="BR188" t="s">
        <v>106</v>
      </c>
      <c r="BS188" t="s">
        <v>3869</v>
      </c>
      <c r="BT188" t="str">
        <f>HYPERLINK("https%3A%2F%2Fwww.webofscience.com%2Fwos%2Fwoscc%2Ffull-record%2FWOS:000529234400002","View Full Record in Web of Science")</f>
        <v>View Full Record in Web of Science</v>
      </c>
    </row>
    <row r="189" spans="1:72" x14ac:dyDescent="0.15">
      <c r="A189" t="s">
        <v>72</v>
      </c>
      <c r="B189" t="s">
        <v>3870</v>
      </c>
      <c r="C189" t="s">
        <v>74</v>
      </c>
      <c r="D189" t="s">
        <v>74</v>
      </c>
      <c r="E189" t="s">
        <v>74</v>
      </c>
      <c r="F189" t="s">
        <v>3871</v>
      </c>
      <c r="G189" t="s">
        <v>74</v>
      </c>
      <c r="H189" t="s">
        <v>74</v>
      </c>
      <c r="I189" t="s">
        <v>3872</v>
      </c>
      <c r="J189" t="s">
        <v>3873</v>
      </c>
      <c r="K189" t="s">
        <v>74</v>
      </c>
      <c r="L189" t="s">
        <v>74</v>
      </c>
      <c r="M189" t="s">
        <v>78</v>
      </c>
      <c r="N189" t="s">
        <v>79</v>
      </c>
      <c r="O189" t="s">
        <v>74</v>
      </c>
      <c r="P189" t="s">
        <v>74</v>
      </c>
      <c r="Q189" t="s">
        <v>74</v>
      </c>
      <c r="R189" t="s">
        <v>74</v>
      </c>
      <c r="S189" t="s">
        <v>74</v>
      </c>
      <c r="T189" t="s">
        <v>3874</v>
      </c>
      <c r="U189" t="s">
        <v>3875</v>
      </c>
      <c r="V189" t="s">
        <v>3876</v>
      </c>
      <c r="W189" t="s">
        <v>3877</v>
      </c>
      <c r="X189" t="s">
        <v>3878</v>
      </c>
      <c r="Y189" t="s">
        <v>3879</v>
      </c>
      <c r="Z189" t="s">
        <v>3880</v>
      </c>
      <c r="AA189" t="s">
        <v>3881</v>
      </c>
      <c r="AB189" t="s">
        <v>3882</v>
      </c>
      <c r="AC189" t="s">
        <v>3883</v>
      </c>
      <c r="AD189" t="s">
        <v>3884</v>
      </c>
      <c r="AE189" t="s">
        <v>3885</v>
      </c>
      <c r="AF189" t="s">
        <v>74</v>
      </c>
      <c r="AG189">
        <v>37</v>
      </c>
      <c r="AH189">
        <v>17</v>
      </c>
      <c r="AI189">
        <v>18</v>
      </c>
      <c r="AJ189">
        <v>1</v>
      </c>
      <c r="AK189">
        <v>6</v>
      </c>
      <c r="AL189" t="s">
        <v>855</v>
      </c>
      <c r="AM189" t="s">
        <v>266</v>
      </c>
      <c r="AN189" t="s">
        <v>856</v>
      </c>
      <c r="AO189" t="s">
        <v>74</v>
      </c>
      <c r="AP189" t="s">
        <v>3886</v>
      </c>
      <c r="AQ189" t="s">
        <v>74</v>
      </c>
      <c r="AR189" t="s">
        <v>3887</v>
      </c>
      <c r="AS189" t="s">
        <v>3888</v>
      </c>
      <c r="AT189" t="s">
        <v>2912</v>
      </c>
      <c r="AU189">
        <v>2020</v>
      </c>
      <c r="AV189">
        <v>18</v>
      </c>
      <c r="AW189">
        <v>3</v>
      </c>
      <c r="AX189" t="s">
        <v>74</v>
      </c>
      <c r="AY189" t="s">
        <v>74</v>
      </c>
      <c r="AZ189" t="s">
        <v>74</v>
      </c>
      <c r="BA189" t="s">
        <v>74</v>
      </c>
      <c r="BB189" t="s">
        <v>74</v>
      </c>
      <c r="BC189" t="s">
        <v>74</v>
      </c>
      <c r="BD189" t="s">
        <v>3889</v>
      </c>
      <c r="BE189" t="s">
        <v>3890</v>
      </c>
      <c r="BF189" t="str">
        <f>HYPERLINK("http://dx.doi.org/10.1029/2019SW002387","http://dx.doi.org/10.1029/2019SW002387")</f>
        <v>http://dx.doi.org/10.1029/2019SW002387</v>
      </c>
      <c r="BG189" t="s">
        <v>74</v>
      </c>
      <c r="BH189" t="s">
        <v>74</v>
      </c>
      <c r="BI189">
        <v>20</v>
      </c>
      <c r="BJ189" t="s">
        <v>3891</v>
      </c>
      <c r="BK189" t="s">
        <v>103</v>
      </c>
      <c r="BL189" t="s">
        <v>3891</v>
      </c>
      <c r="BM189" t="s">
        <v>3892</v>
      </c>
      <c r="BN189" t="s">
        <v>74</v>
      </c>
      <c r="BO189" t="s">
        <v>1385</v>
      </c>
      <c r="BP189" t="s">
        <v>74</v>
      </c>
      <c r="BQ189" t="s">
        <v>74</v>
      </c>
      <c r="BR189" t="s">
        <v>106</v>
      </c>
      <c r="BS189" t="s">
        <v>3893</v>
      </c>
      <c r="BT189" t="str">
        <f>HYPERLINK("https%3A%2F%2Fwww.webofscience.com%2Fwos%2Fwoscc%2Ffull-record%2FWOS:000529140700012","View Full Record in Web of Science")</f>
        <v>View Full Record in Web of Science</v>
      </c>
    </row>
    <row r="190" spans="1:72" x14ac:dyDescent="0.15">
      <c r="A190" t="s">
        <v>72</v>
      </c>
      <c r="B190" t="s">
        <v>3894</v>
      </c>
      <c r="C190" t="s">
        <v>74</v>
      </c>
      <c r="D190" t="s">
        <v>74</v>
      </c>
      <c r="E190" t="s">
        <v>74</v>
      </c>
      <c r="F190" t="s">
        <v>3895</v>
      </c>
      <c r="G190" t="s">
        <v>74</v>
      </c>
      <c r="H190" t="s">
        <v>74</v>
      </c>
      <c r="I190" t="s">
        <v>3896</v>
      </c>
      <c r="J190" t="s">
        <v>3873</v>
      </c>
      <c r="K190" t="s">
        <v>74</v>
      </c>
      <c r="L190" t="s">
        <v>74</v>
      </c>
      <c r="M190" t="s">
        <v>78</v>
      </c>
      <c r="N190" t="s">
        <v>79</v>
      </c>
      <c r="O190" t="s">
        <v>74</v>
      </c>
      <c r="P190" t="s">
        <v>74</v>
      </c>
      <c r="Q190" t="s">
        <v>74</v>
      </c>
      <c r="R190" t="s">
        <v>74</v>
      </c>
      <c r="S190" t="s">
        <v>74</v>
      </c>
      <c r="T190" t="s">
        <v>3897</v>
      </c>
      <c r="U190" t="s">
        <v>3898</v>
      </c>
      <c r="V190" t="s">
        <v>3899</v>
      </c>
      <c r="W190" t="s">
        <v>3900</v>
      </c>
      <c r="X190" t="s">
        <v>3901</v>
      </c>
      <c r="Y190" t="s">
        <v>3902</v>
      </c>
      <c r="Z190" t="s">
        <v>3903</v>
      </c>
      <c r="AA190" t="s">
        <v>3904</v>
      </c>
      <c r="AB190" t="s">
        <v>3905</v>
      </c>
      <c r="AC190" t="s">
        <v>3906</v>
      </c>
      <c r="AD190" t="s">
        <v>3907</v>
      </c>
      <c r="AE190" t="s">
        <v>3908</v>
      </c>
      <c r="AF190" t="s">
        <v>74</v>
      </c>
      <c r="AG190">
        <v>48</v>
      </c>
      <c r="AH190">
        <v>7</v>
      </c>
      <c r="AI190">
        <v>7</v>
      </c>
      <c r="AJ190">
        <v>0</v>
      </c>
      <c r="AK190">
        <v>0</v>
      </c>
      <c r="AL190" t="s">
        <v>855</v>
      </c>
      <c r="AM190" t="s">
        <v>266</v>
      </c>
      <c r="AN190" t="s">
        <v>856</v>
      </c>
      <c r="AO190" t="s">
        <v>74</v>
      </c>
      <c r="AP190" t="s">
        <v>3886</v>
      </c>
      <c r="AQ190" t="s">
        <v>74</v>
      </c>
      <c r="AR190" t="s">
        <v>3887</v>
      </c>
      <c r="AS190" t="s">
        <v>3888</v>
      </c>
      <c r="AT190" t="s">
        <v>2912</v>
      </c>
      <c r="AU190">
        <v>2020</v>
      </c>
      <c r="AV190">
        <v>18</v>
      </c>
      <c r="AW190">
        <v>3</v>
      </c>
      <c r="AX190" t="s">
        <v>74</v>
      </c>
      <c r="AY190" t="s">
        <v>74</v>
      </c>
      <c r="AZ190" t="s">
        <v>74</v>
      </c>
      <c r="BA190" t="s">
        <v>74</v>
      </c>
      <c r="BB190" t="s">
        <v>74</v>
      </c>
      <c r="BC190" t="s">
        <v>74</v>
      </c>
      <c r="BD190" t="s">
        <v>3909</v>
      </c>
      <c r="BE190" t="s">
        <v>3910</v>
      </c>
      <c r="BF190" t="str">
        <f>HYPERLINK("http://dx.doi.org/10.1029/2019SW002385","http://dx.doi.org/10.1029/2019SW002385")</f>
        <v>http://dx.doi.org/10.1029/2019SW002385</v>
      </c>
      <c r="BG190" t="s">
        <v>74</v>
      </c>
      <c r="BH190" t="s">
        <v>74</v>
      </c>
      <c r="BI190">
        <v>16</v>
      </c>
      <c r="BJ190" t="s">
        <v>3891</v>
      </c>
      <c r="BK190" t="s">
        <v>103</v>
      </c>
      <c r="BL190" t="s">
        <v>3891</v>
      </c>
      <c r="BM190" t="s">
        <v>3892</v>
      </c>
      <c r="BN190" t="s">
        <v>74</v>
      </c>
      <c r="BO190" t="s">
        <v>461</v>
      </c>
      <c r="BP190" t="s">
        <v>74</v>
      </c>
      <c r="BQ190" t="s">
        <v>74</v>
      </c>
      <c r="BR190" t="s">
        <v>106</v>
      </c>
      <c r="BS190" t="s">
        <v>3911</v>
      </c>
      <c r="BT190" t="str">
        <f>HYPERLINK("https%3A%2F%2Fwww.webofscience.com%2Fwos%2Fwoscc%2Ffull-record%2FWOS:000529140700011","View Full Record in Web of Science")</f>
        <v>View Full Record in Web of Science</v>
      </c>
    </row>
    <row r="191" spans="1:72" x14ac:dyDescent="0.15">
      <c r="A191" t="s">
        <v>72</v>
      </c>
      <c r="B191" t="s">
        <v>3912</v>
      </c>
      <c r="C191" t="s">
        <v>74</v>
      </c>
      <c r="D191" t="s">
        <v>74</v>
      </c>
      <c r="E191" t="s">
        <v>74</v>
      </c>
      <c r="F191" t="s">
        <v>3913</v>
      </c>
      <c r="G191" t="s">
        <v>74</v>
      </c>
      <c r="H191" t="s">
        <v>74</v>
      </c>
      <c r="I191" t="s">
        <v>3914</v>
      </c>
      <c r="J191" t="s">
        <v>3915</v>
      </c>
      <c r="K191" t="s">
        <v>74</v>
      </c>
      <c r="L191" t="s">
        <v>74</v>
      </c>
      <c r="M191" t="s">
        <v>78</v>
      </c>
      <c r="N191" t="s">
        <v>79</v>
      </c>
      <c r="O191" t="s">
        <v>74</v>
      </c>
      <c r="P191" t="s">
        <v>74</v>
      </c>
      <c r="Q191" t="s">
        <v>74</v>
      </c>
      <c r="R191" t="s">
        <v>74</v>
      </c>
      <c r="S191" t="s">
        <v>74</v>
      </c>
      <c r="T191" t="s">
        <v>3916</v>
      </c>
      <c r="U191" t="s">
        <v>3917</v>
      </c>
      <c r="V191" t="s">
        <v>3918</v>
      </c>
      <c r="W191" t="s">
        <v>3919</v>
      </c>
      <c r="X191" t="s">
        <v>3920</v>
      </c>
      <c r="Y191" t="s">
        <v>3921</v>
      </c>
      <c r="Z191" t="s">
        <v>3922</v>
      </c>
      <c r="AA191" t="s">
        <v>3923</v>
      </c>
      <c r="AB191" t="s">
        <v>3924</v>
      </c>
      <c r="AC191" t="s">
        <v>3925</v>
      </c>
      <c r="AD191" t="s">
        <v>3926</v>
      </c>
      <c r="AE191" t="s">
        <v>3927</v>
      </c>
      <c r="AF191" t="s">
        <v>74</v>
      </c>
      <c r="AG191">
        <v>73</v>
      </c>
      <c r="AH191">
        <v>105</v>
      </c>
      <c r="AI191">
        <v>106</v>
      </c>
      <c r="AJ191">
        <v>2</v>
      </c>
      <c r="AK191">
        <v>23</v>
      </c>
      <c r="AL191" t="s">
        <v>855</v>
      </c>
      <c r="AM191" t="s">
        <v>266</v>
      </c>
      <c r="AN191" t="s">
        <v>856</v>
      </c>
      <c r="AO191" t="s">
        <v>74</v>
      </c>
      <c r="AP191" t="s">
        <v>3928</v>
      </c>
      <c r="AQ191" t="s">
        <v>74</v>
      </c>
      <c r="AR191" t="s">
        <v>3929</v>
      </c>
      <c r="AS191" t="s">
        <v>3930</v>
      </c>
      <c r="AT191" t="s">
        <v>2912</v>
      </c>
      <c r="AU191">
        <v>2020</v>
      </c>
      <c r="AV191">
        <v>12</v>
      </c>
      <c r="AW191">
        <v>3</v>
      </c>
      <c r="AX191" t="s">
        <v>74</v>
      </c>
      <c r="AY191" t="s">
        <v>74</v>
      </c>
      <c r="AZ191" t="s">
        <v>74</v>
      </c>
      <c r="BA191" t="s">
        <v>74</v>
      </c>
      <c r="BB191" t="s">
        <v>74</v>
      </c>
      <c r="BC191" t="s">
        <v>74</v>
      </c>
      <c r="BD191" t="s">
        <v>3931</v>
      </c>
      <c r="BE191" t="s">
        <v>3932</v>
      </c>
      <c r="BF191" t="str">
        <f>HYPERLINK("http://dx.doi.org/10.1029/2019MS001895","http://dx.doi.org/10.1029/2019MS001895")</f>
        <v>http://dx.doi.org/10.1029/2019MS001895</v>
      </c>
      <c r="BG191" t="s">
        <v>74</v>
      </c>
      <c r="BH191" t="s">
        <v>74</v>
      </c>
      <c r="BI191">
        <v>36</v>
      </c>
      <c r="BJ191" t="s">
        <v>907</v>
      </c>
      <c r="BK191" t="s">
        <v>103</v>
      </c>
      <c r="BL191" t="s">
        <v>907</v>
      </c>
      <c r="BM191" t="s">
        <v>3933</v>
      </c>
      <c r="BN191" t="s">
        <v>74</v>
      </c>
      <c r="BO191" t="s">
        <v>1310</v>
      </c>
      <c r="BP191" t="s">
        <v>1869</v>
      </c>
      <c r="BQ191" t="s">
        <v>1870</v>
      </c>
      <c r="BR191" t="s">
        <v>106</v>
      </c>
      <c r="BS191" t="s">
        <v>3934</v>
      </c>
      <c r="BT191" t="str">
        <f>HYPERLINK("https%3A%2F%2Fwww.webofscience.com%2Fwos%2Fwoscc%2Ffull-record%2FWOS:000529106300002","View Full Record in Web of Science")</f>
        <v>View Full Record in Web of Science</v>
      </c>
    </row>
    <row r="192" spans="1:72" x14ac:dyDescent="0.15">
      <c r="A192" t="s">
        <v>72</v>
      </c>
      <c r="B192" t="s">
        <v>3935</v>
      </c>
      <c r="C192" t="s">
        <v>74</v>
      </c>
      <c r="D192" t="s">
        <v>74</v>
      </c>
      <c r="E192" t="s">
        <v>74</v>
      </c>
      <c r="F192" t="s">
        <v>3936</v>
      </c>
      <c r="G192" t="s">
        <v>74</v>
      </c>
      <c r="H192" t="s">
        <v>74</v>
      </c>
      <c r="I192" t="s">
        <v>3937</v>
      </c>
      <c r="J192" t="s">
        <v>3873</v>
      </c>
      <c r="K192" t="s">
        <v>74</v>
      </c>
      <c r="L192" t="s">
        <v>74</v>
      </c>
      <c r="M192" t="s">
        <v>78</v>
      </c>
      <c r="N192" t="s">
        <v>79</v>
      </c>
      <c r="O192" t="s">
        <v>74</v>
      </c>
      <c r="P192" t="s">
        <v>74</v>
      </c>
      <c r="Q192" t="s">
        <v>74</v>
      </c>
      <c r="R192" t="s">
        <v>74</v>
      </c>
      <c r="S192" t="s">
        <v>74</v>
      </c>
      <c r="T192" t="s">
        <v>74</v>
      </c>
      <c r="U192" t="s">
        <v>3938</v>
      </c>
      <c r="V192" t="s">
        <v>3939</v>
      </c>
      <c r="W192" t="s">
        <v>3940</v>
      </c>
      <c r="X192" t="s">
        <v>3941</v>
      </c>
      <c r="Y192" t="s">
        <v>3942</v>
      </c>
      <c r="Z192" t="s">
        <v>3943</v>
      </c>
      <c r="AA192" t="s">
        <v>3944</v>
      </c>
      <c r="AB192" t="s">
        <v>3945</v>
      </c>
      <c r="AC192" t="s">
        <v>3946</v>
      </c>
      <c r="AD192" t="s">
        <v>3947</v>
      </c>
      <c r="AE192" t="s">
        <v>3948</v>
      </c>
      <c r="AF192" t="s">
        <v>74</v>
      </c>
      <c r="AG192">
        <v>51</v>
      </c>
      <c r="AH192">
        <v>12</v>
      </c>
      <c r="AI192">
        <v>14</v>
      </c>
      <c r="AJ192">
        <v>0</v>
      </c>
      <c r="AK192">
        <v>0</v>
      </c>
      <c r="AL192" t="s">
        <v>855</v>
      </c>
      <c r="AM192" t="s">
        <v>266</v>
      </c>
      <c r="AN192" t="s">
        <v>856</v>
      </c>
      <c r="AO192" t="s">
        <v>74</v>
      </c>
      <c r="AP192" t="s">
        <v>3886</v>
      </c>
      <c r="AQ192" t="s">
        <v>74</v>
      </c>
      <c r="AR192" t="s">
        <v>3887</v>
      </c>
      <c r="AS192" t="s">
        <v>3888</v>
      </c>
      <c r="AT192" t="s">
        <v>2912</v>
      </c>
      <c r="AU192">
        <v>2020</v>
      </c>
      <c r="AV192">
        <v>18</v>
      </c>
      <c r="AW192">
        <v>3</v>
      </c>
      <c r="AX192" t="s">
        <v>74</v>
      </c>
      <c r="AY192" t="s">
        <v>74</v>
      </c>
      <c r="AZ192" t="s">
        <v>74</v>
      </c>
      <c r="BA192" t="s">
        <v>74</v>
      </c>
      <c r="BB192" t="s">
        <v>74</v>
      </c>
      <c r="BC192" t="s">
        <v>74</v>
      </c>
      <c r="BD192" t="s">
        <v>3949</v>
      </c>
      <c r="BE192" t="s">
        <v>3950</v>
      </c>
      <c r="BF192" t="str">
        <f>HYPERLINK("http://dx.doi.org/10.1029/2019SW002427","http://dx.doi.org/10.1029/2019SW002427")</f>
        <v>http://dx.doi.org/10.1029/2019SW002427</v>
      </c>
      <c r="BG192" t="s">
        <v>74</v>
      </c>
      <c r="BH192" t="s">
        <v>74</v>
      </c>
      <c r="BI192">
        <v>13</v>
      </c>
      <c r="BJ192" t="s">
        <v>3891</v>
      </c>
      <c r="BK192" t="s">
        <v>103</v>
      </c>
      <c r="BL192" t="s">
        <v>3891</v>
      </c>
      <c r="BM192" t="s">
        <v>3951</v>
      </c>
      <c r="BN192" t="s">
        <v>74</v>
      </c>
      <c r="BO192" t="s">
        <v>133</v>
      </c>
      <c r="BP192" t="s">
        <v>74</v>
      </c>
      <c r="BQ192" t="s">
        <v>74</v>
      </c>
      <c r="BR192" t="s">
        <v>106</v>
      </c>
      <c r="BS192" t="s">
        <v>3952</v>
      </c>
      <c r="BT192" t="str">
        <f>HYPERLINK("https%3A%2F%2Fwww.webofscience.com%2Fwos%2Fwoscc%2Ffull-record%2FWOS:000529141400001","View Full Record in Web of Science")</f>
        <v>View Full Record in Web of Science</v>
      </c>
    </row>
    <row r="193" spans="1:72" x14ac:dyDescent="0.15">
      <c r="A193" t="s">
        <v>72</v>
      </c>
      <c r="B193" t="s">
        <v>3953</v>
      </c>
      <c r="C193" t="s">
        <v>74</v>
      </c>
      <c r="D193" t="s">
        <v>74</v>
      </c>
      <c r="E193" t="s">
        <v>74</v>
      </c>
      <c r="F193" t="s">
        <v>3954</v>
      </c>
      <c r="G193" t="s">
        <v>74</v>
      </c>
      <c r="H193" t="s">
        <v>74</v>
      </c>
      <c r="I193" t="s">
        <v>3955</v>
      </c>
      <c r="J193" t="s">
        <v>3956</v>
      </c>
      <c r="K193" t="s">
        <v>74</v>
      </c>
      <c r="L193" t="s">
        <v>74</v>
      </c>
      <c r="M193" t="s">
        <v>78</v>
      </c>
      <c r="N193" t="s">
        <v>79</v>
      </c>
      <c r="O193" t="s">
        <v>74</v>
      </c>
      <c r="P193" t="s">
        <v>74</v>
      </c>
      <c r="Q193" t="s">
        <v>74</v>
      </c>
      <c r="R193" t="s">
        <v>74</v>
      </c>
      <c r="S193" t="s">
        <v>74</v>
      </c>
      <c r="T193" t="s">
        <v>3957</v>
      </c>
      <c r="U193" t="s">
        <v>3958</v>
      </c>
      <c r="V193" t="s">
        <v>3959</v>
      </c>
      <c r="W193" t="s">
        <v>3960</v>
      </c>
      <c r="X193" t="s">
        <v>3961</v>
      </c>
      <c r="Y193" t="s">
        <v>3962</v>
      </c>
      <c r="Z193" t="s">
        <v>3963</v>
      </c>
      <c r="AA193" t="s">
        <v>3964</v>
      </c>
      <c r="AB193" t="s">
        <v>3965</v>
      </c>
      <c r="AC193" t="s">
        <v>3966</v>
      </c>
      <c r="AD193" t="s">
        <v>3967</v>
      </c>
      <c r="AE193" t="s">
        <v>3968</v>
      </c>
      <c r="AF193" t="s">
        <v>74</v>
      </c>
      <c r="AG193">
        <v>75</v>
      </c>
      <c r="AH193">
        <v>6</v>
      </c>
      <c r="AI193">
        <v>6</v>
      </c>
      <c r="AJ193">
        <v>0</v>
      </c>
      <c r="AK193">
        <v>8</v>
      </c>
      <c r="AL193" t="s">
        <v>3817</v>
      </c>
      <c r="AM193" t="s">
        <v>3818</v>
      </c>
      <c r="AN193" t="s">
        <v>3819</v>
      </c>
      <c r="AO193" t="s">
        <v>74</v>
      </c>
      <c r="AP193" t="s">
        <v>3969</v>
      </c>
      <c r="AQ193" t="s">
        <v>74</v>
      </c>
      <c r="AR193" t="s">
        <v>3956</v>
      </c>
      <c r="AS193" t="s">
        <v>3970</v>
      </c>
      <c r="AT193" t="s">
        <v>2912</v>
      </c>
      <c r="AU193">
        <v>2020</v>
      </c>
      <c r="AV193">
        <v>11</v>
      </c>
      <c r="AW193">
        <v>3</v>
      </c>
      <c r="AX193" t="s">
        <v>74</v>
      </c>
      <c r="AY193" t="s">
        <v>74</v>
      </c>
      <c r="AZ193" t="s">
        <v>74</v>
      </c>
      <c r="BA193" t="s">
        <v>74</v>
      </c>
      <c r="BB193" t="s">
        <v>74</v>
      </c>
      <c r="BC193" t="s">
        <v>74</v>
      </c>
      <c r="BD193">
        <v>147</v>
      </c>
      <c r="BE193" t="s">
        <v>3971</v>
      </c>
      <c r="BF193" t="str">
        <f>HYPERLINK("http://dx.doi.org/10.3390/insects11030147","http://dx.doi.org/10.3390/insects11030147")</f>
        <v>http://dx.doi.org/10.3390/insects11030147</v>
      </c>
      <c r="BG193" t="s">
        <v>74</v>
      </c>
      <c r="BH193" t="s">
        <v>74</v>
      </c>
      <c r="BI193">
        <v>16</v>
      </c>
      <c r="BJ193" t="s">
        <v>3972</v>
      </c>
      <c r="BK193" t="s">
        <v>103</v>
      </c>
      <c r="BL193" t="s">
        <v>3972</v>
      </c>
      <c r="BM193" t="s">
        <v>3973</v>
      </c>
      <c r="BN193">
        <v>32111052</v>
      </c>
      <c r="BO193" t="s">
        <v>1518</v>
      </c>
      <c r="BP193" t="s">
        <v>74</v>
      </c>
      <c r="BQ193" t="s">
        <v>74</v>
      </c>
      <c r="BR193" t="s">
        <v>106</v>
      </c>
      <c r="BS193" t="s">
        <v>3974</v>
      </c>
      <c r="BT193" t="str">
        <f>HYPERLINK("https%3A%2F%2Fwww.webofscience.com%2Fwos%2Fwoscc%2Ffull-record%2FWOS:000528056000035","View Full Record in Web of Science")</f>
        <v>View Full Record in Web of Science</v>
      </c>
    </row>
    <row r="194" spans="1:72" x14ac:dyDescent="0.15">
      <c r="A194" t="s">
        <v>72</v>
      </c>
      <c r="B194" t="s">
        <v>3975</v>
      </c>
      <c r="C194" t="s">
        <v>74</v>
      </c>
      <c r="D194" t="s">
        <v>74</v>
      </c>
      <c r="E194" t="s">
        <v>74</v>
      </c>
      <c r="F194" t="s">
        <v>3976</v>
      </c>
      <c r="G194" t="s">
        <v>74</v>
      </c>
      <c r="H194" t="s">
        <v>74</v>
      </c>
      <c r="I194" t="s">
        <v>3977</v>
      </c>
      <c r="J194" t="s">
        <v>3978</v>
      </c>
      <c r="K194" t="s">
        <v>74</v>
      </c>
      <c r="L194" t="s">
        <v>74</v>
      </c>
      <c r="M194" t="s">
        <v>78</v>
      </c>
      <c r="N194" t="s">
        <v>79</v>
      </c>
      <c r="O194" t="s">
        <v>74</v>
      </c>
      <c r="P194" t="s">
        <v>74</v>
      </c>
      <c r="Q194" t="s">
        <v>74</v>
      </c>
      <c r="R194" t="s">
        <v>74</v>
      </c>
      <c r="S194" t="s">
        <v>74</v>
      </c>
      <c r="T194" t="s">
        <v>3979</v>
      </c>
      <c r="U194" t="s">
        <v>74</v>
      </c>
      <c r="V194" t="s">
        <v>3980</v>
      </c>
      <c r="W194" t="s">
        <v>3981</v>
      </c>
      <c r="X194" t="s">
        <v>3982</v>
      </c>
      <c r="Y194" t="s">
        <v>3983</v>
      </c>
      <c r="Z194" t="s">
        <v>3984</v>
      </c>
      <c r="AA194" t="s">
        <v>74</v>
      </c>
      <c r="AB194" t="s">
        <v>3985</v>
      </c>
      <c r="AC194" t="s">
        <v>3986</v>
      </c>
      <c r="AD194" t="s">
        <v>3987</v>
      </c>
      <c r="AE194" t="s">
        <v>3988</v>
      </c>
      <c r="AF194" t="s">
        <v>74</v>
      </c>
      <c r="AG194">
        <v>14</v>
      </c>
      <c r="AH194">
        <v>2</v>
      </c>
      <c r="AI194">
        <v>2</v>
      </c>
      <c r="AJ194">
        <v>0</v>
      </c>
      <c r="AK194">
        <v>3</v>
      </c>
      <c r="AL194" t="s">
        <v>3989</v>
      </c>
      <c r="AM194" t="s">
        <v>545</v>
      </c>
      <c r="AN194" t="s">
        <v>3990</v>
      </c>
      <c r="AO194" t="s">
        <v>3991</v>
      </c>
      <c r="AP194" t="s">
        <v>3992</v>
      </c>
      <c r="AQ194" t="s">
        <v>74</v>
      </c>
      <c r="AR194" t="s">
        <v>3993</v>
      </c>
      <c r="AS194" t="s">
        <v>3994</v>
      </c>
      <c r="AT194" t="s">
        <v>2912</v>
      </c>
      <c r="AU194">
        <v>2020</v>
      </c>
      <c r="AV194">
        <v>37</v>
      </c>
      <c r="AW194">
        <v>1</v>
      </c>
      <c r="AX194" t="s">
        <v>74</v>
      </c>
      <c r="AY194" t="s">
        <v>74</v>
      </c>
      <c r="AZ194" t="s">
        <v>74</v>
      </c>
      <c r="BA194" t="s">
        <v>74</v>
      </c>
      <c r="BB194">
        <v>29</v>
      </c>
      <c r="BC194">
        <v>33</v>
      </c>
      <c r="BD194" t="s">
        <v>74</v>
      </c>
      <c r="BE194" t="s">
        <v>3995</v>
      </c>
      <c r="BF194" t="str">
        <f>HYPERLINK("http://dx.doi.org/10.3723/ut.37.029","http://dx.doi.org/10.3723/ut.37.029")</f>
        <v>http://dx.doi.org/10.3723/ut.37.029</v>
      </c>
      <c r="BG194" t="s">
        <v>74</v>
      </c>
      <c r="BH194" t="s">
        <v>74</v>
      </c>
      <c r="BI194">
        <v>5</v>
      </c>
      <c r="BJ194" t="s">
        <v>3996</v>
      </c>
      <c r="BK194" t="s">
        <v>274</v>
      </c>
      <c r="BL194" t="s">
        <v>3997</v>
      </c>
      <c r="BM194" t="s">
        <v>3998</v>
      </c>
      <c r="BN194" t="s">
        <v>74</v>
      </c>
      <c r="BO194" t="s">
        <v>2592</v>
      </c>
      <c r="BP194" t="s">
        <v>74</v>
      </c>
      <c r="BQ194" t="s">
        <v>74</v>
      </c>
      <c r="BR194" t="s">
        <v>106</v>
      </c>
      <c r="BS194" t="s">
        <v>3999</v>
      </c>
      <c r="BT194" t="str">
        <f>HYPERLINK("https%3A%2F%2Fwww.webofscience.com%2Fwos%2Fwoscc%2Ffull-record%2FWOS:000528252300004","View Full Record in Web of Science")</f>
        <v>View Full Record in Web of Science</v>
      </c>
    </row>
    <row r="195" spans="1:72" x14ac:dyDescent="0.15">
      <c r="A195" t="s">
        <v>72</v>
      </c>
      <c r="B195" t="s">
        <v>4000</v>
      </c>
      <c r="C195" t="s">
        <v>74</v>
      </c>
      <c r="D195" t="s">
        <v>74</v>
      </c>
      <c r="E195" t="s">
        <v>74</v>
      </c>
      <c r="F195" t="s">
        <v>4001</v>
      </c>
      <c r="G195" t="s">
        <v>74</v>
      </c>
      <c r="H195" t="s">
        <v>74</v>
      </c>
      <c r="I195" t="s">
        <v>4002</v>
      </c>
      <c r="J195" t="s">
        <v>4003</v>
      </c>
      <c r="K195" t="s">
        <v>74</v>
      </c>
      <c r="L195" t="s">
        <v>74</v>
      </c>
      <c r="M195" t="s">
        <v>78</v>
      </c>
      <c r="N195" t="s">
        <v>1434</v>
      </c>
      <c r="O195" t="s">
        <v>74</v>
      </c>
      <c r="P195" t="s">
        <v>74</v>
      </c>
      <c r="Q195" t="s">
        <v>74</v>
      </c>
      <c r="R195" t="s">
        <v>74</v>
      </c>
      <c r="S195" t="s">
        <v>74</v>
      </c>
      <c r="T195" t="s">
        <v>4004</v>
      </c>
      <c r="U195" t="s">
        <v>4005</v>
      </c>
      <c r="V195" t="s">
        <v>4006</v>
      </c>
      <c r="W195" t="s">
        <v>4007</v>
      </c>
      <c r="X195" t="s">
        <v>4008</v>
      </c>
      <c r="Y195" t="s">
        <v>4009</v>
      </c>
      <c r="Z195" t="s">
        <v>4010</v>
      </c>
      <c r="AA195" t="s">
        <v>4011</v>
      </c>
      <c r="AB195" t="s">
        <v>4012</v>
      </c>
      <c r="AC195" t="s">
        <v>4013</v>
      </c>
      <c r="AD195" t="s">
        <v>4014</v>
      </c>
      <c r="AE195" t="s">
        <v>4015</v>
      </c>
      <c r="AF195" t="s">
        <v>74</v>
      </c>
      <c r="AG195">
        <v>142</v>
      </c>
      <c r="AH195">
        <v>8</v>
      </c>
      <c r="AI195">
        <v>9</v>
      </c>
      <c r="AJ195">
        <v>1</v>
      </c>
      <c r="AK195">
        <v>17</v>
      </c>
      <c r="AL195" t="s">
        <v>289</v>
      </c>
      <c r="AM195" t="s">
        <v>290</v>
      </c>
      <c r="AN195" t="s">
        <v>291</v>
      </c>
      <c r="AO195" t="s">
        <v>4016</v>
      </c>
      <c r="AP195" t="s">
        <v>4017</v>
      </c>
      <c r="AQ195" t="s">
        <v>74</v>
      </c>
      <c r="AR195" t="s">
        <v>4018</v>
      </c>
      <c r="AS195" t="s">
        <v>4019</v>
      </c>
      <c r="AT195" t="s">
        <v>2912</v>
      </c>
      <c r="AU195">
        <v>2020</v>
      </c>
      <c r="AV195">
        <v>202</v>
      </c>
      <c r="AW195" t="s">
        <v>74</v>
      </c>
      <c r="AX195" t="s">
        <v>74</v>
      </c>
      <c r="AY195" t="s">
        <v>74</v>
      </c>
      <c r="AZ195" t="s">
        <v>74</v>
      </c>
      <c r="BA195" t="s">
        <v>74</v>
      </c>
      <c r="BB195" t="s">
        <v>74</v>
      </c>
      <c r="BC195" t="s">
        <v>74</v>
      </c>
      <c r="BD195">
        <v>103106</v>
      </c>
      <c r="BE195" t="s">
        <v>4020</v>
      </c>
      <c r="BF195" t="str">
        <f>HYPERLINK("http://dx.doi.org/10.1016/j.earscirev.2020.103106","http://dx.doi.org/10.1016/j.earscirev.2020.103106")</f>
        <v>http://dx.doi.org/10.1016/j.earscirev.2020.103106</v>
      </c>
      <c r="BG195" t="s">
        <v>74</v>
      </c>
      <c r="BH195" t="s">
        <v>74</v>
      </c>
      <c r="BI195">
        <v>18</v>
      </c>
      <c r="BJ195" t="s">
        <v>246</v>
      </c>
      <c r="BK195" t="s">
        <v>103</v>
      </c>
      <c r="BL195" t="s">
        <v>247</v>
      </c>
      <c r="BM195" t="s">
        <v>4021</v>
      </c>
      <c r="BN195" t="s">
        <v>74</v>
      </c>
      <c r="BO195" t="s">
        <v>298</v>
      </c>
      <c r="BP195" t="s">
        <v>74</v>
      </c>
      <c r="BQ195" t="s">
        <v>74</v>
      </c>
      <c r="BR195" t="s">
        <v>106</v>
      </c>
      <c r="BS195" t="s">
        <v>4022</v>
      </c>
      <c r="BT195" t="str">
        <f>HYPERLINK("https%3A%2F%2Fwww.webofscience.com%2Fwos%2Fwoscc%2Ffull-record%2FWOS:000526786000008","View Full Record in Web of Science")</f>
        <v>View Full Record in Web of Science</v>
      </c>
    </row>
    <row r="196" spans="1:72" x14ac:dyDescent="0.15">
      <c r="A196" t="s">
        <v>72</v>
      </c>
      <c r="B196" t="s">
        <v>4023</v>
      </c>
      <c r="C196" t="s">
        <v>74</v>
      </c>
      <c r="D196" t="s">
        <v>74</v>
      </c>
      <c r="E196" t="s">
        <v>74</v>
      </c>
      <c r="F196" t="s">
        <v>4024</v>
      </c>
      <c r="G196" t="s">
        <v>74</v>
      </c>
      <c r="H196" t="s">
        <v>74</v>
      </c>
      <c r="I196" t="s">
        <v>4025</v>
      </c>
      <c r="J196" t="s">
        <v>4026</v>
      </c>
      <c r="K196" t="s">
        <v>74</v>
      </c>
      <c r="L196" t="s">
        <v>74</v>
      </c>
      <c r="M196" t="s">
        <v>78</v>
      </c>
      <c r="N196" t="s">
        <v>79</v>
      </c>
      <c r="O196" t="s">
        <v>74</v>
      </c>
      <c r="P196" t="s">
        <v>74</v>
      </c>
      <c r="Q196" t="s">
        <v>74</v>
      </c>
      <c r="R196" t="s">
        <v>74</v>
      </c>
      <c r="S196" t="s">
        <v>74</v>
      </c>
      <c r="T196" t="s">
        <v>4027</v>
      </c>
      <c r="U196" t="s">
        <v>4028</v>
      </c>
      <c r="V196" t="s">
        <v>4029</v>
      </c>
      <c r="W196" t="s">
        <v>4030</v>
      </c>
      <c r="X196" t="s">
        <v>4031</v>
      </c>
      <c r="Y196" t="s">
        <v>4032</v>
      </c>
      <c r="Z196" t="s">
        <v>4033</v>
      </c>
      <c r="AA196" t="s">
        <v>4034</v>
      </c>
      <c r="AB196" t="s">
        <v>4035</v>
      </c>
      <c r="AC196" t="s">
        <v>4036</v>
      </c>
      <c r="AD196" t="s">
        <v>4037</v>
      </c>
      <c r="AE196" t="s">
        <v>4038</v>
      </c>
      <c r="AF196" t="s">
        <v>74</v>
      </c>
      <c r="AG196">
        <v>59</v>
      </c>
      <c r="AH196">
        <v>5</v>
      </c>
      <c r="AI196">
        <v>7</v>
      </c>
      <c r="AJ196">
        <v>1</v>
      </c>
      <c r="AK196">
        <v>7</v>
      </c>
      <c r="AL196" t="s">
        <v>289</v>
      </c>
      <c r="AM196" t="s">
        <v>290</v>
      </c>
      <c r="AN196" t="s">
        <v>291</v>
      </c>
      <c r="AO196" t="s">
        <v>4039</v>
      </c>
      <c r="AP196" t="s">
        <v>4040</v>
      </c>
      <c r="AQ196" t="s">
        <v>74</v>
      </c>
      <c r="AR196" t="s">
        <v>4026</v>
      </c>
      <c r="AS196" t="s">
        <v>4041</v>
      </c>
      <c r="AT196" t="s">
        <v>2912</v>
      </c>
      <c r="AU196">
        <v>2020</v>
      </c>
      <c r="AV196">
        <v>93</v>
      </c>
      <c r="AW196" t="s">
        <v>74</v>
      </c>
      <c r="AX196" t="s">
        <v>74</v>
      </c>
      <c r="AY196" t="s">
        <v>74</v>
      </c>
      <c r="AZ196" t="s">
        <v>74</v>
      </c>
      <c r="BA196" t="s">
        <v>74</v>
      </c>
      <c r="BB196" t="s">
        <v>74</v>
      </c>
      <c r="BC196" t="s">
        <v>74</v>
      </c>
      <c r="BD196">
        <v>101800</v>
      </c>
      <c r="BE196" t="s">
        <v>4042</v>
      </c>
      <c r="BF196" t="str">
        <f>HYPERLINK("http://dx.doi.org/10.1016/j.hal.2020.101800","http://dx.doi.org/10.1016/j.hal.2020.101800")</f>
        <v>http://dx.doi.org/10.1016/j.hal.2020.101800</v>
      </c>
      <c r="BG196" t="s">
        <v>74</v>
      </c>
      <c r="BH196" t="s">
        <v>74</v>
      </c>
      <c r="BI196">
        <v>7</v>
      </c>
      <c r="BJ196" t="s">
        <v>344</v>
      </c>
      <c r="BK196" t="s">
        <v>103</v>
      </c>
      <c r="BL196" t="s">
        <v>344</v>
      </c>
      <c r="BM196" t="s">
        <v>4043</v>
      </c>
      <c r="BN196">
        <v>32307064</v>
      </c>
      <c r="BO196" t="s">
        <v>74</v>
      </c>
      <c r="BP196" t="s">
        <v>74</v>
      </c>
      <c r="BQ196" t="s">
        <v>74</v>
      </c>
      <c r="BR196" t="s">
        <v>106</v>
      </c>
      <c r="BS196" t="s">
        <v>4044</v>
      </c>
      <c r="BT196" t="str">
        <f>HYPERLINK("https%3A%2F%2Fwww.webofscience.com%2Fwos%2Fwoscc%2Ffull-record%2FWOS:000527331100016","View Full Record in Web of Science")</f>
        <v>View Full Record in Web of Science</v>
      </c>
    </row>
    <row r="197" spans="1:72" x14ac:dyDescent="0.15">
      <c r="A197" t="s">
        <v>72</v>
      </c>
      <c r="B197" t="s">
        <v>4045</v>
      </c>
      <c r="C197" t="s">
        <v>74</v>
      </c>
      <c r="D197" t="s">
        <v>74</v>
      </c>
      <c r="E197" t="s">
        <v>74</v>
      </c>
      <c r="F197" t="s">
        <v>4046</v>
      </c>
      <c r="G197" t="s">
        <v>74</v>
      </c>
      <c r="H197" t="s">
        <v>74</v>
      </c>
      <c r="I197" t="s">
        <v>4047</v>
      </c>
      <c r="J197" t="s">
        <v>4048</v>
      </c>
      <c r="K197" t="s">
        <v>74</v>
      </c>
      <c r="L197" t="s">
        <v>74</v>
      </c>
      <c r="M197" t="s">
        <v>78</v>
      </c>
      <c r="N197" t="s">
        <v>79</v>
      </c>
      <c r="O197" t="s">
        <v>74</v>
      </c>
      <c r="P197" t="s">
        <v>74</v>
      </c>
      <c r="Q197" t="s">
        <v>74</v>
      </c>
      <c r="R197" t="s">
        <v>74</v>
      </c>
      <c r="S197" t="s">
        <v>74</v>
      </c>
      <c r="T197" t="s">
        <v>4049</v>
      </c>
      <c r="U197" t="s">
        <v>4050</v>
      </c>
      <c r="V197" t="s">
        <v>4051</v>
      </c>
      <c r="W197" t="s">
        <v>4052</v>
      </c>
      <c r="X197" t="s">
        <v>4053</v>
      </c>
      <c r="Y197" t="s">
        <v>4054</v>
      </c>
      <c r="Z197" t="s">
        <v>4055</v>
      </c>
      <c r="AA197" t="s">
        <v>4056</v>
      </c>
      <c r="AB197" t="s">
        <v>4057</v>
      </c>
      <c r="AC197" t="s">
        <v>4058</v>
      </c>
      <c r="AD197" t="s">
        <v>4059</v>
      </c>
      <c r="AE197" t="s">
        <v>4060</v>
      </c>
      <c r="AF197" t="s">
        <v>74</v>
      </c>
      <c r="AG197">
        <v>99</v>
      </c>
      <c r="AH197">
        <v>20</v>
      </c>
      <c r="AI197">
        <v>22</v>
      </c>
      <c r="AJ197">
        <v>2</v>
      </c>
      <c r="AK197">
        <v>29</v>
      </c>
      <c r="AL197" t="s">
        <v>1055</v>
      </c>
      <c r="AM197" t="s">
        <v>435</v>
      </c>
      <c r="AN197" t="s">
        <v>1056</v>
      </c>
      <c r="AO197" t="s">
        <v>4061</v>
      </c>
      <c r="AP197" t="s">
        <v>4062</v>
      </c>
      <c r="AQ197" t="s">
        <v>74</v>
      </c>
      <c r="AR197" t="s">
        <v>4063</v>
      </c>
      <c r="AS197" t="s">
        <v>4064</v>
      </c>
      <c r="AT197" t="s">
        <v>2912</v>
      </c>
      <c r="AU197">
        <v>2020</v>
      </c>
      <c r="AV197">
        <v>96</v>
      </c>
      <c r="AW197">
        <v>3</v>
      </c>
      <c r="AX197" t="s">
        <v>74</v>
      </c>
      <c r="AY197" t="s">
        <v>74</v>
      </c>
      <c r="AZ197" t="s">
        <v>74</v>
      </c>
      <c r="BA197" t="s">
        <v>74</v>
      </c>
      <c r="BB197" t="s">
        <v>74</v>
      </c>
      <c r="BC197" t="s">
        <v>74</v>
      </c>
      <c r="BD197" t="s">
        <v>4065</v>
      </c>
      <c r="BE197" t="s">
        <v>4066</v>
      </c>
      <c r="BF197" t="str">
        <f>HYPERLINK("http://dx.doi.org/10.1093/femsec/fiaa010","http://dx.doi.org/10.1093/femsec/fiaa010")</f>
        <v>http://dx.doi.org/10.1093/femsec/fiaa010</v>
      </c>
      <c r="BG197" t="s">
        <v>74</v>
      </c>
      <c r="BH197" t="s">
        <v>74</v>
      </c>
      <c r="BI197">
        <v>16</v>
      </c>
      <c r="BJ197" t="s">
        <v>273</v>
      </c>
      <c r="BK197" t="s">
        <v>103</v>
      </c>
      <c r="BL197" t="s">
        <v>273</v>
      </c>
      <c r="BM197" t="s">
        <v>4067</v>
      </c>
      <c r="BN197">
        <v>31967635</v>
      </c>
      <c r="BO197" t="s">
        <v>133</v>
      </c>
      <c r="BP197" t="s">
        <v>74</v>
      </c>
      <c r="BQ197" t="s">
        <v>74</v>
      </c>
      <c r="BR197" t="s">
        <v>106</v>
      </c>
      <c r="BS197" t="s">
        <v>4068</v>
      </c>
      <c r="BT197" t="str">
        <f>HYPERLINK("https%3A%2F%2Fwww.webofscience.com%2Fwos%2Fwoscc%2Ffull-record%2FWOS:000526682400014","View Full Record in Web of Science")</f>
        <v>View Full Record in Web of Science</v>
      </c>
    </row>
    <row r="198" spans="1:72" x14ac:dyDescent="0.15">
      <c r="A198" t="s">
        <v>72</v>
      </c>
      <c r="B198" t="s">
        <v>4069</v>
      </c>
      <c r="C198" t="s">
        <v>74</v>
      </c>
      <c r="D198" t="s">
        <v>74</v>
      </c>
      <c r="E198" t="s">
        <v>74</v>
      </c>
      <c r="F198" t="s">
        <v>4070</v>
      </c>
      <c r="G198" t="s">
        <v>74</v>
      </c>
      <c r="H198" t="s">
        <v>74</v>
      </c>
      <c r="I198" t="s">
        <v>4071</v>
      </c>
      <c r="J198" t="s">
        <v>4072</v>
      </c>
      <c r="K198" t="s">
        <v>74</v>
      </c>
      <c r="L198" t="s">
        <v>74</v>
      </c>
      <c r="M198" t="s">
        <v>78</v>
      </c>
      <c r="N198" t="s">
        <v>79</v>
      </c>
      <c r="O198" t="s">
        <v>74</v>
      </c>
      <c r="P198" t="s">
        <v>74</v>
      </c>
      <c r="Q198" t="s">
        <v>74</v>
      </c>
      <c r="R198" t="s">
        <v>74</v>
      </c>
      <c r="S198" t="s">
        <v>74</v>
      </c>
      <c r="T198" t="s">
        <v>4073</v>
      </c>
      <c r="U198" t="s">
        <v>4074</v>
      </c>
      <c r="V198" t="s">
        <v>4075</v>
      </c>
      <c r="W198" t="s">
        <v>4076</v>
      </c>
      <c r="X198" t="s">
        <v>4077</v>
      </c>
      <c r="Y198" t="s">
        <v>4078</v>
      </c>
      <c r="Z198" t="s">
        <v>4079</v>
      </c>
      <c r="AA198" t="s">
        <v>74</v>
      </c>
      <c r="AB198" t="s">
        <v>4080</v>
      </c>
      <c r="AC198" t="s">
        <v>4081</v>
      </c>
      <c r="AD198" t="s">
        <v>4082</v>
      </c>
      <c r="AE198" t="s">
        <v>4083</v>
      </c>
      <c r="AF198" t="s">
        <v>74</v>
      </c>
      <c r="AG198">
        <v>25</v>
      </c>
      <c r="AH198">
        <v>4</v>
      </c>
      <c r="AI198">
        <v>4</v>
      </c>
      <c r="AJ198">
        <v>0</v>
      </c>
      <c r="AK198">
        <v>11</v>
      </c>
      <c r="AL198" t="s">
        <v>4084</v>
      </c>
      <c r="AM198" t="s">
        <v>4085</v>
      </c>
      <c r="AN198" t="s">
        <v>4086</v>
      </c>
      <c r="AO198" t="s">
        <v>4087</v>
      </c>
      <c r="AP198" t="s">
        <v>4088</v>
      </c>
      <c r="AQ198" t="s">
        <v>74</v>
      </c>
      <c r="AR198" t="s">
        <v>4089</v>
      </c>
      <c r="AS198" t="s">
        <v>4090</v>
      </c>
      <c r="AT198" t="s">
        <v>2912</v>
      </c>
      <c r="AU198">
        <v>2020</v>
      </c>
      <c r="AV198">
        <v>77</v>
      </c>
      <c r="AW198">
        <v>3</v>
      </c>
      <c r="AX198" t="s">
        <v>74</v>
      </c>
      <c r="AY198" t="s">
        <v>74</v>
      </c>
      <c r="AZ198" t="s">
        <v>74</v>
      </c>
      <c r="BA198" t="s">
        <v>74</v>
      </c>
      <c r="BB198">
        <v>1167</v>
      </c>
      <c r="BC198">
        <v>1180</v>
      </c>
      <c r="BD198" t="s">
        <v>74</v>
      </c>
      <c r="BE198" t="s">
        <v>4091</v>
      </c>
      <c r="BF198" t="str">
        <f>HYPERLINK("http://dx.doi.org/10.1175/JAS-D-19-0232.1","http://dx.doi.org/10.1175/JAS-D-19-0232.1")</f>
        <v>http://dx.doi.org/10.1175/JAS-D-19-0232.1</v>
      </c>
      <c r="BG198" t="s">
        <v>74</v>
      </c>
      <c r="BH198" t="s">
        <v>74</v>
      </c>
      <c r="BI198">
        <v>14</v>
      </c>
      <c r="BJ198" t="s">
        <v>907</v>
      </c>
      <c r="BK198" t="s">
        <v>103</v>
      </c>
      <c r="BL198" t="s">
        <v>907</v>
      </c>
      <c r="BM198" t="s">
        <v>4092</v>
      </c>
      <c r="BN198" t="s">
        <v>74</v>
      </c>
      <c r="BO198" t="s">
        <v>193</v>
      </c>
      <c r="BP198" t="s">
        <v>74</v>
      </c>
      <c r="BQ198" t="s">
        <v>74</v>
      </c>
      <c r="BR198" t="s">
        <v>106</v>
      </c>
      <c r="BS198" t="s">
        <v>4093</v>
      </c>
      <c r="BT198" t="str">
        <f>HYPERLINK("https%3A%2F%2Fwww.webofscience.com%2Fwos%2Fwoscc%2Ffull-record%2FWOS:000526715300003","View Full Record in Web of Science")</f>
        <v>View Full Record in Web of Science</v>
      </c>
    </row>
    <row r="199" spans="1:72" x14ac:dyDescent="0.15">
      <c r="A199" t="s">
        <v>72</v>
      </c>
      <c r="B199" t="s">
        <v>4094</v>
      </c>
      <c r="C199" t="s">
        <v>74</v>
      </c>
      <c r="D199" t="s">
        <v>74</v>
      </c>
      <c r="E199" t="s">
        <v>74</v>
      </c>
      <c r="F199" t="s">
        <v>4095</v>
      </c>
      <c r="G199" t="s">
        <v>74</v>
      </c>
      <c r="H199" t="s">
        <v>74</v>
      </c>
      <c r="I199" t="s">
        <v>4096</v>
      </c>
      <c r="J199" t="s">
        <v>4097</v>
      </c>
      <c r="K199" t="s">
        <v>74</v>
      </c>
      <c r="L199" t="s">
        <v>74</v>
      </c>
      <c r="M199" t="s">
        <v>78</v>
      </c>
      <c r="N199" t="s">
        <v>79</v>
      </c>
      <c r="O199" t="s">
        <v>74</v>
      </c>
      <c r="P199" t="s">
        <v>74</v>
      </c>
      <c r="Q199" t="s">
        <v>74</v>
      </c>
      <c r="R199" t="s">
        <v>74</v>
      </c>
      <c r="S199" t="s">
        <v>74</v>
      </c>
      <c r="T199" t="s">
        <v>4098</v>
      </c>
      <c r="U199" t="s">
        <v>4099</v>
      </c>
      <c r="V199" t="s">
        <v>4100</v>
      </c>
      <c r="W199" t="s">
        <v>4101</v>
      </c>
      <c r="X199" t="s">
        <v>4102</v>
      </c>
      <c r="Y199" t="s">
        <v>4103</v>
      </c>
      <c r="Z199" t="s">
        <v>4104</v>
      </c>
      <c r="AA199" t="s">
        <v>4105</v>
      </c>
      <c r="AB199" t="s">
        <v>4106</v>
      </c>
      <c r="AC199" t="s">
        <v>4107</v>
      </c>
      <c r="AD199" t="s">
        <v>4108</v>
      </c>
      <c r="AE199" t="s">
        <v>4109</v>
      </c>
      <c r="AF199" t="s">
        <v>74</v>
      </c>
      <c r="AG199">
        <v>68</v>
      </c>
      <c r="AH199">
        <v>12</v>
      </c>
      <c r="AI199">
        <v>12</v>
      </c>
      <c r="AJ199">
        <v>1</v>
      </c>
      <c r="AK199">
        <v>19</v>
      </c>
      <c r="AL199" t="s">
        <v>3817</v>
      </c>
      <c r="AM199" t="s">
        <v>3818</v>
      </c>
      <c r="AN199" t="s">
        <v>3819</v>
      </c>
      <c r="AO199" t="s">
        <v>74</v>
      </c>
      <c r="AP199" t="s">
        <v>4110</v>
      </c>
      <c r="AQ199" t="s">
        <v>74</v>
      </c>
      <c r="AR199" t="s">
        <v>4097</v>
      </c>
      <c r="AS199" t="s">
        <v>4111</v>
      </c>
      <c r="AT199" t="s">
        <v>2912</v>
      </c>
      <c r="AU199">
        <v>2020</v>
      </c>
      <c r="AV199">
        <v>8</v>
      </c>
      <c r="AW199">
        <v>3</v>
      </c>
      <c r="AX199" t="s">
        <v>74</v>
      </c>
      <c r="AY199" t="s">
        <v>74</v>
      </c>
      <c r="AZ199" t="s">
        <v>74</v>
      </c>
      <c r="BA199" t="s">
        <v>74</v>
      </c>
      <c r="BB199" t="s">
        <v>74</v>
      </c>
      <c r="BC199" t="s">
        <v>74</v>
      </c>
      <c r="BD199">
        <v>404</v>
      </c>
      <c r="BE199" t="s">
        <v>4112</v>
      </c>
      <c r="BF199" t="str">
        <f>HYPERLINK("http://dx.doi.org/10.3390/microorganisms8030404","http://dx.doi.org/10.3390/microorganisms8030404")</f>
        <v>http://dx.doi.org/10.3390/microorganisms8030404</v>
      </c>
      <c r="BG199" t="s">
        <v>74</v>
      </c>
      <c r="BH199" t="s">
        <v>74</v>
      </c>
      <c r="BI199">
        <v>14</v>
      </c>
      <c r="BJ199" t="s">
        <v>273</v>
      </c>
      <c r="BK199" t="s">
        <v>103</v>
      </c>
      <c r="BL199" t="s">
        <v>273</v>
      </c>
      <c r="BM199" t="s">
        <v>4113</v>
      </c>
      <c r="BN199">
        <v>32183078</v>
      </c>
      <c r="BO199" t="s">
        <v>1359</v>
      </c>
      <c r="BP199" t="s">
        <v>74</v>
      </c>
      <c r="BQ199" t="s">
        <v>74</v>
      </c>
      <c r="BR199" t="s">
        <v>106</v>
      </c>
      <c r="BS199" t="s">
        <v>4114</v>
      </c>
      <c r="BT199" t="str">
        <f>HYPERLINK("https%3A%2F%2Fwww.webofscience.com%2Fwos%2Fwoscc%2Ffull-record%2FWOS:000525952700092","View Full Record in Web of Science")</f>
        <v>View Full Record in Web of Science</v>
      </c>
    </row>
    <row r="200" spans="1:72" x14ac:dyDescent="0.15">
      <c r="A200" t="s">
        <v>72</v>
      </c>
      <c r="B200" t="s">
        <v>4115</v>
      </c>
      <c r="C200" t="s">
        <v>74</v>
      </c>
      <c r="D200" t="s">
        <v>74</v>
      </c>
      <c r="E200" t="s">
        <v>74</v>
      </c>
      <c r="F200" t="s">
        <v>4116</v>
      </c>
      <c r="G200" t="s">
        <v>74</v>
      </c>
      <c r="H200" t="s">
        <v>74</v>
      </c>
      <c r="I200" t="s">
        <v>4117</v>
      </c>
      <c r="J200" t="s">
        <v>4118</v>
      </c>
      <c r="K200" t="s">
        <v>74</v>
      </c>
      <c r="L200" t="s">
        <v>74</v>
      </c>
      <c r="M200" t="s">
        <v>78</v>
      </c>
      <c r="N200" t="s">
        <v>79</v>
      </c>
      <c r="O200" t="s">
        <v>74</v>
      </c>
      <c r="P200" t="s">
        <v>74</v>
      </c>
      <c r="Q200" t="s">
        <v>74</v>
      </c>
      <c r="R200" t="s">
        <v>74</v>
      </c>
      <c r="S200" t="s">
        <v>74</v>
      </c>
      <c r="T200" t="s">
        <v>4119</v>
      </c>
      <c r="U200" t="s">
        <v>4120</v>
      </c>
      <c r="V200" t="s">
        <v>4121</v>
      </c>
      <c r="W200" t="s">
        <v>4122</v>
      </c>
      <c r="X200" t="s">
        <v>4123</v>
      </c>
      <c r="Y200" t="s">
        <v>4124</v>
      </c>
      <c r="Z200" t="s">
        <v>4125</v>
      </c>
      <c r="AA200" t="s">
        <v>74</v>
      </c>
      <c r="AB200" t="s">
        <v>74</v>
      </c>
      <c r="AC200" t="s">
        <v>4126</v>
      </c>
      <c r="AD200" t="s">
        <v>4127</v>
      </c>
      <c r="AE200" t="s">
        <v>4128</v>
      </c>
      <c r="AF200" t="s">
        <v>74</v>
      </c>
      <c r="AG200">
        <v>46</v>
      </c>
      <c r="AH200">
        <v>2</v>
      </c>
      <c r="AI200">
        <v>2</v>
      </c>
      <c r="AJ200">
        <v>0</v>
      </c>
      <c r="AK200">
        <v>1</v>
      </c>
      <c r="AL200" t="s">
        <v>4129</v>
      </c>
      <c r="AM200" t="s">
        <v>4130</v>
      </c>
      <c r="AN200" t="s">
        <v>4131</v>
      </c>
      <c r="AO200" t="s">
        <v>4132</v>
      </c>
      <c r="AP200" t="s">
        <v>4133</v>
      </c>
      <c r="AQ200" t="s">
        <v>74</v>
      </c>
      <c r="AR200" t="s">
        <v>4134</v>
      </c>
      <c r="AS200" t="s">
        <v>4135</v>
      </c>
      <c r="AT200" t="s">
        <v>2912</v>
      </c>
      <c r="AU200">
        <v>2020</v>
      </c>
      <c r="AV200">
        <v>58</v>
      </c>
      <c r="AW200">
        <v>2</v>
      </c>
      <c r="AX200" t="s">
        <v>74</v>
      </c>
      <c r="AY200" t="s">
        <v>74</v>
      </c>
      <c r="AZ200" t="s">
        <v>74</v>
      </c>
      <c r="BA200" t="s">
        <v>74</v>
      </c>
      <c r="BB200">
        <v>191</v>
      </c>
      <c r="BC200">
        <v>201</v>
      </c>
      <c r="BD200" t="s">
        <v>74</v>
      </c>
      <c r="BE200" t="s">
        <v>4136</v>
      </c>
      <c r="BF200" t="str">
        <f>HYPERLINK("http://dx.doi.org/10.3749/canmin.1900075","http://dx.doi.org/10.3749/canmin.1900075")</f>
        <v>http://dx.doi.org/10.3749/canmin.1900075</v>
      </c>
      <c r="BG200" t="s">
        <v>74</v>
      </c>
      <c r="BH200" t="s">
        <v>74</v>
      </c>
      <c r="BI200">
        <v>11</v>
      </c>
      <c r="BJ200" t="s">
        <v>4137</v>
      </c>
      <c r="BK200" t="s">
        <v>103</v>
      </c>
      <c r="BL200" t="s">
        <v>4137</v>
      </c>
      <c r="BM200" t="s">
        <v>4138</v>
      </c>
      <c r="BN200" t="s">
        <v>74</v>
      </c>
      <c r="BO200" t="s">
        <v>74</v>
      </c>
      <c r="BP200" t="s">
        <v>74</v>
      </c>
      <c r="BQ200" t="s">
        <v>74</v>
      </c>
      <c r="BR200" t="s">
        <v>106</v>
      </c>
      <c r="BS200" t="s">
        <v>4139</v>
      </c>
      <c r="BT200" t="str">
        <f>HYPERLINK("https%3A%2F%2Fwww.webofscience.com%2Fwos%2Fwoscc%2Ffull-record%2FWOS:000525302200004","View Full Record in Web of Science")</f>
        <v>View Full Record in Web of Science</v>
      </c>
    </row>
    <row r="201" spans="1:72" x14ac:dyDescent="0.15">
      <c r="A201" t="s">
        <v>72</v>
      </c>
      <c r="B201" t="s">
        <v>4140</v>
      </c>
      <c r="C201" t="s">
        <v>74</v>
      </c>
      <c r="D201" t="s">
        <v>74</v>
      </c>
      <c r="E201" t="s">
        <v>74</v>
      </c>
      <c r="F201" t="s">
        <v>4141</v>
      </c>
      <c r="G201" t="s">
        <v>74</v>
      </c>
      <c r="H201" t="s">
        <v>74</v>
      </c>
      <c r="I201" t="s">
        <v>4142</v>
      </c>
      <c r="J201" t="s">
        <v>226</v>
      </c>
      <c r="K201" t="s">
        <v>74</v>
      </c>
      <c r="L201" t="s">
        <v>74</v>
      </c>
      <c r="M201" t="s">
        <v>78</v>
      </c>
      <c r="N201" t="s">
        <v>79</v>
      </c>
      <c r="O201" t="s">
        <v>74</v>
      </c>
      <c r="P201" t="s">
        <v>74</v>
      </c>
      <c r="Q201" t="s">
        <v>74</v>
      </c>
      <c r="R201" t="s">
        <v>74</v>
      </c>
      <c r="S201" t="s">
        <v>74</v>
      </c>
      <c r="T201" t="s">
        <v>4143</v>
      </c>
      <c r="U201" t="s">
        <v>4144</v>
      </c>
      <c r="V201" t="s">
        <v>4145</v>
      </c>
      <c r="W201" t="s">
        <v>4146</v>
      </c>
      <c r="X201" t="s">
        <v>4147</v>
      </c>
      <c r="Y201" t="s">
        <v>4148</v>
      </c>
      <c r="Z201" t="s">
        <v>4149</v>
      </c>
      <c r="AA201" t="s">
        <v>74</v>
      </c>
      <c r="AB201" t="s">
        <v>4150</v>
      </c>
      <c r="AC201" t="s">
        <v>4151</v>
      </c>
      <c r="AD201" t="s">
        <v>4152</v>
      </c>
      <c r="AE201" t="s">
        <v>4153</v>
      </c>
      <c r="AF201" t="s">
        <v>74</v>
      </c>
      <c r="AG201">
        <v>91</v>
      </c>
      <c r="AH201">
        <v>17</v>
      </c>
      <c r="AI201">
        <v>17</v>
      </c>
      <c r="AJ201">
        <v>0</v>
      </c>
      <c r="AK201">
        <v>4</v>
      </c>
      <c r="AL201" t="s">
        <v>238</v>
      </c>
      <c r="AM201" t="s">
        <v>166</v>
      </c>
      <c r="AN201" t="s">
        <v>239</v>
      </c>
      <c r="AO201" t="s">
        <v>240</v>
      </c>
      <c r="AP201" t="s">
        <v>241</v>
      </c>
      <c r="AQ201" t="s">
        <v>74</v>
      </c>
      <c r="AR201" t="s">
        <v>242</v>
      </c>
      <c r="AS201" t="s">
        <v>243</v>
      </c>
      <c r="AT201" t="s">
        <v>2912</v>
      </c>
      <c r="AU201">
        <v>2020</v>
      </c>
      <c r="AV201">
        <v>157</v>
      </c>
      <c r="AW201">
        <v>3</v>
      </c>
      <c r="AX201" t="s">
        <v>74</v>
      </c>
      <c r="AY201" t="s">
        <v>74</v>
      </c>
      <c r="AZ201" t="s">
        <v>74</v>
      </c>
      <c r="BA201" t="s">
        <v>74</v>
      </c>
      <c r="BB201">
        <v>351</v>
      </c>
      <c r="BC201">
        <v>366</v>
      </c>
      <c r="BD201" t="s">
        <v>4154</v>
      </c>
      <c r="BE201" t="s">
        <v>4155</v>
      </c>
      <c r="BF201" t="str">
        <f>HYPERLINK("http://dx.doi.org/10.1017/S0016756819000591","http://dx.doi.org/10.1017/S0016756819000591")</f>
        <v>http://dx.doi.org/10.1017/S0016756819000591</v>
      </c>
      <c r="BG201" t="s">
        <v>74</v>
      </c>
      <c r="BH201" t="s">
        <v>74</v>
      </c>
      <c r="BI201">
        <v>16</v>
      </c>
      <c r="BJ201" t="s">
        <v>246</v>
      </c>
      <c r="BK201" t="s">
        <v>103</v>
      </c>
      <c r="BL201" t="s">
        <v>247</v>
      </c>
      <c r="BM201" t="s">
        <v>4156</v>
      </c>
      <c r="BN201" t="s">
        <v>74</v>
      </c>
      <c r="BO201" t="s">
        <v>74</v>
      </c>
      <c r="BP201" t="s">
        <v>74</v>
      </c>
      <c r="BQ201" t="s">
        <v>74</v>
      </c>
      <c r="BR201" t="s">
        <v>106</v>
      </c>
      <c r="BS201" t="s">
        <v>4157</v>
      </c>
      <c r="BT201" t="str">
        <f>HYPERLINK("https%3A%2F%2Fwww.webofscience.com%2Fwos%2Fwoscc%2Ffull-record%2FWOS:000524942400001","View Full Record in Web of Science")</f>
        <v>View Full Record in Web of Science</v>
      </c>
    </row>
    <row r="202" spans="1:72" x14ac:dyDescent="0.15">
      <c r="A202" t="s">
        <v>72</v>
      </c>
      <c r="B202" t="s">
        <v>4158</v>
      </c>
      <c r="C202" t="s">
        <v>74</v>
      </c>
      <c r="D202" t="s">
        <v>74</v>
      </c>
      <c r="E202" t="s">
        <v>74</v>
      </c>
      <c r="F202" t="s">
        <v>4159</v>
      </c>
      <c r="G202" t="s">
        <v>74</v>
      </c>
      <c r="H202" t="s">
        <v>74</v>
      </c>
      <c r="I202" t="s">
        <v>4160</v>
      </c>
      <c r="J202" t="s">
        <v>4161</v>
      </c>
      <c r="K202" t="s">
        <v>74</v>
      </c>
      <c r="L202" t="s">
        <v>74</v>
      </c>
      <c r="M202" t="s">
        <v>78</v>
      </c>
      <c r="N202" t="s">
        <v>79</v>
      </c>
      <c r="O202" t="s">
        <v>74</v>
      </c>
      <c r="P202" t="s">
        <v>74</v>
      </c>
      <c r="Q202" t="s">
        <v>74</v>
      </c>
      <c r="R202" t="s">
        <v>74</v>
      </c>
      <c r="S202" t="s">
        <v>74</v>
      </c>
      <c r="T202" t="s">
        <v>4162</v>
      </c>
      <c r="U202" t="s">
        <v>4163</v>
      </c>
      <c r="V202" t="s">
        <v>4164</v>
      </c>
      <c r="W202" t="s">
        <v>4165</v>
      </c>
      <c r="X202" t="s">
        <v>4166</v>
      </c>
      <c r="Y202" t="s">
        <v>4167</v>
      </c>
      <c r="Z202" t="s">
        <v>4168</v>
      </c>
      <c r="AA202" t="s">
        <v>4169</v>
      </c>
      <c r="AB202" t="s">
        <v>4170</v>
      </c>
      <c r="AC202" t="s">
        <v>4171</v>
      </c>
      <c r="AD202" t="s">
        <v>4171</v>
      </c>
      <c r="AE202" t="s">
        <v>4172</v>
      </c>
      <c r="AF202" t="s">
        <v>74</v>
      </c>
      <c r="AG202">
        <v>59</v>
      </c>
      <c r="AH202">
        <v>7</v>
      </c>
      <c r="AI202">
        <v>7</v>
      </c>
      <c r="AJ202">
        <v>1</v>
      </c>
      <c r="AK202">
        <v>17</v>
      </c>
      <c r="AL202" t="s">
        <v>3817</v>
      </c>
      <c r="AM202" t="s">
        <v>3818</v>
      </c>
      <c r="AN202" t="s">
        <v>3819</v>
      </c>
      <c r="AO202" t="s">
        <v>74</v>
      </c>
      <c r="AP202" t="s">
        <v>4173</v>
      </c>
      <c r="AQ202" t="s">
        <v>74</v>
      </c>
      <c r="AR202" t="s">
        <v>4174</v>
      </c>
      <c r="AS202" t="s">
        <v>4175</v>
      </c>
      <c r="AT202" t="s">
        <v>2912</v>
      </c>
      <c r="AU202">
        <v>2020</v>
      </c>
      <c r="AV202">
        <v>21</v>
      </c>
      <c r="AW202">
        <v>5</v>
      </c>
      <c r="AX202" t="s">
        <v>74</v>
      </c>
      <c r="AY202" t="s">
        <v>74</v>
      </c>
      <c r="AZ202" t="s">
        <v>74</v>
      </c>
      <c r="BA202" t="s">
        <v>74</v>
      </c>
      <c r="BB202" t="s">
        <v>74</v>
      </c>
      <c r="BC202" t="s">
        <v>74</v>
      </c>
      <c r="BD202">
        <v>1670</v>
      </c>
      <c r="BE202" t="s">
        <v>4176</v>
      </c>
      <c r="BF202" t="str">
        <f>HYPERLINK("http://dx.doi.org/10.3390/ijms21051670","http://dx.doi.org/10.3390/ijms21051670")</f>
        <v>http://dx.doi.org/10.3390/ijms21051670</v>
      </c>
      <c r="BG202" t="s">
        <v>74</v>
      </c>
      <c r="BH202" t="s">
        <v>74</v>
      </c>
      <c r="BI202">
        <v>19</v>
      </c>
      <c r="BJ202" t="s">
        <v>4177</v>
      </c>
      <c r="BK202" t="s">
        <v>103</v>
      </c>
      <c r="BL202" t="s">
        <v>2116</v>
      </c>
      <c r="BM202" t="s">
        <v>4178</v>
      </c>
      <c r="BN202">
        <v>32121355</v>
      </c>
      <c r="BO202" t="s">
        <v>276</v>
      </c>
      <c r="BP202" t="s">
        <v>74</v>
      </c>
      <c r="BQ202" t="s">
        <v>74</v>
      </c>
      <c r="BR202" t="s">
        <v>106</v>
      </c>
      <c r="BS202" t="s">
        <v>4179</v>
      </c>
      <c r="BT202" t="str">
        <f>HYPERLINK("https%3A%2F%2Fwww.webofscience.com%2Fwos%2Fwoscc%2Ffull-record%2FWOS:000524908500121","View Full Record in Web of Science")</f>
        <v>View Full Record in Web of Science</v>
      </c>
    </row>
    <row r="203" spans="1:72" x14ac:dyDescent="0.15">
      <c r="A203" t="s">
        <v>72</v>
      </c>
      <c r="B203" t="s">
        <v>4180</v>
      </c>
      <c r="C203" t="s">
        <v>74</v>
      </c>
      <c r="D203" t="s">
        <v>74</v>
      </c>
      <c r="E203" t="s">
        <v>74</v>
      </c>
      <c r="F203" t="s">
        <v>4181</v>
      </c>
      <c r="G203" t="s">
        <v>74</v>
      </c>
      <c r="H203" t="s">
        <v>74</v>
      </c>
      <c r="I203" t="s">
        <v>4182</v>
      </c>
      <c r="J203" t="s">
        <v>4183</v>
      </c>
      <c r="K203" t="s">
        <v>74</v>
      </c>
      <c r="L203" t="s">
        <v>74</v>
      </c>
      <c r="M203" t="s">
        <v>78</v>
      </c>
      <c r="N203" t="s">
        <v>79</v>
      </c>
      <c r="O203" t="s">
        <v>74</v>
      </c>
      <c r="P203" t="s">
        <v>74</v>
      </c>
      <c r="Q203" t="s">
        <v>74</v>
      </c>
      <c r="R203" t="s">
        <v>74</v>
      </c>
      <c r="S203" t="s">
        <v>74</v>
      </c>
      <c r="T203" t="s">
        <v>4184</v>
      </c>
      <c r="U203" t="s">
        <v>4185</v>
      </c>
      <c r="V203" t="s">
        <v>4186</v>
      </c>
      <c r="W203" t="s">
        <v>4187</v>
      </c>
      <c r="X203" t="s">
        <v>4188</v>
      </c>
      <c r="Y203" t="s">
        <v>4189</v>
      </c>
      <c r="Z203" t="s">
        <v>4190</v>
      </c>
      <c r="AA203" t="s">
        <v>4191</v>
      </c>
      <c r="AB203" t="s">
        <v>4192</v>
      </c>
      <c r="AC203" t="s">
        <v>4193</v>
      </c>
      <c r="AD203" t="s">
        <v>4194</v>
      </c>
      <c r="AE203" t="s">
        <v>4195</v>
      </c>
      <c r="AF203" t="s">
        <v>74</v>
      </c>
      <c r="AG203">
        <v>70</v>
      </c>
      <c r="AH203">
        <v>20</v>
      </c>
      <c r="AI203">
        <v>22</v>
      </c>
      <c r="AJ203">
        <v>0</v>
      </c>
      <c r="AK203">
        <v>2</v>
      </c>
      <c r="AL203" t="s">
        <v>3817</v>
      </c>
      <c r="AM203" t="s">
        <v>3818</v>
      </c>
      <c r="AN203" t="s">
        <v>3819</v>
      </c>
      <c r="AO203" t="s">
        <v>74</v>
      </c>
      <c r="AP203" t="s">
        <v>4196</v>
      </c>
      <c r="AQ203" t="s">
        <v>74</v>
      </c>
      <c r="AR203" t="s">
        <v>4183</v>
      </c>
      <c r="AS203" t="s">
        <v>4197</v>
      </c>
      <c r="AT203" t="s">
        <v>2912</v>
      </c>
      <c r="AU203">
        <v>2020</v>
      </c>
      <c r="AV203">
        <v>12</v>
      </c>
      <c r="AW203">
        <v>3</v>
      </c>
      <c r="AX203" t="s">
        <v>74</v>
      </c>
      <c r="AY203" t="s">
        <v>74</v>
      </c>
      <c r="AZ203" t="s">
        <v>74</v>
      </c>
      <c r="BA203" t="s">
        <v>74</v>
      </c>
      <c r="BB203" t="s">
        <v>74</v>
      </c>
      <c r="BC203" t="s">
        <v>74</v>
      </c>
      <c r="BD203">
        <v>108</v>
      </c>
      <c r="BE203" t="s">
        <v>4198</v>
      </c>
      <c r="BF203" t="str">
        <f>HYPERLINK("http://dx.doi.org/10.3390/d12030108","http://dx.doi.org/10.3390/d12030108")</f>
        <v>http://dx.doi.org/10.3390/d12030108</v>
      </c>
      <c r="BG203" t="s">
        <v>74</v>
      </c>
      <c r="BH203" t="s">
        <v>74</v>
      </c>
      <c r="BI203">
        <v>22</v>
      </c>
      <c r="BJ203" t="s">
        <v>130</v>
      </c>
      <c r="BK203" t="s">
        <v>103</v>
      </c>
      <c r="BL203" t="s">
        <v>131</v>
      </c>
      <c r="BM203" t="s">
        <v>4199</v>
      </c>
      <c r="BN203" t="s">
        <v>74</v>
      </c>
      <c r="BO203" t="s">
        <v>2592</v>
      </c>
      <c r="BP203" t="s">
        <v>74</v>
      </c>
      <c r="BQ203" t="s">
        <v>74</v>
      </c>
      <c r="BR203" t="s">
        <v>106</v>
      </c>
      <c r="BS203" t="s">
        <v>4200</v>
      </c>
      <c r="BT203" t="str">
        <f>HYPERLINK("https%3A%2F%2Fwww.webofscience.com%2Fwos%2Fwoscc%2Ffull-record%2FWOS:000524229800035","View Full Record in Web of Science")</f>
        <v>View Full Record in Web of Science</v>
      </c>
    </row>
    <row r="204" spans="1:72" x14ac:dyDescent="0.15">
      <c r="A204" t="s">
        <v>72</v>
      </c>
      <c r="B204" t="s">
        <v>4201</v>
      </c>
      <c r="C204" t="s">
        <v>74</v>
      </c>
      <c r="D204" t="s">
        <v>74</v>
      </c>
      <c r="E204" t="s">
        <v>74</v>
      </c>
      <c r="F204" t="s">
        <v>4202</v>
      </c>
      <c r="G204" t="s">
        <v>74</v>
      </c>
      <c r="H204" t="s">
        <v>74</v>
      </c>
      <c r="I204" t="s">
        <v>4203</v>
      </c>
      <c r="J204" t="s">
        <v>4204</v>
      </c>
      <c r="K204" t="s">
        <v>74</v>
      </c>
      <c r="L204" t="s">
        <v>74</v>
      </c>
      <c r="M204" t="s">
        <v>78</v>
      </c>
      <c r="N204" t="s">
        <v>1226</v>
      </c>
      <c r="O204" t="s">
        <v>74</v>
      </c>
      <c r="P204" t="s">
        <v>74</v>
      </c>
      <c r="Q204" t="s">
        <v>74</v>
      </c>
      <c r="R204" t="s">
        <v>74</v>
      </c>
      <c r="S204" t="s">
        <v>74</v>
      </c>
      <c r="T204" t="s">
        <v>74</v>
      </c>
      <c r="U204" t="s">
        <v>74</v>
      </c>
      <c r="V204" t="s">
        <v>74</v>
      </c>
      <c r="W204" t="s">
        <v>4205</v>
      </c>
      <c r="X204" t="s">
        <v>4206</v>
      </c>
      <c r="Y204" t="s">
        <v>4207</v>
      </c>
      <c r="Z204" t="s">
        <v>74</v>
      </c>
      <c r="AA204" t="s">
        <v>4208</v>
      </c>
      <c r="AB204" t="s">
        <v>4209</v>
      </c>
      <c r="AC204" t="s">
        <v>74</v>
      </c>
      <c r="AD204" t="s">
        <v>74</v>
      </c>
      <c r="AE204" t="s">
        <v>74</v>
      </c>
      <c r="AF204" t="s">
        <v>74</v>
      </c>
      <c r="AG204">
        <v>1</v>
      </c>
      <c r="AH204">
        <v>1</v>
      </c>
      <c r="AI204">
        <v>1</v>
      </c>
      <c r="AJ204">
        <v>0</v>
      </c>
      <c r="AK204">
        <v>12</v>
      </c>
      <c r="AL204" t="s">
        <v>1055</v>
      </c>
      <c r="AM204" t="s">
        <v>435</v>
      </c>
      <c r="AN204" t="s">
        <v>1056</v>
      </c>
      <c r="AO204" t="s">
        <v>4210</v>
      </c>
      <c r="AP204" t="s">
        <v>74</v>
      </c>
      <c r="AQ204" t="s">
        <v>74</v>
      </c>
      <c r="AR204" t="s">
        <v>4204</v>
      </c>
      <c r="AS204" t="s">
        <v>4211</v>
      </c>
      <c r="AT204" t="s">
        <v>2912</v>
      </c>
      <c r="AU204">
        <v>2020</v>
      </c>
      <c r="AV204">
        <v>9</v>
      </c>
      <c r="AW204">
        <v>3</v>
      </c>
      <c r="AX204" t="s">
        <v>74</v>
      </c>
      <c r="AY204" t="s">
        <v>74</v>
      </c>
      <c r="AZ204" t="s">
        <v>74</v>
      </c>
      <c r="BA204" t="s">
        <v>74</v>
      </c>
      <c r="BB204" t="s">
        <v>74</v>
      </c>
      <c r="BC204" t="s">
        <v>74</v>
      </c>
      <c r="BD204" t="s">
        <v>4212</v>
      </c>
      <c r="BE204" t="s">
        <v>4213</v>
      </c>
      <c r="BF204" t="str">
        <f>HYPERLINK("http://dx.doi.org/10.1093/gigascience/giaa031","http://dx.doi.org/10.1093/gigascience/giaa031")</f>
        <v>http://dx.doi.org/10.1093/gigascience/giaa031</v>
      </c>
      <c r="BG204" t="s">
        <v>74</v>
      </c>
      <c r="BH204" t="s">
        <v>74</v>
      </c>
      <c r="BI204">
        <v>2</v>
      </c>
      <c r="BJ204" t="s">
        <v>2750</v>
      </c>
      <c r="BK204" t="s">
        <v>103</v>
      </c>
      <c r="BL204" t="s">
        <v>2751</v>
      </c>
      <c r="BM204" t="s">
        <v>4214</v>
      </c>
      <c r="BN204">
        <v>32191810</v>
      </c>
      <c r="BO204" t="s">
        <v>276</v>
      </c>
      <c r="BP204" t="s">
        <v>74</v>
      </c>
      <c r="BQ204" t="s">
        <v>74</v>
      </c>
      <c r="BR204" t="s">
        <v>106</v>
      </c>
      <c r="BS204" t="s">
        <v>4215</v>
      </c>
      <c r="BT204" t="str">
        <f>HYPERLINK("https%3A%2F%2Fwww.webofscience.com%2Fwos%2Fwoscc%2Ffull-record%2FWOS:000524699400015","View Full Record in Web of Science")</f>
        <v>View Full Record in Web of Science</v>
      </c>
    </row>
    <row r="205" spans="1:72" x14ac:dyDescent="0.15">
      <c r="A205" t="s">
        <v>72</v>
      </c>
      <c r="B205" t="s">
        <v>4216</v>
      </c>
      <c r="C205" t="s">
        <v>74</v>
      </c>
      <c r="D205" t="s">
        <v>74</v>
      </c>
      <c r="E205" t="s">
        <v>74</v>
      </c>
      <c r="F205" t="s">
        <v>4217</v>
      </c>
      <c r="G205" t="s">
        <v>74</v>
      </c>
      <c r="H205" t="s">
        <v>74</v>
      </c>
      <c r="I205" t="s">
        <v>4218</v>
      </c>
      <c r="J205" t="s">
        <v>4219</v>
      </c>
      <c r="K205" t="s">
        <v>74</v>
      </c>
      <c r="L205" t="s">
        <v>74</v>
      </c>
      <c r="M205" t="s">
        <v>78</v>
      </c>
      <c r="N205" t="s">
        <v>1434</v>
      </c>
      <c r="O205" t="s">
        <v>74</v>
      </c>
      <c r="P205" t="s">
        <v>74</v>
      </c>
      <c r="Q205" t="s">
        <v>74</v>
      </c>
      <c r="R205" t="s">
        <v>74</v>
      </c>
      <c r="S205" t="s">
        <v>74</v>
      </c>
      <c r="T205" t="s">
        <v>4220</v>
      </c>
      <c r="U205" t="s">
        <v>4221</v>
      </c>
      <c r="V205" t="s">
        <v>4222</v>
      </c>
      <c r="W205" t="s">
        <v>4223</v>
      </c>
      <c r="X205" t="s">
        <v>4224</v>
      </c>
      <c r="Y205" t="s">
        <v>4225</v>
      </c>
      <c r="Z205" t="s">
        <v>4226</v>
      </c>
      <c r="AA205" t="s">
        <v>4227</v>
      </c>
      <c r="AB205" t="s">
        <v>4228</v>
      </c>
      <c r="AC205" t="s">
        <v>4229</v>
      </c>
      <c r="AD205" t="s">
        <v>4230</v>
      </c>
      <c r="AE205" t="s">
        <v>4231</v>
      </c>
      <c r="AF205" t="s">
        <v>74</v>
      </c>
      <c r="AG205">
        <v>99</v>
      </c>
      <c r="AH205">
        <v>49</v>
      </c>
      <c r="AI205">
        <v>49</v>
      </c>
      <c r="AJ205">
        <v>9</v>
      </c>
      <c r="AK205">
        <v>108</v>
      </c>
      <c r="AL205" t="s">
        <v>3839</v>
      </c>
      <c r="AM205" t="s">
        <v>166</v>
      </c>
      <c r="AN205" t="s">
        <v>3840</v>
      </c>
      <c r="AO205" t="s">
        <v>4232</v>
      </c>
      <c r="AP205" t="s">
        <v>4233</v>
      </c>
      <c r="AQ205" t="s">
        <v>74</v>
      </c>
      <c r="AR205" t="s">
        <v>4234</v>
      </c>
      <c r="AS205" t="s">
        <v>273</v>
      </c>
      <c r="AT205" t="s">
        <v>2912</v>
      </c>
      <c r="AU205">
        <v>2020</v>
      </c>
      <c r="AV205">
        <v>89</v>
      </c>
      <c r="AW205">
        <v>2</v>
      </c>
      <c r="AX205" t="s">
        <v>74</v>
      </c>
      <c r="AY205" t="s">
        <v>74</v>
      </c>
      <c r="AZ205" t="s">
        <v>74</v>
      </c>
      <c r="BA205" t="s">
        <v>74</v>
      </c>
      <c r="BB205">
        <v>148</v>
      </c>
      <c r="BC205">
        <v>163</v>
      </c>
      <c r="BD205" t="s">
        <v>74</v>
      </c>
      <c r="BE205" t="s">
        <v>4235</v>
      </c>
      <c r="BF205" t="str">
        <f>HYPERLINK("http://dx.doi.org/10.1134/S0026261720020125","http://dx.doi.org/10.1134/S0026261720020125")</f>
        <v>http://dx.doi.org/10.1134/S0026261720020125</v>
      </c>
      <c r="BG205" t="s">
        <v>74</v>
      </c>
      <c r="BH205" t="s">
        <v>74</v>
      </c>
      <c r="BI205">
        <v>16</v>
      </c>
      <c r="BJ205" t="s">
        <v>273</v>
      </c>
      <c r="BK205" t="s">
        <v>103</v>
      </c>
      <c r="BL205" t="s">
        <v>273</v>
      </c>
      <c r="BM205" t="s">
        <v>4236</v>
      </c>
      <c r="BN205" t="s">
        <v>74</v>
      </c>
      <c r="BO205" t="s">
        <v>74</v>
      </c>
      <c r="BP205" t="s">
        <v>74</v>
      </c>
      <c r="BQ205" t="s">
        <v>74</v>
      </c>
      <c r="BR205" t="s">
        <v>106</v>
      </c>
      <c r="BS205" t="s">
        <v>4237</v>
      </c>
      <c r="BT205" t="str">
        <f>HYPERLINK("https%3A%2F%2Fwww.webofscience.com%2Fwos%2Fwoscc%2Ffull-record%2FWOS:000524262200002","View Full Record in Web of Science")</f>
        <v>View Full Record in Web of Science</v>
      </c>
    </row>
    <row r="206" spans="1:72" x14ac:dyDescent="0.15">
      <c r="A206" t="s">
        <v>72</v>
      </c>
      <c r="B206" t="s">
        <v>4238</v>
      </c>
      <c r="C206" t="s">
        <v>74</v>
      </c>
      <c r="D206" t="s">
        <v>74</v>
      </c>
      <c r="E206" t="s">
        <v>74</v>
      </c>
      <c r="F206" t="s">
        <v>4239</v>
      </c>
      <c r="G206" t="s">
        <v>74</v>
      </c>
      <c r="H206" t="s">
        <v>74</v>
      </c>
      <c r="I206" t="s">
        <v>4240</v>
      </c>
      <c r="J206" t="s">
        <v>4241</v>
      </c>
      <c r="K206" t="s">
        <v>74</v>
      </c>
      <c r="L206" t="s">
        <v>74</v>
      </c>
      <c r="M206" t="s">
        <v>78</v>
      </c>
      <c r="N206" t="s">
        <v>79</v>
      </c>
      <c r="O206" t="s">
        <v>74</v>
      </c>
      <c r="P206" t="s">
        <v>74</v>
      </c>
      <c r="Q206" t="s">
        <v>74</v>
      </c>
      <c r="R206" t="s">
        <v>74</v>
      </c>
      <c r="S206" t="s">
        <v>74</v>
      </c>
      <c r="T206" t="s">
        <v>74</v>
      </c>
      <c r="U206" t="s">
        <v>4242</v>
      </c>
      <c r="V206" t="s">
        <v>4243</v>
      </c>
      <c r="W206" t="s">
        <v>4244</v>
      </c>
      <c r="X206" t="s">
        <v>4245</v>
      </c>
      <c r="Y206" t="s">
        <v>4246</v>
      </c>
      <c r="Z206" t="s">
        <v>4247</v>
      </c>
      <c r="AA206" t="s">
        <v>4248</v>
      </c>
      <c r="AB206" t="s">
        <v>4249</v>
      </c>
      <c r="AC206" t="s">
        <v>4250</v>
      </c>
      <c r="AD206" t="s">
        <v>4251</v>
      </c>
      <c r="AE206" t="s">
        <v>4252</v>
      </c>
      <c r="AF206" t="s">
        <v>74</v>
      </c>
      <c r="AG206">
        <v>68</v>
      </c>
      <c r="AH206">
        <v>16</v>
      </c>
      <c r="AI206">
        <v>18</v>
      </c>
      <c r="AJ206">
        <v>0</v>
      </c>
      <c r="AK206">
        <v>19</v>
      </c>
      <c r="AL206" t="s">
        <v>4253</v>
      </c>
      <c r="AM206" t="s">
        <v>4254</v>
      </c>
      <c r="AN206" t="s">
        <v>4255</v>
      </c>
      <c r="AO206" t="s">
        <v>4256</v>
      </c>
      <c r="AP206" t="s">
        <v>4257</v>
      </c>
      <c r="AQ206" t="s">
        <v>74</v>
      </c>
      <c r="AR206" t="s">
        <v>4258</v>
      </c>
      <c r="AS206" t="s">
        <v>4259</v>
      </c>
      <c r="AT206" t="s">
        <v>4260</v>
      </c>
      <c r="AU206">
        <v>2020</v>
      </c>
      <c r="AV206">
        <v>91</v>
      </c>
      <c r="AW206">
        <v>3</v>
      </c>
      <c r="AX206" t="s">
        <v>74</v>
      </c>
      <c r="AY206" t="s">
        <v>74</v>
      </c>
      <c r="AZ206" t="s">
        <v>74</v>
      </c>
      <c r="BA206" t="s">
        <v>74</v>
      </c>
      <c r="BB206" t="s">
        <v>74</v>
      </c>
      <c r="BC206" t="s">
        <v>74</v>
      </c>
      <c r="BD206">
        <v>31301</v>
      </c>
      <c r="BE206" t="s">
        <v>4261</v>
      </c>
      <c r="BF206" t="str">
        <f>HYPERLINK("http://dx.doi.org/10.1063/1.5138210","http://dx.doi.org/10.1063/1.5138210")</f>
        <v>http://dx.doi.org/10.1063/1.5138210</v>
      </c>
      <c r="BG206" t="s">
        <v>74</v>
      </c>
      <c r="BH206" t="s">
        <v>74</v>
      </c>
      <c r="BI206">
        <v>12</v>
      </c>
      <c r="BJ206" t="s">
        <v>4262</v>
      </c>
      <c r="BK206" t="s">
        <v>103</v>
      </c>
      <c r="BL206" t="s">
        <v>4263</v>
      </c>
      <c r="BM206" t="s">
        <v>4264</v>
      </c>
      <c r="BN206">
        <v>32259993</v>
      </c>
      <c r="BO206" t="s">
        <v>74</v>
      </c>
      <c r="BP206" t="s">
        <v>74</v>
      </c>
      <c r="BQ206" t="s">
        <v>74</v>
      </c>
      <c r="BR206" t="s">
        <v>106</v>
      </c>
      <c r="BS206" t="s">
        <v>4265</v>
      </c>
      <c r="BT206" t="str">
        <f>HYPERLINK("https%3A%2F%2Fwww.webofscience.com%2Fwos%2Fwoscc%2Ffull-record%2FWOS:000524313900001","View Full Record in Web of Science")</f>
        <v>View Full Record in Web of Science</v>
      </c>
    </row>
    <row r="207" spans="1:72" x14ac:dyDescent="0.15">
      <c r="A207" t="s">
        <v>72</v>
      </c>
      <c r="B207" t="s">
        <v>4266</v>
      </c>
      <c r="C207" t="s">
        <v>74</v>
      </c>
      <c r="D207" t="s">
        <v>74</v>
      </c>
      <c r="E207" t="s">
        <v>74</v>
      </c>
      <c r="F207" t="s">
        <v>4267</v>
      </c>
      <c r="G207" t="s">
        <v>74</v>
      </c>
      <c r="H207" t="s">
        <v>74</v>
      </c>
      <c r="I207" t="s">
        <v>4268</v>
      </c>
      <c r="J207" t="s">
        <v>4269</v>
      </c>
      <c r="K207" t="s">
        <v>74</v>
      </c>
      <c r="L207" t="s">
        <v>74</v>
      </c>
      <c r="M207" t="s">
        <v>78</v>
      </c>
      <c r="N207" t="s">
        <v>79</v>
      </c>
      <c r="O207" t="s">
        <v>74</v>
      </c>
      <c r="P207" t="s">
        <v>74</v>
      </c>
      <c r="Q207" t="s">
        <v>74</v>
      </c>
      <c r="R207" t="s">
        <v>74</v>
      </c>
      <c r="S207" t="s">
        <v>74</v>
      </c>
      <c r="T207" t="s">
        <v>4270</v>
      </c>
      <c r="U207" t="s">
        <v>4271</v>
      </c>
      <c r="V207" t="s">
        <v>4272</v>
      </c>
      <c r="W207" t="s">
        <v>4273</v>
      </c>
      <c r="X207" t="s">
        <v>4274</v>
      </c>
      <c r="Y207" t="s">
        <v>4275</v>
      </c>
      <c r="Z207" t="s">
        <v>4276</v>
      </c>
      <c r="AA207" t="s">
        <v>4277</v>
      </c>
      <c r="AB207" t="s">
        <v>4278</v>
      </c>
      <c r="AC207" t="s">
        <v>4279</v>
      </c>
      <c r="AD207" t="s">
        <v>2364</v>
      </c>
      <c r="AE207" t="s">
        <v>4280</v>
      </c>
      <c r="AF207" t="s">
        <v>74</v>
      </c>
      <c r="AG207">
        <v>88</v>
      </c>
      <c r="AH207">
        <v>6</v>
      </c>
      <c r="AI207">
        <v>8</v>
      </c>
      <c r="AJ207">
        <v>1</v>
      </c>
      <c r="AK207">
        <v>8</v>
      </c>
      <c r="AL207" t="s">
        <v>3817</v>
      </c>
      <c r="AM207" t="s">
        <v>3818</v>
      </c>
      <c r="AN207" t="s">
        <v>3819</v>
      </c>
      <c r="AO207" t="s">
        <v>74</v>
      </c>
      <c r="AP207" t="s">
        <v>4281</v>
      </c>
      <c r="AQ207" t="s">
        <v>74</v>
      </c>
      <c r="AR207" t="s">
        <v>4269</v>
      </c>
      <c r="AS207" t="s">
        <v>4282</v>
      </c>
      <c r="AT207" t="s">
        <v>2912</v>
      </c>
      <c r="AU207">
        <v>2020</v>
      </c>
      <c r="AV207">
        <v>10</v>
      </c>
      <c r="AW207">
        <v>3</v>
      </c>
      <c r="AX207" t="s">
        <v>74</v>
      </c>
      <c r="AY207" t="s">
        <v>74</v>
      </c>
      <c r="AZ207" t="s">
        <v>74</v>
      </c>
      <c r="BA207" t="s">
        <v>74</v>
      </c>
      <c r="BB207" t="s">
        <v>74</v>
      </c>
      <c r="BC207" t="s">
        <v>74</v>
      </c>
      <c r="BD207">
        <v>87</v>
      </c>
      <c r="BE207" t="s">
        <v>4283</v>
      </c>
      <c r="BF207" t="str">
        <f>HYPERLINK("http://dx.doi.org/10.3390/geosciences10030087","http://dx.doi.org/10.3390/geosciences10030087")</f>
        <v>http://dx.doi.org/10.3390/geosciences10030087</v>
      </c>
      <c r="BG207" t="s">
        <v>74</v>
      </c>
      <c r="BH207" t="s">
        <v>74</v>
      </c>
      <c r="BI207">
        <v>19</v>
      </c>
      <c r="BJ207" t="s">
        <v>246</v>
      </c>
      <c r="BK207" t="s">
        <v>274</v>
      </c>
      <c r="BL207" t="s">
        <v>247</v>
      </c>
      <c r="BM207" t="s">
        <v>4284</v>
      </c>
      <c r="BN207" t="s">
        <v>74</v>
      </c>
      <c r="BO207" t="s">
        <v>4285</v>
      </c>
      <c r="BP207" t="s">
        <v>74</v>
      </c>
      <c r="BQ207" t="s">
        <v>74</v>
      </c>
      <c r="BR207" t="s">
        <v>106</v>
      </c>
      <c r="BS207" t="s">
        <v>4286</v>
      </c>
      <c r="BT207" t="str">
        <f>HYPERLINK("https%3A%2F%2Fwww.webofscience.com%2Fwos%2Fwoscc%2Ffull-record%2FWOS:000523701300006","View Full Record in Web of Science")</f>
        <v>View Full Record in Web of Science</v>
      </c>
    </row>
    <row r="208" spans="1:72" x14ac:dyDescent="0.15">
      <c r="A208" t="s">
        <v>72</v>
      </c>
      <c r="B208" t="s">
        <v>4287</v>
      </c>
      <c r="C208" t="s">
        <v>74</v>
      </c>
      <c r="D208" t="s">
        <v>74</v>
      </c>
      <c r="E208" t="s">
        <v>74</v>
      </c>
      <c r="F208" t="s">
        <v>4288</v>
      </c>
      <c r="G208" t="s">
        <v>74</v>
      </c>
      <c r="H208" t="s">
        <v>74</v>
      </c>
      <c r="I208" t="s">
        <v>4289</v>
      </c>
      <c r="J208" t="s">
        <v>4290</v>
      </c>
      <c r="K208" t="s">
        <v>74</v>
      </c>
      <c r="L208" t="s">
        <v>74</v>
      </c>
      <c r="M208" t="s">
        <v>78</v>
      </c>
      <c r="N208" t="s">
        <v>79</v>
      </c>
      <c r="O208" t="s">
        <v>74</v>
      </c>
      <c r="P208" t="s">
        <v>74</v>
      </c>
      <c r="Q208" t="s">
        <v>74</v>
      </c>
      <c r="R208" t="s">
        <v>74</v>
      </c>
      <c r="S208" t="s">
        <v>74</v>
      </c>
      <c r="T208" t="s">
        <v>4291</v>
      </c>
      <c r="U208" t="s">
        <v>4292</v>
      </c>
      <c r="V208" t="s">
        <v>4293</v>
      </c>
      <c r="W208" t="s">
        <v>4294</v>
      </c>
      <c r="X208" t="s">
        <v>4295</v>
      </c>
      <c r="Y208" t="s">
        <v>4296</v>
      </c>
      <c r="Z208" t="s">
        <v>4297</v>
      </c>
      <c r="AA208" t="s">
        <v>4298</v>
      </c>
      <c r="AB208" t="s">
        <v>4299</v>
      </c>
      <c r="AC208" t="s">
        <v>4300</v>
      </c>
      <c r="AD208" t="s">
        <v>4301</v>
      </c>
      <c r="AE208" t="s">
        <v>4302</v>
      </c>
      <c r="AF208" t="s">
        <v>74</v>
      </c>
      <c r="AG208">
        <v>83</v>
      </c>
      <c r="AH208">
        <v>8</v>
      </c>
      <c r="AI208">
        <v>10</v>
      </c>
      <c r="AJ208">
        <v>5</v>
      </c>
      <c r="AK208">
        <v>31</v>
      </c>
      <c r="AL208" t="s">
        <v>1055</v>
      </c>
      <c r="AM208" t="s">
        <v>435</v>
      </c>
      <c r="AN208" t="s">
        <v>1056</v>
      </c>
      <c r="AO208" t="s">
        <v>4303</v>
      </c>
      <c r="AP208" t="s">
        <v>4304</v>
      </c>
      <c r="AQ208" t="s">
        <v>74</v>
      </c>
      <c r="AR208" t="s">
        <v>4305</v>
      </c>
      <c r="AS208" t="s">
        <v>4306</v>
      </c>
      <c r="AT208" t="s">
        <v>2912</v>
      </c>
      <c r="AU208">
        <v>2020</v>
      </c>
      <c r="AV208">
        <v>37</v>
      </c>
      <c r="AW208">
        <v>3</v>
      </c>
      <c r="AX208" t="s">
        <v>74</v>
      </c>
      <c r="AY208" t="s">
        <v>74</v>
      </c>
      <c r="AZ208" t="s">
        <v>74</v>
      </c>
      <c r="BA208" t="s">
        <v>74</v>
      </c>
      <c r="BB208">
        <v>849</v>
      </c>
      <c r="BC208">
        <v>863</v>
      </c>
      <c r="BD208" t="s">
        <v>74</v>
      </c>
      <c r="BE208" t="s">
        <v>4307</v>
      </c>
      <c r="BF208" t="str">
        <f>HYPERLINK("http://dx.doi.org/10.1093/molbev/msz273","http://dx.doi.org/10.1093/molbev/msz273")</f>
        <v>http://dx.doi.org/10.1093/molbev/msz273</v>
      </c>
      <c r="BG208" t="s">
        <v>74</v>
      </c>
      <c r="BH208" t="s">
        <v>74</v>
      </c>
      <c r="BI208">
        <v>15</v>
      </c>
      <c r="BJ208" t="s">
        <v>4308</v>
      </c>
      <c r="BK208" t="s">
        <v>103</v>
      </c>
      <c r="BL208" t="s">
        <v>4308</v>
      </c>
      <c r="BM208" t="s">
        <v>4309</v>
      </c>
      <c r="BN208">
        <v>31794607</v>
      </c>
      <c r="BO208" t="s">
        <v>133</v>
      </c>
      <c r="BP208" t="s">
        <v>74</v>
      </c>
      <c r="BQ208" t="s">
        <v>74</v>
      </c>
      <c r="BR208" t="s">
        <v>106</v>
      </c>
      <c r="BS208" t="s">
        <v>4310</v>
      </c>
      <c r="BT208" t="str">
        <f>HYPERLINK("https%3A%2F%2Fwww.webofscience.com%2Fwos%2Fwoscc%2Ffull-record%2FWOS:000522244100018","View Full Record in Web of Science")</f>
        <v>View Full Record in Web of Science</v>
      </c>
    </row>
    <row r="209" spans="1:72" x14ac:dyDescent="0.15">
      <c r="A209" t="s">
        <v>72</v>
      </c>
      <c r="B209" t="s">
        <v>4311</v>
      </c>
      <c r="C209" t="s">
        <v>74</v>
      </c>
      <c r="D209" t="s">
        <v>74</v>
      </c>
      <c r="E209" t="s">
        <v>74</v>
      </c>
      <c r="F209" t="s">
        <v>4312</v>
      </c>
      <c r="G209" t="s">
        <v>74</v>
      </c>
      <c r="H209" t="s">
        <v>74</v>
      </c>
      <c r="I209" t="s">
        <v>4313</v>
      </c>
      <c r="J209" t="s">
        <v>4290</v>
      </c>
      <c r="K209" t="s">
        <v>74</v>
      </c>
      <c r="L209" t="s">
        <v>74</v>
      </c>
      <c r="M209" t="s">
        <v>78</v>
      </c>
      <c r="N209" t="s">
        <v>4314</v>
      </c>
      <c r="O209" t="s">
        <v>74</v>
      </c>
      <c r="P209" t="s">
        <v>74</v>
      </c>
      <c r="Q209" t="s">
        <v>74</v>
      </c>
      <c r="R209" t="s">
        <v>74</v>
      </c>
      <c r="S209" t="s">
        <v>74</v>
      </c>
      <c r="T209" t="s">
        <v>74</v>
      </c>
      <c r="U209" t="s">
        <v>74</v>
      </c>
      <c r="V209" t="s">
        <v>74</v>
      </c>
      <c r="W209" t="s">
        <v>4315</v>
      </c>
      <c r="X209" t="s">
        <v>74</v>
      </c>
      <c r="Y209" t="s">
        <v>4316</v>
      </c>
      <c r="Z209" t="s">
        <v>4317</v>
      </c>
      <c r="AA209" t="s">
        <v>74</v>
      </c>
      <c r="AB209" t="s">
        <v>74</v>
      </c>
      <c r="AC209" t="s">
        <v>74</v>
      </c>
      <c r="AD209" t="s">
        <v>74</v>
      </c>
      <c r="AE209" t="s">
        <v>74</v>
      </c>
      <c r="AF209" t="s">
        <v>74</v>
      </c>
      <c r="AG209">
        <v>1</v>
      </c>
      <c r="AH209">
        <v>0</v>
      </c>
      <c r="AI209">
        <v>0</v>
      </c>
      <c r="AJ209">
        <v>0</v>
      </c>
      <c r="AK209">
        <v>6</v>
      </c>
      <c r="AL209" t="s">
        <v>1055</v>
      </c>
      <c r="AM209" t="s">
        <v>435</v>
      </c>
      <c r="AN209" t="s">
        <v>1056</v>
      </c>
      <c r="AO209" t="s">
        <v>4303</v>
      </c>
      <c r="AP209" t="s">
        <v>4304</v>
      </c>
      <c r="AQ209" t="s">
        <v>74</v>
      </c>
      <c r="AR209" t="s">
        <v>4305</v>
      </c>
      <c r="AS209" t="s">
        <v>4306</v>
      </c>
      <c r="AT209" t="s">
        <v>2912</v>
      </c>
      <c r="AU209">
        <v>2020</v>
      </c>
      <c r="AV209">
        <v>37</v>
      </c>
      <c r="AW209">
        <v>3</v>
      </c>
      <c r="AX209" t="s">
        <v>74</v>
      </c>
      <c r="AY209" t="s">
        <v>74</v>
      </c>
      <c r="AZ209" t="s">
        <v>74</v>
      </c>
      <c r="BA209" t="s">
        <v>74</v>
      </c>
      <c r="BB209">
        <v>941</v>
      </c>
      <c r="BC209">
        <v>941</v>
      </c>
      <c r="BD209" t="s">
        <v>74</v>
      </c>
      <c r="BE209" t="s">
        <v>4318</v>
      </c>
      <c r="BF209" t="str">
        <f>HYPERLINK("http://dx.doi.org/10.1093/molbev/msaa017","http://dx.doi.org/10.1093/molbev/msaa017")</f>
        <v>http://dx.doi.org/10.1093/molbev/msaa017</v>
      </c>
      <c r="BG209" t="s">
        <v>74</v>
      </c>
      <c r="BH209" t="s">
        <v>74</v>
      </c>
      <c r="BI209">
        <v>1</v>
      </c>
      <c r="BJ209" t="s">
        <v>4308</v>
      </c>
      <c r="BK209" t="s">
        <v>103</v>
      </c>
      <c r="BL209" t="s">
        <v>4308</v>
      </c>
      <c r="BM209" t="s">
        <v>4309</v>
      </c>
      <c r="BN209">
        <v>32091609</v>
      </c>
      <c r="BO209" t="s">
        <v>517</v>
      </c>
      <c r="BP209" t="s">
        <v>74</v>
      </c>
      <c r="BQ209" t="s">
        <v>74</v>
      </c>
      <c r="BR209" t="s">
        <v>106</v>
      </c>
      <c r="BS209" t="s">
        <v>4319</v>
      </c>
      <c r="BT209" t="str">
        <f>HYPERLINK("https%3A%2F%2Fwww.webofscience.com%2Fwos%2Fwoscc%2Ffull-record%2FWOS:000522244100026","View Full Record in Web of Science")</f>
        <v>View Full Record in Web of Science</v>
      </c>
    </row>
    <row r="210" spans="1:72" x14ac:dyDescent="0.15">
      <c r="A210" t="s">
        <v>72</v>
      </c>
      <c r="B210" t="s">
        <v>4320</v>
      </c>
      <c r="C210" t="s">
        <v>74</v>
      </c>
      <c r="D210" t="s">
        <v>74</v>
      </c>
      <c r="E210" t="s">
        <v>74</v>
      </c>
      <c r="F210" t="s">
        <v>4321</v>
      </c>
      <c r="G210" t="s">
        <v>74</v>
      </c>
      <c r="H210" t="s">
        <v>74</v>
      </c>
      <c r="I210" t="s">
        <v>4322</v>
      </c>
      <c r="J210" t="s">
        <v>4323</v>
      </c>
      <c r="K210" t="s">
        <v>74</v>
      </c>
      <c r="L210" t="s">
        <v>74</v>
      </c>
      <c r="M210" t="s">
        <v>78</v>
      </c>
      <c r="N210" t="s">
        <v>79</v>
      </c>
      <c r="O210" t="s">
        <v>74</v>
      </c>
      <c r="P210" t="s">
        <v>74</v>
      </c>
      <c r="Q210" t="s">
        <v>74</v>
      </c>
      <c r="R210" t="s">
        <v>74</v>
      </c>
      <c r="S210" t="s">
        <v>74</v>
      </c>
      <c r="T210" t="s">
        <v>4324</v>
      </c>
      <c r="U210" t="s">
        <v>4325</v>
      </c>
      <c r="V210" t="s">
        <v>4326</v>
      </c>
      <c r="W210" t="s">
        <v>4327</v>
      </c>
      <c r="X210" t="s">
        <v>4328</v>
      </c>
      <c r="Y210" t="s">
        <v>4329</v>
      </c>
      <c r="Z210" t="s">
        <v>4330</v>
      </c>
      <c r="AA210" t="s">
        <v>4331</v>
      </c>
      <c r="AB210" t="s">
        <v>4332</v>
      </c>
      <c r="AC210" t="s">
        <v>4333</v>
      </c>
      <c r="AD210" t="s">
        <v>4334</v>
      </c>
      <c r="AE210" t="s">
        <v>4335</v>
      </c>
      <c r="AF210" t="s">
        <v>74</v>
      </c>
      <c r="AG210">
        <v>51</v>
      </c>
      <c r="AH210">
        <v>1</v>
      </c>
      <c r="AI210">
        <v>1</v>
      </c>
      <c r="AJ210">
        <v>2</v>
      </c>
      <c r="AK210">
        <v>11</v>
      </c>
      <c r="AL210" t="s">
        <v>4336</v>
      </c>
      <c r="AM210" t="s">
        <v>4337</v>
      </c>
      <c r="AN210" t="s">
        <v>4338</v>
      </c>
      <c r="AO210" t="s">
        <v>4339</v>
      </c>
      <c r="AP210" t="s">
        <v>74</v>
      </c>
      <c r="AQ210" t="s">
        <v>74</v>
      </c>
      <c r="AR210" t="s">
        <v>4340</v>
      </c>
      <c r="AS210" t="s">
        <v>4341</v>
      </c>
      <c r="AT210" t="s">
        <v>2912</v>
      </c>
      <c r="AU210">
        <v>2020</v>
      </c>
      <c r="AV210">
        <v>27</v>
      </c>
      <c r="AW210">
        <v>1</v>
      </c>
      <c r="AX210" t="s">
        <v>74</v>
      </c>
      <c r="AY210" t="s">
        <v>74</v>
      </c>
      <c r="AZ210" t="s">
        <v>74</v>
      </c>
      <c r="BA210" t="s">
        <v>74</v>
      </c>
      <c r="BB210">
        <v>95</v>
      </c>
      <c r="BC210">
        <v>111</v>
      </c>
      <c r="BD210" t="s">
        <v>74</v>
      </c>
      <c r="BE210" t="s">
        <v>4342</v>
      </c>
      <c r="BF210" t="str">
        <f>HYPERLINK("http://dx.doi.org/10.2478/eces-2020-0006","http://dx.doi.org/10.2478/eces-2020-0006")</f>
        <v>http://dx.doi.org/10.2478/eces-2020-0006</v>
      </c>
      <c r="BG210" t="s">
        <v>74</v>
      </c>
      <c r="BH210" t="s">
        <v>74</v>
      </c>
      <c r="BI210">
        <v>17</v>
      </c>
      <c r="BJ210" t="s">
        <v>1196</v>
      </c>
      <c r="BK210" t="s">
        <v>103</v>
      </c>
      <c r="BL210" t="s">
        <v>219</v>
      </c>
      <c r="BM210" t="s">
        <v>4343</v>
      </c>
      <c r="BN210" t="s">
        <v>74</v>
      </c>
      <c r="BO210" t="s">
        <v>2592</v>
      </c>
      <c r="BP210" t="s">
        <v>74</v>
      </c>
      <c r="BQ210" t="s">
        <v>74</v>
      </c>
      <c r="BR210" t="s">
        <v>106</v>
      </c>
      <c r="BS210" t="s">
        <v>4344</v>
      </c>
      <c r="BT210" t="str">
        <f>HYPERLINK("https%3A%2F%2Fwww.webofscience.com%2Fwos%2Fwoscc%2Ffull-record%2FWOS:000522818700007","View Full Record in Web of Science")</f>
        <v>View Full Record in Web of Science</v>
      </c>
    </row>
    <row r="211" spans="1:72" x14ac:dyDescent="0.15">
      <c r="A211" t="s">
        <v>72</v>
      </c>
      <c r="B211" t="s">
        <v>4345</v>
      </c>
      <c r="C211" t="s">
        <v>74</v>
      </c>
      <c r="D211" t="s">
        <v>74</v>
      </c>
      <c r="E211" t="s">
        <v>74</v>
      </c>
      <c r="F211" t="s">
        <v>4346</v>
      </c>
      <c r="G211" t="s">
        <v>74</v>
      </c>
      <c r="H211" t="s">
        <v>74</v>
      </c>
      <c r="I211" t="s">
        <v>4347</v>
      </c>
      <c r="J211" t="s">
        <v>4348</v>
      </c>
      <c r="K211" t="s">
        <v>74</v>
      </c>
      <c r="L211" t="s">
        <v>74</v>
      </c>
      <c r="M211" t="s">
        <v>78</v>
      </c>
      <c r="N211" t="s">
        <v>79</v>
      </c>
      <c r="O211" t="s">
        <v>74</v>
      </c>
      <c r="P211" t="s">
        <v>74</v>
      </c>
      <c r="Q211" t="s">
        <v>74</v>
      </c>
      <c r="R211" t="s">
        <v>74</v>
      </c>
      <c r="S211" t="s">
        <v>74</v>
      </c>
      <c r="T211" t="s">
        <v>4349</v>
      </c>
      <c r="U211" t="s">
        <v>4350</v>
      </c>
      <c r="V211" t="s">
        <v>4351</v>
      </c>
      <c r="W211" t="s">
        <v>4352</v>
      </c>
      <c r="X211" t="s">
        <v>4353</v>
      </c>
      <c r="Y211" t="s">
        <v>4354</v>
      </c>
      <c r="Z211" t="s">
        <v>4355</v>
      </c>
      <c r="AA211" t="s">
        <v>4356</v>
      </c>
      <c r="AB211" t="s">
        <v>4357</v>
      </c>
      <c r="AC211" t="s">
        <v>4358</v>
      </c>
      <c r="AD211" t="s">
        <v>2364</v>
      </c>
      <c r="AE211" t="s">
        <v>4359</v>
      </c>
      <c r="AF211" t="s">
        <v>74</v>
      </c>
      <c r="AG211">
        <v>66</v>
      </c>
      <c r="AH211">
        <v>18</v>
      </c>
      <c r="AI211">
        <v>18</v>
      </c>
      <c r="AJ211">
        <v>2</v>
      </c>
      <c r="AK211">
        <v>9</v>
      </c>
      <c r="AL211" t="s">
        <v>289</v>
      </c>
      <c r="AM211" t="s">
        <v>290</v>
      </c>
      <c r="AN211" t="s">
        <v>291</v>
      </c>
      <c r="AO211" t="s">
        <v>4360</v>
      </c>
      <c r="AP211" t="s">
        <v>4361</v>
      </c>
      <c r="AQ211" t="s">
        <v>74</v>
      </c>
      <c r="AR211" t="s">
        <v>4362</v>
      </c>
      <c r="AS211" t="s">
        <v>4363</v>
      </c>
      <c r="AT211" t="s">
        <v>2912</v>
      </c>
      <c r="AU211">
        <v>2020</v>
      </c>
      <c r="AV211">
        <v>79</v>
      </c>
      <c r="AW211" t="s">
        <v>74</v>
      </c>
      <c r="AX211" t="s">
        <v>74</v>
      </c>
      <c r="AY211" t="s">
        <v>74</v>
      </c>
      <c r="AZ211" t="s">
        <v>74</v>
      </c>
      <c r="BA211" t="s">
        <v>74</v>
      </c>
      <c r="BB211">
        <v>185</v>
      </c>
      <c r="BC211">
        <v>196</v>
      </c>
      <c r="BD211" t="s">
        <v>74</v>
      </c>
      <c r="BE211" t="s">
        <v>4364</v>
      </c>
      <c r="BF211" t="str">
        <f>HYPERLINK("http://dx.doi.org/10.1016/j.gr.2019.09.014","http://dx.doi.org/10.1016/j.gr.2019.09.014")</f>
        <v>http://dx.doi.org/10.1016/j.gr.2019.09.014</v>
      </c>
      <c r="BG211" t="s">
        <v>74</v>
      </c>
      <c r="BH211" t="s">
        <v>74</v>
      </c>
      <c r="BI211">
        <v>12</v>
      </c>
      <c r="BJ211" t="s">
        <v>246</v>
      </c>
      <c r="BK211" t="s">
        <v>103</v>
      </c>
      <c r="BL211" t="s">
        <v>247</v>
      </c>
      <c r="BM211" t="s">
        <v>4365</v>
      </c>
      <c r="BN211" t="s">
        <v>74</v>
      </c>
      <c r="BO211" t="s">
        <v>298</v>
      </c>
      <c r="BP211" t="s">
        <v>74</v>
      </c>
      <c r="BQ211" t="s">
        <v>74</v>
      </c>
      <c r="BR211" t="s">
        <v>106</v>
      </c>
      <c r="BS211" t="s">
        <v>4366</v>
      </c>
      <c r="BT211" t="str">
        <f>HYPERLINK("https%3A%2F%2Fwww.webofscience.com%2Fwos%2Fwoscc%2Ffull-record%2FWOS:000522974100010","View Full Record in Web of Science")</f>
        <v>View Full Record in Web of Science</v>
      </c>
    </row>
    <row r="212" spans="1:72" x14ac:dyDescent="0.15">
      <c r="A212" t="s">
        <v>72</v>
      </c>
      <c r="B212" t="s">
        <v>4367</v>
      </c>
      <c r="C212" t="s">
        <v>74</v>
      </c>
      <c r="D212" t="s">
        <v>74</v>
      </c>
      <c r="E212" t="s">
        <v>74</v>
      </c>
      <c r="F212" t="s">
        <v>4368</v>
      </c>
      <c r="G212" t="s">
        <v>74</v>
      </c>
      <c r="H212" t="s">
        <v>74</v>
      </c>
      <c r="I212" t="s">
        <v>4369</v>
      </c>
      <c r="J212" t="s">
        <v>4370</v>
      </c>
      <c r="K212" t="s">
        <v>74</v>
      </c>
      <c r="L212" t="s">
        <v>74</v>
      </c>
      <c r="M212" t="s">
        <v>78</v>
      </c>
      <c r="N212" t="s">
        <v>79</v>
      </c>
      <c r="O212" t="s">
        <v>74</v>
      </c>
      <c r="P212" t="s">
        <v>74</v>
      </c>
      <c r="Q212" t="s">
        <v>74</v>
      </c>
      <c r="R212" t="s">
        <v>74</v>
      </c>
      <c r="S212" t="s">
        <v>74</v>
      </c>
      <c r="T212" t="s">
        <v>4371</v>
      </c>
      <c r="U212" t="s">
        <v>4372</v>
      </c>
      <c r="V212" t="s">
        <v>4373</v>
      </c>
      <c r="W212" t="s">
        <v>4374</v>
      </c>
      <c r="X212" t="s">
        <v>4375</v>
      </c>
      <c r="Y212" t="s">
        <v>4376</v>
      </c>
      <c r="Z212" t="s">
        <v>4377</v>
      </c>
      <c r="AA212" t="s">
        <v>74</v>
      </c>
      <c r="AB212" t="s">
        <v>4378</v>
      </c>
      <c r="AC212" t="s">
        <v>4379</v>
      </c>
      <c r="AD212" t="s">
        <v>4380</v>
      </c>
      <c r="AE212" t="s">
        <v>4381</v>
      </c>
      <c r="AF212" t="s">
        <v>74</v>
      </c>
      <c r="AG212">
        <v>13</v>
      </c>
      <c r="AH212">
        <v>0</v>
      </c>
      <c r="AI212">
        <v>0</v>
      </c>
      <c r="AJ212">
        <v>1</v>
      </c>
      <c r="AK212">
        <v>5</v>
      </c>
      <c r="AL212" t="s">
        <v>4382</v>
      </c>
      <c r="AM212" t="s">
        <v>4383</v>
      </c>
      <c r="AN212" t="s">
        <v>4384</v>
      </c>
      <c r="AO212" t="s">
        <v>4385</v>
      </c>
      <c r="AP212" t="s">
        <v>4386</v>
      </c>
      <c r="AQ212" t="s">
        <v>74</v>
      </c>
      <c r="AR212" t="s">
        <v>4387</v>
      </c>
      <c r="AS212" t="s">
        <v>4388</v>
      </c>
      <c r="AT212" t="s">
        <v>2912</v>
      </c>
      <c r="AU212">
        <v>2020</v>
      </c>
      <c r="AV212">
        <v>15</v>
      </c>
      <c r="AW212">
        <v>3</v>
      </c>
      <c r="AX212" t="s">
        <v>74</v>
      </c>
      <c r="AY212" t="s">
        <v>74</v>
      </c>
      <c r="AZ212" t="s">
        <v>74</v>
      </c>
      <c r="BA212" t="s">
        <v>74</v>
      </c>
      <c r="BB212" t="s">
        <v>74</v>
      </c>
      <c r="BC212" t="s">
        <v>74</v>
      </c>
      <c r="BD212" t="s">
        <v>4389</v>
      </c>
      <c r="BE212" t="s">
        <v>4390</v>
      </c>
      <c r="BF212" t="str">
        <f>HYPERLINK("http://dx.doi.org/10.1177/1934578X20902886","http://dx.doi.org/10.1177/1934578X20902886")</f>
        <v>http://dx.doi.org/10.1177/1934578X20902886</v>
      </c>
      <c r="BG212" t="s">
        <v>74</v>
      </c>
      <c r="BH212" t="s">
        <v>74</v>
      </c>
      <c r="BI212">
        <v>4</v>
      </c>
      <c r="BJ212" t="s">
        <v>4391</v>
      </c>
      <c r="BK212" t="s">
        <v>103</v>
      </c>
      <c r="BL212" t="s">
        <v>4392</v>
      </c>
      <c r="BM212" t="s">
        <v>4393</v>
      </c>
      <c r="BN212" t="s">
        <v>74</v>
      </c>
      <c r="BO212" t="s">
        <v>2592</v>
      </c>
      <c r="BP212" t="s">
        <v>74</v>
      </c>
      <c r="BQ212" t="s">
        <v>74</v>
      </c>
      <c r="BR212" t="s">
        <v>106</v>
      </c>
      <c r="BS212" t="s">
        <v>4394</v>
      </c>
      <c r="BT212" t="str">
        <f>HYPERLINK("https%3A%2F%2Fwww.webofscience.com%2Fwos%2Fwoscc%2Ffull-record%2FWOS:000524145500001","View Full Record in Web of Science")</f>
        <v>View Full Record in Web of Science</v>
      </c>
    </row>
    <row r="213" spans="1:72" x14ac:dyDescent="0.15">
      <c r="A213" t="s">
        <v>72</v>
      </c>
      <c r="B213" t="s">
        <v>4395</v>
      </c>
      <c r="C213" t="s">
        <v>74</v>
      </c>
      <c r="D213" t="s">
        <v>74</v>
      </c>
      <c r="E213" t="s">
        <v>74</v>
      </c>
      <c r="F213" t="s">
        <v>4396</v>
      </c>
      <c r="G213" t="s">
        <v>74</v>
      </c>
      <c r="H213" t="s">
        <v>74</v>
      </c>
      <c r="I213" t="s">
        <v>4397</v>
      </c>
      <c r="J213" t="s">
        <v>4398</v>
      </c>
      <c r="K213" t="s">
        <v>74</v>
      </c>
      <c r="L213" t="s">
        <v>74</v>
      </c>
      <c r="M213" t="s">
        <v>78</v>
      </c>
      <c r="N213" t="s">
        <v>79</v>
      </c>
      <c r="O213" t="s">
        <v>74</v>
      </c>
      <c r="P213" t="s">
        <v>74</v>
      </c>
      <c r="Q213" t="s">
        <v>74</v>
      </c>
      <c r="R213" t="s">
        <v>74</v>
      </c>
      <c r="S213" t="s">
        <v>74</v>
      </c>
      <c r="T213" t="s">
        <v>4399</v>
      </c>
      <c r="U213" t="s">
        <v>4400</v>
      </c>
      <c r="V213" t="s">
        <v>4401</v>
      </c>
      <c r="W213" t="s">
        <v>4402</v>
      </c>
      <c r="X213" t="s">
        <v>4403</v>
      </c>
      <c r="Y213" t="s">
        <v>4404</v>
      </c>
      <c r="Z213" t="s">
        <v>4405</v>
      </c>
      <c r="AA213" t="s">
        <v>4406</v>
      </c>
      <c r="AB213" t="s">
        <v>4407</v>
      </c>
      <c r="AC213" t="s">
        <v>4408</v>
      </c>
      <c r="AD213" t="s">
        <v>4409</v>
      </c>
      <c r="AE213" t="s">
        <v>4410</v>
      </c>
      <c r="AF213" t="s">
        <v>74</v>
      </c>
      <c r="AG213">
        <v>82</v>
      </c>
      <c r="AH213">
        <v>14</v>
      </c>
      <c r="AI213">
        <v>16</v>
      </c>
      <c r="AJ213">
        <v>2</v>
      </c>
      <c r="AK213">
        <v>15</v>
      </c>
      <c r="AL213" t="s">
        <v>855</v>
      </c>
      <c r="AM213" t="s">
        <v>266</v>
      </c>
      <c r="AN213" t="s">
        <v>856</v>
      </c>
      <c r="AO213" t="s">
        <v>74</v>
      </c>
      <c r="AP213" t="s">
        <v>4411</v>
      </c>
      <c r="AQ213" t="s">
        <v>74</v>
      </c>
      <c r="AR213" t="s">
        <v>4398</v>
      </c>
      <c r="AS213" t="s">
        <v>4412</v>
      </c>
      <c r="AT213" t="s">
        <v>2912</v>
      </c>
      <c r="AU213">
        <v>2020</v>
      </c>
      <c r="AV213">
        <v>8</v>
      </c>
      <c r="AW213">
        <v>3</v>
      </c>
      <c r="AX213" t="s">
        <v>74</v>
      </c>
      <c r="AY213" t="s">
        <v>74</v>
      </c>
      <c r="AZ213" t="s">
        <v>74</v>
      </c>
      <c r="BA213" t="s">
        <v>74</v>
      </c>
      <c r="BB213" t="s">
        <v>74</v>
      </c>
      <c r="BC213" t="s">
        <v>74</v>
      </c>
      <c r="BD213" t="s">
        <v>4413</v>
      </c>
      <c r="BE213" t="s">
        <v>4414</v>
      </c>
      <c r="BF213" t="str">
        <f>HYPERLINK("http://dx.doi.org/10.1029/2019EF001340","http://dx.doi.org/10.1029/2019EF001340")</f>
        <v>http://dx.doi.org/10.1029/2019EF001340</v>
      </c>
      <c r="BG213" t="s">
        <v>74</v>
      </c>
      <c r="BH213" t="s">
        <v>74</v>
      </c>
      <c r="BI213">
        <v>16</v>
      </c>
      <c r="BJ213" t="s">
        <v>4415</v>
      </c>
      <c r="BK213" t="s">
        <v>1149</v>
      </c>
      <c r="BL213" t="s">
        <v>4416</v>
      </c>
      <c r="BM213" t="s">
        <v>4417</v>
      </c>
      <c r="BN213">
        <v>32715011</v>
      </c>
      <c r="BO213" t="s">
        <v>1101</v>
      </c>
      <c r="BP213" t="s">
        <v>74</v>
      </c>
      <c r="BQ213" t="s">
        <v>74</v>
      </c>
      <c r="BR213" t="s">
        <v>106</v>
      </c>
      <c r="BS213" t="s">
        <v>4418</v>
      </c>
      <c r="BT213" t="str">
        <f>HYPERLINK("https%3A%2F%2Fwww.webofscience.com%2Fwos%2Fwoscc%2Ffull-record%2FWOS:000522205300010","View Full Record in Web of Science")</f>
        <v>View Full Record in Web of Science</v>
      </c>
    </row>
    <row r="214" spans="1:72" x14ac:dyDescent="0.15">
      <c r="A214" t="s">
        <v>72</v>
      </c>
      <c r="B214" t="s">
        <v>4419</v>
      </c>
      <c r="C214" t="s">
        <v>74</v>
      </c>
      <c r="D214" t="s">
        <v>74</v>
      </c>
      <c r="E214" t="s">
        <v>74</v>
      </c>
      <c r="F214" t="s">
        <v>4420</v>
      </c>
      <c r="G214" t="s">
        <v>74</v>
      </c>
      <c r="H214" t="s">
        <v>74</v>
      </c>
      <c r="I214" t="s">
        <v>4421</v>
      </c>
      <c r="J214" t="s">
        <v>4422</v>
      </c>
      <c r="K214" t="s">
        <v>74</v>
      </c>
      <c r="L214" t="s">
        <v>74</v>
      </c>
      <c r="M214" t="s">
        <v>78</v>
      </c>
      <c r="N214" t="s">
        <v>79</v>
      </c>
      <c r="O214" t="s">
        <v>74</v>
      </c>
      <c r="P214" t="s">
        <v>74</v>
      </c>
      <c r="Q214" t="s">
        <v>74</v>
      </c>
      <c r="R214" t="s">
        <v>74</v>
      </c>
      <c r="S214" t="s">
        <v>74</v>
      </c>
      <c r="T214" t="s">
        <v>4423</v>
      </c>
      <c r="U214" t="s">
        <v>4424</v>
      </c>
      <c r="V214" t="s">
        <v>4425</v>
      </c>
      <c r="W214" t="s">
        <v>4426</v>
      </c>
      <c r="X214" t="s">
        <v>4427</v>
      </c>
      <c r="Y214" t="s">
        <v>4428</v>
      </c>
      <c r="Z214" t="s">
        <v>4429</v>
      </c>
      <c r="AA214" t="s">
        <v>4430</v>
      </c>
      <c r="AB214" t="s">
        <v>4431</v>
      </c>
      <c r="AC214" t="s">
        <v>4432</v>
      </c>
      <c r="AD214" t="s">
        <v>4433</v>
      </c>
      <c r="AE214" t="s">
        <v>4434</v>
      </c>
      <c r="AF214" t="s">
        <v>74</v>
      </c>
      <c r="AG214">
        <v>100</v>
      </c>
      <c r="AH214">
        <v>30</v>
      </c>
      <c r="AI214">
        <v>35</v>
      </c>
      <c r="AJ214">
        <v>2</v>
      </c>
      <c r="AK214">
        <v>29</v>
      </c>
      <c r="AL214" t="s">
        <v>855</v>
      </c>
      <c r="AM214" t="s">
        <v>266</v>
      </c>
      <c r="AN214" t="s">
        <v>856</v>
      </c>
      <c r="AO214" t="s">
        <v>4435</v>
      </c>
      <c r="AP214" t="s">
        <v>4436</v>
      </c>
      <c r="AQ214" t="s">
        <v>74</v>
      </c>
      <c r="AR214" t="s">
        <v>4437</v>
      </c>
      <c r="AS214" t="s">
        <v>4438</v>
      </c>
      <c r="AT214" t="s">
        <v>2912</v>
      </c>
      <c r="AU214">
        <v>2020</v>
      </c>
      <c r="AV214">
        <v>34</v>
      </c>
      <c r="AW214">
        <v>3</v>
      </c>
      <c r="AX214" t="s">
        <v>74</v>
      </c>
      <c r="AY214" t="s">
        <v>74</v>
      </c>
      <c r="AZ214" t="s">
        <v>74</v>
      </c>
      <c r="BA214" t="s">
        <v>74</v>
      </c>
      <c r="BB214" t="s">
        <v>74</v>
      </c>
      <c r="BC214" t="s">
        <v>74</v>
      </c>
      <c r="BD214" t="s">
        <v>4439</v>
      </c>
      <c r="BE214" t="s">
        <v>4440</v>
      </c>
      <c r="BF214" t="str">
        <f>HYPERLINK("http://dx.doi.org/10.1029/2019GB006446","http://dx.doi.org/10.1029/2019GB006446")</f>
        <v>http://dx.doi.org/10.1029/2019GB006446</v>
      </c>
      <c r="BG214" t="s">
        <v>74</v>
      </c>
      <c r="BH214" t="s">
        <v>74</v>
      </c>
      <c r="BI214">
        <v>17</v>
      </c>
      <c r="BJ214" t="s">
        <v>4415</v>
      </c>
      <c r="BK214" t="s">
        <v>103</v>
      </c>
      <c r="BL214" t="s">
        <v>4416</v>
      </c>
      <c r="BM214" t="s">
        <v>4441</v>
      </c>
      <c r="BN214" t="s">
        <v>74</v>
      </c>
      <c r="BO214" t="s">
        <v>1663</v>
      </c>
      <c r="BP214" t="s">
        <v>74</v>
      </c>
      <c r="BQ214" t="s">
        <v>74</v>
      </c>
      <c r="BR214" t="s">
        <v>106</v>
      </c>
      <c r="BS214" t="s">
        <v>4442</v>
      </c>
      <c r="BT214" t="str">
        <f>HYPERLINK("https%3A%2F%2Fwww.webofscience.com%2Fwos%2Fwoscc%2Ffull-record%2FWOS:000522031600002","View Full Record in Web of Science")</f>
        <v>View Full Record in Web of Science</v>
      </c>
    </row>
    <row r="215" spans="1:72" x14ac:dyDescent="0.15">
      <c r="A215" t="s">
        <v>72</v>
      </c>
      <c r="B215" t="s">
        <v>4443</v>
      </c>
      <c r="C215" t="s">
        <v>74</v>
      </c>
      <c r="D215" t="s">
        <v>74</v>
      </c>
      <c r="E215" t="s">
        <v>74</v>
      </c>
      <c r="F215" t="s">
        <v>4444</v>
      </c>
      <c r="G215" t="s">
        <v>74</v>
      </c>
      <c r="H215" t="s">
        <v>74</v>
      </c>
      <c r="I215" t="s">
        <v>4445</v>
      </c>
      <c r="J215" t="s">
        <v>4446</v>
      </c>
      <c r="K215" t="s">
        <v>74</v>
      </c>
      <c r="L215" t="s">
        <v>74</v>
      </c>
      <c r="M215" t="s">
        <v>78</v>
      </c>
      <c r="N215" t="s">
        <v>79</v>
      </c>
      <c r="O215" t="s">
        <v>74</v>
      </c>
      <c r="P215" t="s">
        <v>74</v>
      </c>
      <c r="Q215" t="s">
        <v>74</v>
      </c>
      <c r="R215" t="s">
        <v>74</v>
      </c>
      <c r="S215" t="s">
        <v>74</v>
      </c>
      <c r="T215" t="s">
        <v>4447</v>
      </c>
      <c r="U215" t="s">
        <v>4448</v>
      </c>
      <c r="V215" t="s">
        <v>4449</v>
      </c>
      <c r="W215" t="s">
        <v>4450</v>
      </c>
      <c r="X215" t="s">
        <v>4451</v>
      </c>
      <c r="Y215" t="s">
        <v>4452</v>
      </c>
      <c r="Z215" t="s">
        <v>4453</v>
      </c>
      <c r="AA215" t="s">
        <v>4454</v>
      </c>
      <c r="AB215" t="s">
        <v>4455</v>
      </c>
      <c r="AC215" t="s">
        <v>4456</v>
      </c>
      <c r="AD215" t="s">
        <v>4457</v>
      </c>
      <c r="AE215" t="s">
        <v>4458</v>
      </c>
      <c r="AF215" t="s">
        <v>74</v>
      </c>
      <c r="AG215">
        <v>83</v>
      </c>
      <c r="AH215">
        <v>1</v>
      </c>
      <c r="AI215">
        <v>1</v>
      </c>
      <c r="AJ215">
        <v>3</v>
      </c>
      <c r="AK215">
        <v>18</v>
      </c>
      <c r="AL215" t="s">
        <v>289</v>
      </c>
      <c r="AM215" t="s">
        <v>290</v>
      </c>
      <c r="AN215" t="s">
        <v>291</v>
      </c>
      <c r="AO215" t="s">
        <v>4459</v>
      </c>
      <c r="AP215" t="s">
        <v>4460</v>
      </c>
      <c r="AQ215" t="s">
        <v>74</v>
      </c>
      <c r="AR215" t="s">
        <v>4461</v>
      </c>
      <c r="AS215" t="s">
        <v>4462</v>
      </c>
      <c r="AT215" t="s">
        <v>2912</v>
      </c>
      <c r="AU215">
        <v>2020</v>
      </c>
      <c r="AV215">
        <v>118</v>
      </c>
      <c r="AW215" t="s">
        <v>74</v>
      </c>
      <c r="AX215" t="s">
        <v>74</v>
      </c>
      <c r="AY215" t="s">
        <v>74</v>
      </c>
      <c r="AZ215" t="s">
        <v>74</v>
      </c>
      <c r="BA215" t="s">
        <v>74</v>
      </c>
      <c r="BB215" t="s">
        <v>74</v>
      </c>
      <c r="BC215" t="s">
        <v>74</v>
      </c>
      <c r="BD215">
        <v>103213</v>
      </c>
      <c r="BE215" t="s">
        <v>4463</v>
      </c>
      <c r="BF215" t="str">
        <f>HYPERLINK("http://dx.doi.org/10.1016/j.oregeorev.2019.103213","http://dx.doi.org/10.1016/j.oregeorev.2019.103213")</f>
        <v>http://dx.doi.org/10.1016/j.oregeorev.2019.103213</v>
      </c>
      <c r="BG215" t="s">
        <v>74</v>
      </c>
      <c r="BH215" t="s">
        <v>74</v>
      </c>
      <c r="BI215">
        <v>16</v>
      </c>
      <c r="BJ215" t="s">
        <v>4464</v>
      </c>
      <c r="BK215" t="s">
        <v>103</v>
      </c>
      <c r="BL215" t="s">
        <v>4464</v>
      </c>
      <c r="BM215" t="s">
        <v>4465</v>
      </c>
      <c r="BN215" t="s">
        <v>74</v>
      </c>
      <c r="BO215" t="s">
        <v>74</v>
      </c>
      <c r="BP215" t="s">
        <v>74</v>
      </c>
      <c r="BQ215" t="s">
        <v>74</v>
      </c>
      <c r="BR215" t="s">
        <v>106</v>
      </c>
      <c r="BS215" t="s">
        <v>4466</v>
      </c>
      <c r="BT215" t="str">
        <f>HYPERLINK("https%3A%2F%2Fwww.webofscience.com%2Fwos%2Fwoscc%2Ffull-record%2FWOS:000518709000023","View Full Record in Web of Science")</f>
        <v>View Full Record in Web of Science</v>
      </c>
    </row>
    <row r="216" spans="1:72" x14ac:dyDescent="0.15">
      <c r="A216" t="s">
        <v>72</v>
      </c>
      <c r="B216" t="s">
        <v>4467</v>
      </c>
      <c r="C216" t="s">
        <v>74</v>
      </c>
      <c r="D216" t="s">
        <v>74</v>
      </c>
      <c r="E216" t="s">
        <v>74</v>
      </c>
      <c r="F216" t="s">
        <v>4468</v>
      </c>
      <c r="G216" t="s">
        <v>74</v>
      </c>
      <c r="H216" t="s">
        <v>74</v>
      </c>
      <c r="I216" t="s">
        <v>4469</v>
      </c>
      <c r="J216" t="s">
        <v>4470</v>
      </c>
      <c r="K216" t="s">
        <v>74</v>
      </c>
      <c r="L216" t="s">
        <v>74</v>
      </c>
      <c r="M216" t="s">
        <v>78</v>
      </c>
      <c r="N216" t="s">
        <v>79</v>
      </c>
      <c r="O216" t="s">
        <v>74</v>
      </c>
      <c r="P216" t="s">
        <v>74</v>
      </c>
      <c r="Q216" t="s">
        <v>74</v>
      </c>
      <c r="R216" t="s">
        <v>74</v>
      </c>
      <c r="S216" t="s">
        <v>74</v>
      </c>
      <c r="T216" t="s">
        <v>4471</v>
      </c>
      <c r="U216" t="s">
        <v>4472</v>
      </c>
      <c r="V216" t="s">
        <v>4473</v>
      </c>
      <c r="W216" t="s">
        <v>4474</v>
      </c>
      <c r="X216" t="s">
        <v>4475</v>
      </c>
      <c r="Y216" t="s">
        <v>4476</v>
      </c>
      <c r="Z216" t="s">
        <v>4477</v>
      </c>
      <c r="AA216" t="s">
        <v>4478</v>
      </c>
      <c r="AB216" t="s">
        <v>4479</v>
      </c>
      <c r="AC216" t="s">
        <v>4480</v>
      </c>
      <c r="AD216" t="s">
        <v>4481</v>
      </c>
      <c r="AE216" t="s">
        <v>4482</v>
      </c>
      <c r="AF216" t="s">
        <v>74</v>
      </c>
      <c r="AG216">
        <v>80</v>
      </c>
      <c r="AH216">
        <v>20</v>
      </c>
      <c r="AI216">
        <v>24</v>
      </c>
      <c r="AJ216">
        <v>1</v>
      </c>
      <c r="AK216">
        <v>12</v>
      </c>
      <c r="AL216" t="s">
        <v>855</v>
      </c>
      <c r="AM216" t="s">
        <v>266</v>
      </c>
      <c r="AN216" t="s">
        <v>856</v>
      </c>
      <c r="AO216" t="s">
        <v>4483</v>
      </c>
      <c r="AP216" t="s">
        <v>4484</v>
      </c>
      <c r="AQ216" t="s">
        <v>74</v>
      </c>
      <c r="AR216" t="s">
        <v>4485</v>
      </c>
      <c r="AS216" t="s">
        <v>4486</v>
      </c>
      <c r="AT216" t="s">
        <v>2912</v>
      </c>
      <c r="AU216">
        <v>2020</v>
      </c>
      <c r="AV216">
        <v>125</v>
      </c>
      <c r="AW216">
        <v>3</v>
      </c>
      <c r="AX216" t="s">
        <v>74</v>
      </c>
      <c r="AY216" t="s">
        <v>74</v>
      </c>
      <c r="AZ216" t="s">
        <v>74</v>
      </c>
      <c r="BA216" t="s">
        <v>74</v>
      </c>
      <c r="BB216" t="s">
        <v>74</v>
      </c>
      <c r="BC216" t="s">
        <v>74</v>
      </c>
      <c r="BD216" t="s">
        <v>4487</v>
      </c>
      <c r="BE216" t="s">
        <v>4488</v>
      </c>
      <c r="BF216" t="str">
        <f>HYPERLINK("http://dx.doi.org/10.1029/2019JF005241","http://dx.doi.org/10.1029/2019JF005241")</f>
        <v>http://dx.doi.org/10.1029/2019JF005241</v>
      </c>
      <c r="BG216" t="s">
        <v>74</v>
      </c>
      <c r="BH216" t="s">
        <v>74</v>
      </c>
      <c r="BI216">
        <v>20</v>
      </c>
      <c r="BJ216" t="s">
        <v>246</v>
      </c>
      <c r="BK216" t="s">
        <v>103</v>
      </c>
      <c r="BL216" t="s">
        <v>247</v>
      </c>
      <c r="BM216" t="s">
        <v>4489</v>
      </c>
      <c r="BN216" t="s">
        <v>74</v>
      </c>
      <c r="BO216" t="s">
        <v>461</v>
      </c>
      <c r="BP216" t="s">
        <v>74</v>
      </c>
      <c r="BQ216" t="s">
        <v>74</v>
      </c>
      <c r="BR216" t="s">
        <v>106</v>
      </c>
      <c r="BS216" t="s">
        <v>4490</v>
      </c>
      <c r="BT216" t="str">
        <f>HYPERLINK("https%3A%2F%2Fwww.webofscience.com%2Fwos%2Fwoscc%2Ffull-record%2FWOS:000522071000006","View Full Record in Web of Science")</f>
        <v>View Full Record in Web of Science</v>
      </c>
    </row>
    <row r="217" spans="1:72" x14ac:dyDescent="0.15">
      <c r="A217" t="s">
        <v>72</v>
      </c>
      <c r="B217" t="s">
        <v>4491</v>
      </c>
      <c r="C217" t="s">
        <v>74</v>
      </c>
      <c r="D217" t="s">
        <v>74</v>
      </c>
      <c r="E217" t="s">
        <v>74</v>
      </c>
      <c r="F217" t="s">
        <v>4492</v>
      </c>
      <c r="G217" t="s">
        <v>74</v>
      </c>
      <c r="H217" t="s">
        <v>74</v>
      </c>
      <c r="I217" t="s">
        <v>4493</v>
      </c>
      <c r="J217" t="s">
        <v>4470</v>
      </c>
      <c r="K217" t="s">
        <v>74</v>
      </c>
      <c r="L217" t="s">
        <v>74</v>
      </c>
      <c r="M217" t="s">
        <v>78</v>
      </c>
      <c r="N217" t="s">
        <v>79</v>
      </c>
      <c r="O217" t="s">
        <v>74</v>
      </c>
      <c r="P217" t="s">
        <v>74</v>
      </c>
      <c r="Q217" t="s">
        <v>74</v>
      </c>
      <c r="R217" t="s">
        <v>74</v>
      </c>
      <c r="S217" t="s">
        <v>74</v>
      </c>
      <c r="T217" t="s">
        <v>4494</v>
      </c>
      <c r="U217" t="s">
        <v>4495</v>
      </c>
      <c r="V217" t="s">
        <v>4496</v>
      </c>
      <c r="W217" t="s">
        <v>4497</v>
      </c>
      <c r="X217" t="s">
        <v>4498</v>
      </c>
      <c r="Y217" t="s">
        <v>4499</v>
      </c>
      <c r="Z217" t="s">
        <v>4500</v>
      </c>
      <c r="AA217" t="s">
        <v>4501</v>
      </c>
      <c r="AB217" t="s">
        <v>4502</v>
      </c>
      <c r="AC217" t="s">
        <v>4503</v>
      </c>
      <c r="AD217" t="s">
        <v>4504</v>
      </c>
      <c r="AE217" t="s">
        <v>4505</v>
      </c>
      <c r="AF217" t="s">
        <v>74</v>
      </c>
      <c r="AG217">
        <v>70</v>
      </c>
      <c r="AH217">
        <v>27</v>
      </c>
      <c r="AI217">
        <v>31</v>
      </c>
      <c r="AJ217">
        <v>1</v>
      </c>
      <c r="AK217">
        <v>25</v>
      </c>
      <c r="AL217" t="s">
        <v>855</v>
      </c>
      <c r="AM217" t="s">
        <v>266</v>
      </c>
      <c r="AN217" t="s">
        <v>856</v>
      </c>
      <c r="AO217" t="s">
        <v>4483</v>
      </c>
      <c r="AP217" t="s">
        <v>4484</v>
      </c>
      <c r="AQ217" t="s">
        <v>74</v>
      </c>
      <c r="AR217" t="s">
        <v>4485</v>
      </c>
      <c r="AS217" t="s">
        <v>4486</v>
      </c>
      <c r="AT217" t="s">
        <v>2912</v>
      </c>
      <c r="AU217">
        <v>2020</v>
      </c>
      <c r="AV217">
        <v>125</v>
      </c>
      <c r="AW217">
        <v>3</v>
      </c>
      <c r="AX217" t="s">
        <v>74</v>
      </c>
      <c r="AY217" t="s">
        <v>74</v>
      </c>
      <c r="AZ217" t="s">
        <v>74</v>
      </c>
      <c r="BA217" t="s">
        <v>74</v>
      </c>
      <c r="BB217" t="s">
        <v>74</v>
      </c>
      <c r="BC217" t="s">
        <v>74</v>
      </c>
      <c r="BD217" t="s">
        <v>4506</v>
      </c>
      <c r="BE217" t="s">
        <v>4507</v>
      </c>
      <c r="BF217" t="str">
        <f>HYPERLINK("http://dx.doi.org/10.1029/2019JF005420","http://dx.doi.org/10.1029/2019JF005420")</f>
        <v>http://dx.doi.org/10.1029/2019JF005420</v>
      </c>
      <c r="BG217" t="s">
        <v>74</v>
      </c>
      <c r="BH217" t="s">
        <v>74</v>
      </c>
      <c r="BI217">
        <v>22</v>
      </c>
      <c r="BJ217" t="s">
        <v>246</v>
      </c>
      <c r="BK217" t="s">
        <v>103</v>
      </c>
      <c r="BL217" t="s">
        <v>247</v>
      </c>
      <c r="BM217" t="s">
        <v>4489</v>
      </c>
      <c r="BN217" t="s">
        <v>74</v>
      </c>
      <c r="BO217" t="s">
        <v>148</v>
      </c>
      <c r="BP217" t="s">
        <v>74</v>
      </c>
      <c r="BQ217" t="s">
        <v>74</v>
      </c>
      <c r="BR217" t="s">
        <v>106</v>
      </c>
      <c r="BS217" t="s">
        <v>4508</v>
      </c>
      <c r="BT217" t="str">
        <f>HYPERLINK("https%3A%2F%2Fwww.webofscience.com%2Fwos%2Fwoscc%2Ffull-record%2FWOS:000522071000007","View Full Record in Web of Science")</f>
        <v>View Full Record in Web of Science</v>
      </c>
    </row>
    <row r="218" spans="1:72" x14ac:dyDescent="0.15">
      <c r="A218" t="s">
        <v>72</v>
      </c>
      <c r="B218" t="s">
        <v>4509</v>
      </c>
      <c r="C218" t="s">
        <v>74</v>
      </c>
      <c r="D218" t="s">
        <v>74</v>
      </c>
      <c r="E218" t="s">
        <v>74</v>
      </c>
      <c r="F218" t="s">
        <v>4510</v>
      </c>
      <c r="G218" t="s">
        <v>74</v>
      </c>
      <c r="H218" t="s">
        <v>74</v>
      </c>
      <c r="I218" t="s">
        <v>4511</v>
      </c>
      <c r="J218" t="s">
        <v>4512</v>
      </c>
      <c r="K218" t="s">
        <v>74</v>
      </c>
      <c r="L218" t="s">
        <v>74</v>
      </c>
      <c r="M218" t="s">
        <v>78</v>
      </c>
      <c r="N218" t="s">
        <v>79</v>
      </c>
      <c r="O218" t="s">
        <v>74</v>
      </c>
      <c r="P218" t="s">
        <v>74</v>
      </c>
      <c r="Q218" t="s">
        <v>74</v>
      </c>
      <c r="R218" t="s">
        <v>74</v>
      </c>
      <c r="S218" t="s">
        <v>74</v>
      </c>
      <c r="T218" t="s">
        <v>4513</v>
      </c>
      <c r="U218" t="s">
        <v>4514</v>
      </c>
      <c r="V218" t="s">
        <v>4515</v>
      </c>
      <c r="W218" t="s">
        <v>4516</v>
      </c>
      <c r="X218" t="s">
        <v>4517</v>
      </c>
      <c r="Y218" t="s">
        <v>4518</v>
      </c>
      <c r="Z218" t="s">
        <v>4519</v>
      </c>
      <c r="AA218" t="s">
        <v>4520</v>
      </c>
      <c r="AB218" t="s">
        <v>4521</v>
      </c>
      <c r="AC218" t="s">
        <v>4522</v>
      </c>
      <c r="AD218" t="s">
        <v>4523</v>
      </c>
      <c r="AE218" t="s">
        <v>4524</v>
      </c>
      <c r="AF218" t="s">
        <v>74</v>
      </c>
      <c r="AG218">
        <v>33</v>
      </c>
      <c r="AH218">
        <v>6</v>
      </c>
      <c r="AI218">
        <v>8</v>
      </c>
      <c r="AJ218">
        <v>0</v>
      </c>
      <c r="AK218">
        <v>11</v>
      </c>
      <c r="AL218" t="s">
        <v>4084</v>
      </c>
      <c r="AM218" t="s">
        <v>4085</v>
      </c>
      <c r="AN218" t="s">
        <v>4086</v>
      </c>
      <c r="AO218" t="s">
        <v>4525</v>
      </c>
      <c r="AP218" t="s">
        <v>4526</v>
      </c>
      <c r="AQ218" t="s">
        <v>74</v>
      </c>
      <c r="AR218" t="s">
        <v>4527</v>
      </c>
      <c r="AS218" t="s">
        <v>4528</v>
      </c>
      <c r="AT218" t="s">
        <v>2912</v>
      </c>
      <c r="AU218">
        <v>2020</v>
      </c>
      <c r="AV218">
        <v>50</v>
      </c>
      <c r="AW218">
        <v>3</v>
      </c>
      <c r="AX218" t="s">
        <v>74</v>
      </c>
      <c r="AY218" t="s">
        <v>74</v>
      </c>
      <c r="AZ218" t="s">
        <v>74</v>
      </c>
      <c r="BA218" t="s">
        <v>74</v>
      </c>
      <c r="BB218">
        <v>679</v>
      </c>
      <c r="BC218">
        <v>694</v>
      </c>
      <c r="BD218" t="s">
        <v>74</v>
      </c>
      <c r="BE218" t="s">
        <v>4529</v>
      </c>
      <c r="BF218" t="str">
        <f>HYPERLINK("http://dx.doi.org/10.1175/JPO-D-19-0218.1","http://dx.doi.org/10.1175/JPO-D-19-0218.1")</f>
        <v>http://dx.doi.org/10.1175/JPO-D-19-0218.1</v>
      </c>
      <c r="BG218" t="s">
        <v>74</v>
      </c>
      <c r="BH218" t="s">
        <v>74</v>
      </c>
      <c r="BI218">
        <v>16</v>
      </c>
      <c r="BJ218" t="s">
        <v>639</v>
      </c>
      <c r="BK218" t="s">
        <v>103</v>
      </c>
      <c r="BL218" t="s">
        <v>639</v>
      </c>
      <c r="BM218" t="s">
        <v>4530</v>
      </c>
      <c r="BN218" t="s">
        <v>74</v>
      </c>
      <c r="BO218" t="s">
        <v>1721</v>
      </c>
      <c r="BP218" t="s">
        <v>74</v>
      </c>
      <c r="BQ218" t="s">
        <v>74</v>
      </c>
      <c r="BR218" t="s">
        <v>106</v>
      </c>
      <c r="BS218" t="s">
        <v>4531</v>
      </c>
      <c r="BT218" t="str">
        <f>HYPERLINK("https%3A%2F%2Fwww.webofscience.com%2Fwos%2Fwoscc%2Ffull-record%2FWOS:000522399300002","View Full Record in Web of Science")</f>
        <v>View Full Record in Web of Science</v>
      </c>
    </row>
    <row r="219" spans="1:72" x14ac:dyDescent="0.15">
      <c r="A219" t="s">
        <v>72</v>
      </c>
      <c r="B219" t="s">
        <v>4532</v>
      </c>
      <c r="C219" t="s">
        <v>74</v>
      </c>
      <c r="D219" t="s">
        <v>74</v>
      </c>
      <c r="E219" t="s">
        <v>74</v>
      </c>
      <c r="F219" t="s">
        <v>4533</v>
      </c>
      <c r="G219" t="s">
        <v>74</v>
      </c>
      <c r="H219" t="s">
        <v>74</v>
      </c>
      <c r="I219" t="s">
        <v>4534</v>
      </c>
      <c r="J219" t="s">
        <v>4512</v>
      </c>
      <c r="K219" t="s">
        <v>74</v>
      </c>
      <c r="L219" t="s">
        <v>74</v>
      </c>
      <c r="M219" t="s">
        <v>78</v>
      </c>
      <c r="N219" t="s">
        <v>79</v>
      </c>
      <c r="O219" t="s">
        <v>74</v>
      </c>
      <c r="P219" t="s">
        <v>74</v>
      </c>
      <c r="Q219" t="s">
        <v>74</v>
      </c>
      <c r="R219" t="s">
        <v>74</v>
      </c>
      <c r="S219" t="s">
        <v>74</v>
      </c>
      <c r="T219" t="s">
        <v>4535</v>
      </c>
      <c r="U219" t="s">
        <v>4536</v>
      </c>
      <c r="V219" t="s">
        <v>4537</v>
      </c>
      <c r="W219" t="s">
        <v>4538</v>
      </c>
      <c r="X219" t="s">
        <v>4539</v>
      </c>
      <c r="Y219" t="s">
        <v>4540</v>
      </c>
      <c r="Z219" t="s">
        <v>4541</v>
      </c>
      <c r="AA219" t="s">
        <v>74</v>
      </c>
      <c r="AB219" t="s">
        <v>74</v>
      </c>
      <c r="AC219" t="s">
        <v>4542</v>
      </c>
      <c r="AD219" t="s">
        <v>4542</v>
      </c>
      <c r="AE219" t="s">
        <v>4543</v>
      </c>
      <c r="AF219" t="s">
        <v>74</v>
      </c>
      <c r="AG219">
        <v>59</v>
      </c>
      <c r="AH219">
        <v>30</v>
      </c>
      <c r="AI219">
        <v>33</v>
      </c>
      <c r="AJ219">
        <v>1</v>
      </c>
      <c r="AK219">
        <v>16</v>
      </c>
      <c r="AL219" t="s">
        <v>4084</v>
      </c>
      <c r="AM219" t="s">
        <v>4085</v>
      </c>
      <c r="AN219" t="s">
        <v>4086</v>
      </c>
      <c r="AO219" t="s">
        <v>4525</v>
      </c>
      <c r="AP219" t="s">
        <v>4526</v>
      </c>
      <c r="AQ219" t="s">
        <v>74</v>
      </c>
      <c r="AR219" t="s">
        <v>4527</v>
      </c>
      <c r="AS219" t="s">
        <v>4528</v>
      </c>
      <c r="AT219" t="s">
        <v>2912</v>
      </c>
      <c r="AU219">
        <v>2020</v>
      </c>
      <c r="AV219">
        <v>50</v>
      </c>
      <c r="AW219">
        <v>3</v>
      </c>
      <c r="AX219" t="s">
        <v>74</v>
      </c>
      <c r="AY219" t="s">
        <v>74</v>
      </c>
      <c r="AZ219" t="s">
        <v>74</v>
      </c>
      <c r="BA219" t="s">
        <v>74</v>
      </c>
      <c r="BB219">
        <v>727</v>
      </c>
      <c r="BC219">
        <v>749</v>
      </c>
      <c r="BD219" t="s">
        <v>74</v>
      </c>
      <c r="BE219" t="s">
        <v>4544</v>
      </c>
      <c r="BF219" t="str">
        <f>HYPERLINK("http://dx.doi.org/10.1175/JPO-D-19-0253.1","http://dx.doi.org/10.1175/JPO-D-19-0253.1")</f>
        <v>http://dx.doi.org/10.1175/JPO-D-19-0253.1</v>
      </c>
      <c r="BG219" t="s">
        <v>74</v>
      </c>
      <c r="BH219" t="s">
        <v>74</v>
      </c>
      <c r="BI219">
        <v>23</v>
      </c>
      <c r="BJ219" t="s">
        <v>639</v>
      </c>
      <c r="BK219" t="s">
        <v>103</v>
      </c>
      <c r="BL219" t="s">
        <v>639</v>
      </c>
      <c r="BM219" t="s">
        <v>4530</v>
      </c>
      <c r="BN219" t="s">
        <v>74</v>
      </c>
      <c r="BO219" t="s">
        <v>4545</v>
      </c>
      <c r="BP219" t="s">
        <v>74</v>
      </c>
      <c r="BQ219" t="s">
        <v>74</v>
      </c>
      <c r="BR219" t="s">
        <v>106</v>
      </c>
      <c r="BS219" t="s">
        <v>4546</v>
      </c>
      <c r="BT219" t="str">
        <f>HYPERLINK("https%3A%2F%2Fwww.webofscience.com%2Fwos%2Fwoscc%2Ffull-record%2FWOS:000522399300005","View Full Record in Web of Science")</f>
        <v>View Full Record in Web of Science</v>
      </c>
    </row>
    <row r="220" spans="1:72" x14ac:dyDescent="0.15">
      <c r="A220" t="s">
        <v>72</v>
      </c>
      <c r="B220" t="s">
        <v>4547</v>
      </c>
      <c r="C220" t="s">
        <v>74</v>
      </c>
      <c r="D220" t="s">
        <v>74</v>
      </c>
      <c r="E220" t="s">
        <v>74</v>
      </c>
      <c r="F220" t="s">
        <v>4548</v>
      </c>
      <c r="G220" t="s">
        <v>74</v>
      </c>
      <c r="H220" t="s">
        <v>74</v>
      </c>
      <c r="I220" t="s">
        <v>4549</v>
      </c>
      <c r="J220" t="s">
        <v>3108</v>
      </c>
      <c r="K220" t="s">
        <v>74</v>
      </c>
      <c r="L220" t="s">
        <v>74</v>
      </c>
      <c r="M220" t="s">
        <v>78</v>
      </c>
      <c r="N220" t="s">
        <v>79</v>
      </c>
      <c r="O220" t="s">
        <v>74</v>
      </c>
      <c r="P220" t="s">
        <v>74</v>
      </c>
      <c r="Q220" t="s">
        <v>74</v>
      </c>
      <c r="R220" t="s">
        <v>74</v>
      </c>
      <c r="S220" t="s">
        <v>74</v>
      </c>
      <c r="T220" t="s">
        <v>74</v>
      </c>
      <c r="U220" t="s">
        <v>74</v>
      </c>
      <c r="V220" t="s">
        <v>4550</v>
      </c>
      <c r="W220" t="s">
        <v>74</v>
      </c>
      <c r="X220" t="s">
        <v>74</v>
      </c>
      <c r="Y220" t="s">
        <v>74</v>
      </c>
      <c r="Z220" t="s">
        <v>74</v>
      </c>
      <c r="AA220" t="s">
        <v>4551</v>
      </c>
      <c r="AB220" t="s">
        <v>4552</v>
      </c>
      <c r="AC220" t="s">
        <v>74</v>
      </c>
      <c r="AD220" t="s">
        <v>74</v>
      </c>
      <c r="AE220" t="s">
        <v>74</v>
      </c>
      <c r="AF220" t="s">
        <v>74</v>
      </c>
      <c r="AG220">
        <v>6</v>
      </c>
      <c r="AH220">
        <v>9</v>
      </c>
      <c r="AI220">
        <v>9</v>
      </c>
      <c r="AJ220">
        <v>1</v>
      </c>
      <c r="AK220">
        <v>10</v>
      </c>
      <c r="AL220" t="s">
        <v>3120</v>
      </c>
      <c r="AM220" t="s">
        <v>3121</v>
      </c>
      <c r="AN220" t="s">
        <v>3122</v>
      </c>
      <c r="AO220" t="s">
        <v>3123</v>
      </c>
      <c r="AP220" t="s">
        <v>74</v>
      </c>
      <c r="AQ220" t="s">
        <v>74</v>
      </c>
      <c r="AR220" t="s">
        <v>3108</v>
      </c>
      <c r="AS220" t="s">
        <v>639</v>
      </c>
      <c r="AT220" t="s">
        <v>2912</v>
      </c>
      <c r="AU220">
        <v>2020</v>
      </c>
      <c r="AV220">
        <v>33</v>
      </c>
      <c r="AW220">
        <v>1</v>
      </c>
      <c r="AX220" t="s">
        <v>74</v>
      </c>
      <c r="AY220" t="s">
        <v>74</v>
      </c>
      <c r="AZ220" t="s">
        <v>74</v>
      </c>
      <c r="BA220" t="s">
        <v>74</v>
      </c>
      <c r="BB220">
        <v>50</v>
      </c>
      <c r="BC220">
        <v>59</v>
      </c>
      <c r="BD220" t="s">
        <v>74</v>
      </c>
      <c r="BE220" t="s">
        <v>4553</v>
      </c>
      <c r="BF220" t="str">
        <f>HYPERLINK("http://dx.doi.org/10.5670/oceanog.2020.101","http://dx.doi.org/10.5670/oceanog.2020.101")</f>
        <v>http://dx.doi.org/10.5670/oceanog.2020.101</v>
      </c>
      <c r="BG220" t="s">
        <v>74</v>
      </c>
      <c r="BH220" t="s">
        <v>74</v>
      </c>
      <c r="BI220">
        <v>10</v>
      </c>
      <c r="BJ220" t="s">
        <v>639</v>
      </c>
      <c r="BK220" t="s">
        <v>103</v>
      </c>
      <c r="BL220" t="s">
        <v>639</v>
      </c>
      <c r="BM220" t="s">
        <v>3125</v>
      </c>
      <c r="BN220" t="s">
        <v>74</v>
      </c>
      <c r="BO220" t="s">
        <v>2592</v>
      </c>
      <c r="BP220" t="s">
        <v>74</v>
      </c>
      <c r="BQ220" t="s">
        <v>74</v>
      </c>
      <c r="BR220" t="s">
        <v>106</v>
      </c>
      <c r="BS220" t="s">
        <v>4554</v>
      </c>
      <c r="BT220" t="str">
        <f>HYPERLINK("https%3A%2F%2Fwww.webofscience.com%2Fwos%2Fwoscc%2Ffull-record%2FWOS:000521731800009","View Full Record in Web of Science")</f>
        <v>View Full Record in Web of Science</v>
      </c>
    </row>
    <row r="221" spans="1:72" x14ac:dyDescent="0.15">
      <c r="A221" t="s">
        <v>72</v>
      </c>
      <c r="B221" t="s">
        <v>4555</v>
      </c>
      <c r="C221" t="s">
        <v>74</v>
      </c>
      <c r="D221" t="s">
        <v>74</v>
      </c>
      <c r="E221" t="s">
        <v>74</v>
      </c>
      <c r="F221" t="s">
        <v>4556</v>
      </c>
      <c r="G221" t="s">
        <v>74</v>
      </c>
      <c r="H221" t="s">
        <v>74</v>
      </c>
      <c r="I221" t="s">
        <v>4557</v>
      </c>
      <c r="J221" t="s">
        <v>4558</v>
      </c>
      <c r="K221" t="s">
        <v>74</v>
      </c>
      <c r="L221" t="s">
        <v>74</v>
      </c>
      <c r="M221" t="s">
        <v>78</v>
      </c>
      <c r="N221" t="s">
        <v>79</v>
      </c>
      <c r="O221" t="s">
        <v>74</v>
      </c>
      <c r="P221" t="s">
        <v>74</v>
      </c>
      <c r="Q221" t="s">
        <v>74</v>
      </c>
      <c r="R221" t="s">
        <v>74</v>
      </c>
      <c r="S221" t="s">
        <v>74</v>
      </c>
      <c r="T221" t="s">
        <v>4559</v>
      </c>
      <c r="U221" t="s">
        <v>74</v>
      </c>
      <c r="V221" t="s">
        <v>4560</v>
      </c>
      <c r="W221" t="s">
        <v>4561</v>
      </c>
      <c r="X221" t="s">
        <v>4562</v>
      </c>
      <c r="Y221" t="s">
        <v>4563</v>
      </c>
      <c r="Z221" t="s">
        <v>4564</v>
      </c>
      <c r="AA221" t="s">
        <v>74</v>
      </c>
      <c r="AB221" t="s">
        <v>74</v>
      </c>
      <c r="AC221" t="s">
        <v>74</v>
      </c>
      <c r="AD221" t="s">
        <v>74</v>
      </c>
      <c r="AE221" t="s">
        <v>74</v>
      </c>
      <c r="AF221" t="s">
        <v>74</v>
      </c>
      <c r="AG221">
        <v>34</v>
      </c>
      <c r="AH221">
        <v>2</v>
      </c>
      <c r="AI221">
        <v>2</v>
      </c>
      <c r="AJ221">
        <v>0</v>
      </c>
      <c r="AK221">
        <v>0</v>
      </c>
      <c r="AL221" t="s">
        <v>4565</v>
      </c>
      <c r="AM221" t="s">
        <v>4566</v>
      </c>
      <c r="AN221" t="s">
        <v>4567</v>
      </c>
      <c r="AO221" t="s">
        <v>4568</v>
      </c>
      <c r="AP221" t="s">
        <v>4569</v>
      </c>
      <c r="AQ221" t="s">
        <v>74</v>
      </c>
      <c r="AR221" t="s">
        <v>4558</v>
      </c>
      <c r="AS221" t="s">
        <v>4570</v>
      </c>
      <c r="AT221" t="s">
        <v>2912</v>
      </c>
      <c r="AU221">
        <v>2020</v>
      </c>
      <c r="AV221">
        <v>55</v>
      </c>
      <c r="AW221">
        <v>1</v>
      </c>
      <c r="AX221" t="s">
        <v>74</v>
      </c>
      <c r="AY221" t="s">
        <v>74</v>
      </c>
      <c r="AZ221" t="s">
        <v>74</v>
      </c>
      <c r="BA221" t="s">
        <v>74</v>
      </c>
      <c r="BB221">
        <v>42</v>
      </c>
      <c r="BC221">
        <v>52</v>
      </c>
      <c r="BD221" t="s">
        <v>74</v>
      </c>
      <c r="BE221" t="s">
        <v>4571</v>
      </c>
      <c r="BF221" t="str">
        <f>HYPERLINK("http://dx.doi.org/10.3138/cart-2019-0004","http://dx.doi.org/10.3138/cart-2019-0004")</f>
        <v>http://dx.doi.org/10.3138/cart-2019-0004</v>
      </c>
      <c r="BG221" t="s">
        <v>74</v>
      </c>
      <c r="BH221" t="s">
        <v>74</v>
      </c>
      <c r="BI221">
        <v>11</v>
      </c>
      <c r="BJ221" t="s">
        <v>4572</v>
      </c>
      <c r="BK221" t="s">
        <v>274</v>
      </c>
      <c r="BL221" t="s">
        <v>4572</v>
      </c>
      <c r="BM221" t="s">
        <v>4573</v>
      </c>
      <c r="BN221" t="s">
        <v>74</v>
      </c>
      <c r="BO221" t="s">
        <v>74</v>
      </c>
      <c r="BP221" t="s">
        <v>74</v>
      </c>
      <c r="BQ221" t="s">
        <v>74</v>
      </c>
      <c r="BR221" t="s">
        <v>106</v>
      </c>
      <c r="BS221" t="s">
        <v>4574</v>
      </c>
      <c r="BT221" t="str">
        <f>HYPERLINK("https%3A%2F%2Fwww.webofscience.com%2Fwos%2Fwoscc%2Ffull-record%2FWOS:000521292500004","View Full Record in Web of Science")</f>
        <v>View Full Record in Web of Science</v>
      </c>
    </row>
    <row r="222" spans="1:72" x14ac:dyDescent="0.15">
      <c r="A222" t="s">
        <v>72</v>
      </c>
      <c r="B222" t="s">
        <v>4575</v>
      </c>
      <c r="C222" t="s">
        <v>74</v>
      </c>
      <c r="D222" t="s">
        <v>74</v>
      </c>
      <c r="E222" t="s">
        <v>74</v>
      </c>
      <c r="F222" t="s">
        <v>4576</v>
      </c>
      <c r="G222" t="s">
        <v>74</v>
      </c>
      <c r="H222" t="s">
        <v>74</v>
      </c>
      <c r="I222" t="s">
        <v>4577</v>
      </c>
      <c r="J222" t="s">
        <v>4578</v>
      </c>
      <c r="K222" t="s">
        <v>74</v>
      </c>
      <c r="L222" t="s">
        <v>74</v>
      </c>
      <c r="M222" t="s">
        <v>78</v>
      </c>
      <c r="N222" t="s">
        <v>79</v>
      </c>
      <c r="O222" t="s">
        <v>74</v>
      </c>
      <c r="P222" t="s">
        <v>74</v>
      </c>
      <c r="Q222" t="s">
        <v>74</v>
      </c>
      <c r="R222" t="s">
        <v>74</v>
      </c>
      <c r="S222" t="s">
        <v>74</v>
      </c>
      <c r="T222" t="s">
        <v>4579</v>
      </c>
      <c r="U222" t="s">
        <v>4580</v>
      </c>
      <c r="V222" t="s">
        <v>4581</v>
      </c>
      <c r="W222" t="s">
        <v>4582</v>
      </c>
      <c r="X222" t="s">
        <v>4583</v>
      </c>
      <c r="Y222" t="s">
        <v>4584</v>
      </c>
      <c r="Z222" t="s">
        <v>4585</v>
      </c>
      <c r="AA222" t="s">
        <v>4586</v>
      </c>
      <c r="AB222" t="s">
        <v>4587</v>
      </c>
      <c r="AC222" t="s">
        <v>4588</v>
      </c>
      <c r="AD222" t="s">
        <v>4589</v>
      </c>
      <c r="AE222" t="s">
        <v>4590</v>
      </c>
      <c r="AF222" t="s">
        <v>74</v>
      </c>
      <c r="AG222">
        <v>36</v>
      </c>
      <c r="AH222">
        <v>9</v>
      </c>
      <c r="AI222">
        <v>11</v>
      </c>
      <c r="AJ222">
        <v>12</v>
      </c>
      <c r="AK222">
        <v>63</v>
      </c>
      <c r="AL222" t="s">
        <v>4591</v>
      </c>
      <c r="AM222" t="s">
        <v>361</v>
      </c>
      <c r="AN222" t="s">
        <v>4592</v>
      </c>
      <c r="AO222" t="s">
        <v>74</v>
      </c>
      <c r="AP222" t="s">
        <v>4593</v>
      </c>
      <c r="AQ222" t="s">
        <v>74</v>
      </c>
      <c r="AR222" t="s">
        <v>4594</v>
      </c>
      <c r="AS222" t="s">
        <v>4595</v>
      </c>
      <c r="AT222" t="s">
        <v>2912</v>
      </c>
      <c r="AU222">
        <v>2020</v>
      </c>
      <c r="AV222">
        <v>9</v>
      </c>
      <c r="AW222">
        <v>1</v>
      </c>
      <c r="AX222" t="s">
        <v>74</v>
      </c>
      <c r="AY222" t="s">
        <v>74</v>
      </c>
      <c r="AZ222" t="s">
        <v>74</v>
      </c>
      <c r="BA222" t="s">
        <v>74</v>
      </c>
      <c r="BB222">
        <v>88</v>
      </c>
      <c r="BC222">
        <v>94</v>
      </c>
      <c r="BD222" t="s">
        <v>74</v>
      </c>
      <c r="BE222" t="s">
        <v>4596</v>
      </c>
      <c r="BF222" t="str">
        <f>HYPERLINK("http://dx.doi.org/10.1016/j.fshw.2020.01.002","http://dx.doi.org/10.1016/j.fshw.2020.01.002")</f>
        <v>http://dx.doi.org/10.1016/j.fshw.2020.01.002</v>
      </c>
      <c r="BG222" t="s">
        <v>74</v>
      </c>
      <c r="BH222" t="s">
        <v>74</v>
      </c>
      <c r="BI222">
        <v>7</v>
      </c>
      <c r="BJ222" t="s">
        <v>4597</v>
      </c>
      <c r="BK222" t="s">
        <v>103</v>
      </c>
      <c r="BL222" t="s">
        <v>4597</v>
      </c>
      <c r="BM222" t="s">
        <v>4598</v>
      </c>
      <c r="BN222" t="s">
        <v>74</v>
      </c>
      <c r="BO222" t="s">
        <v>2592</v>
      </c>
      <c r="BP222" t="s">
        <v>74</v>
      </c>
      <c r="BQ222" t="s">
        <v>74</v>
      </c>
      <c r="BR222" t="s">
        <v>106</v>
      </c>
      <c r="BS222" t="s">
        <v>4599</v>
      </c>
      <c r="BT222" t="str">
        <f>HYPERLINK("https%3A%2F%2Fwww.webofscience.com%2Fwos%2Fwoscc%2Ffull-record%2FWOS:000520851800012","View Full Record in Web of Science")</f>
        <v>View Full Record in Web of Science</v>
      </c>
    </row>
    <row r="223" spans="1:72" x14ac:dyDescent="0.15">
      <c r="A223" t="s">
        <v>72</v>
      </c>
      <c r="B223" t="s">
        <v>4600</v>
      </c>
      <c r="C223" t="s">
        <v>74</v>
      </c>
      <c r="D223" t="s">
        <v>74</v>
      </c>
      <c r="E223" t="s">
        <v>74</v>
      </c>
      <c r="F223" t="s">
        <v>4601</v>
      </c>
      <c r="G223" t="s">
        <v>74</v>
      </c>
      <c r="H223" t="s">
        <v>74</v>
      </c>
      <c r="I223" t="s">
        <v>4602</v>
      </c>
      <c r="J223" t="s">
        <v>4603</v>
      </c>
      <c r="K223" t="s">
        <v>74</v>
      </c>
      <c r="L223" t="s">
        <v>74</v>
      </c>
      <c r="M223" t="s">
        <v>78</v>
      </c>
      <c r="N223" t="s">
        <v>79</v>
      </c>
      <c r="O223" t="s">
        <v>74</v>
      </c>
      <c r="P223" t="s">
        <v>74</v>
      </c>
      <c r="Q223" t="s">
        <v>74</v>
      </c>
      <c r="R223" t="s">
        <v>74</v>
      </c>
      <c r="S223" t="s">
        <v>74</v>
      </c>
      <c r="T223" t="s">
        <v>74</v>
      </c>
      <c r="U223" t="s">
        <v>4604</v>
      </c>
      <c r="V223" t="s">
        <v>4605</v>
      </c>
      <c r="W223" t="s">
        <v>4606</v>
      </c>
      <c r="X223" t="s">
        <v>4607</v>
      </c>
      <c r="Y223" t="s">
        <v>4608</v>
      </c>
      <c r="Z223" t="s">
        <v>4609</v>
      </c>
      <c r="AA223" t="s">
        <v>4610</v>
      </c>
      <c r="AB223" t="s">
        <v>4611</v>
      </c>
      <c r="AC223" t="s">
        <v>4612</v>
      </c>
      <c r="AD223" t="s">
        <v>4613</v>
      </c>
      <c r="AE223" t="s">
        <v>4614</v>
      </c>
      <c r="AF223" t="s">
        <v>74</v>
      </c>
      <c r="AG223">
        <v>149</v>
      </c>
      <c r="AH223">
        <v>8</v>
      </c>
      <c r="AI223">
        <v>10</v>
      </c>
      <c r="AJ223">
        <v>0</v>
      </c>
      <c r="AK223">
        <v>6</v>
      </c>
      <c r="AL223" t="s">
        <v>4615</v>
      </c>
      <c r="AM223" t="s">
        <v>4616</v>
      </c>
      <c r="AN223" t="s">
        <v>4617</v>
      </c>
      <c r="AO223" t="s">
        <v>4618</v>
      </c>
      <c r="AP223" t="s">
        <v>4619</v>
      </c>
      <c r="AQ223" t="s">
        <v>74</v>
      </c>
      <c r="AR223" t="s">
        <v>4620</v>
      </c>
      <c r="AS223" t="s">
        <v>4621</v>
      </c>
      <c r="AT223" t="s">
        <v>4622</v>
      </c>
      <c r="AU223">
        <v>2020</v>
      </c>
      <c r="AV223">
        <v>132</v>
      </c>
      <c r="AW223" t="s">
        <v>4623</v>
      </c>
      <c r="AX223" t="s">
        <v>74</v>
      </c>
      <c r="AY223" t="s">
        <v>74</v>
      </c>
      <c r="AZ223" t="s">
        <v>74</v>
      </c>
      <c r="BA223" t="s">
        <v>74</v>
      </c>
      <c r="BB223">
        <v>545</v>
      </c>
      <c r="BC223">
        <v>561</v>
      </c>
      <c r="BD223" t="s">
        <v>74</v>
      </c>
      <c r="BE223" t="s">
        <v>4624</v>
      </c>
      <c r="BF223" t="str">
        <f>HYPERLINK("http://dx.doi.org/10.1130/B35100.1","http://dx.doi.org/10.1130/B35100.1")</f>
        <v>http://dx.doi.org/10.1130/B35100.1</v>
      </c>
      <c r="BG223" t="s">
        <v>74</v>
      </c>
      <c r="BH223" t="s">
        <v>74</v>
      </c>
      <c r="BI223">
        <v>17</v>
      </c>
      <c r="BJ223" t="s">
        <v>246</v>
      </c>
      <c r="BK223" t="s">
        <v>103</v>
      </c>
      <c r="BL223" t="s">
        <v>247</v>
      </c>
      <c r="BM223" t="s">
        <v>4625</v>
      </c>
      <c r="BN223" t="s">
        <v>74</v>
      </c>
      <c r="BO223" t="s">
        <v>74</v>
      </c>
      <c r="BP223" t="s">
        <v>74</v>
      </c>
      <c r="BQ223" t="s">
        <v>74</v>
      </c>
      <c r="BR223" t="s">
        <v>106</v>
      </c>
      <c r="BS223" t="s">
        <v>4626</v>
      </c>
      <c r="BT223" t="str">
        <f>HYPERLINK("https%3A%2F%2Fwww.webofscience.com%2Fwos%2Fwoscc%2Ffull-record%2FWOS:000518916800005","View Full Record in Web of Science")</f>
        <v>View Full Record in Web of Science</v>
      </c>
    </row>
    <row r="224" spans="1:72" x14ac:dyDescent="0.15">
      <c r="A224" t="s">
        <v>72</v>
      </c>
      <c r="B224" t="s">
        <v>4627</v>
      </c>
      <c r="C224" t="s">
        <v>74</v>
      </c>
      <c r="D224" t="s">
        <v>74</v>
      </c>
      <c r="E224" t="s">
        <v>74</v>
      </c>
      <c r="F224" t="s">
        <v>4628</v>
      </c>
      <c r="G224" t="s">
        <v>74</v>
      </c>
      <c r="H224" t="s">
        <v>74</v>
      </c>
      <c r="I224" t="s">
        <v>4629</v>
      </c>
      <c r="J224" t="s">
        <v>4603</v>
      </c>
      <c r="K224" t="s">
        <v>74</v>
      </c>
      <c r="L224" t="s">
        <v>74</v>
      </c>
      <c r="M224" t="s">
        <v>78</v>
      </c>
      <c r="N224" t="s">
        <v>79</v>
      </c>
      <c r="O224" t="s">
        <v>74</v>
      </c>
      <c r="P224" t="s">
        <v>74</v>
      </c>
      <c r="Q224" t="s">
        <v>74</v>
      </c>
      <c r="R224" t="s">
        <v>74</v>
      </c>
      <c r="S224" t="s">
        <v>74</v>
      </c>
      <c r="T224" t="s">
        <v>74</v>
      </c>
      <c r="U224" t="s">
        <v>4630</v>
      </c>
      <c r="V224" t="s">
        <v>4631</v>
      </c>
      <c r="W224" t="s">
        <v>4632</v>
      </c>
      <c r="X224" t="s">
        <v>4633</v>
      </c>
      <c r="Y224" t="s">
        <v>4634</v>
      </c>
      <c r="Z224" t="s">
        <v>4635</v>
      </c>
      <c r="AA224" t="s">
        <v>4636</v>
      </c>
      <c r="AB224" t="s">
        <v>4637</v>
      </c>
      <c r="AC224" t="s">
        <v>4638</v>
      </c>
      <c r="AD224" t="s">
        <v>4638</v>
      </c>
      <c r="AE224" t="s">
        <v>4639</v>
      </c>
      <c r="AF224" t="s">
        <v>74</v>
      </c>
      <c r="AG224">
        <v>130</v>
      </c>
      <c r="AH224">
        <v>9</v>
      </c>
      <c r="AI224">
        <v>9</v>
      </c>
      <c r="AJ224">
        <v>2</v>
      </c>
      <c r="AK224">
        <v>18</v>
      </c>
      <c r="AL224" t="s">
        <v>4615</v>
      </c>
      <c r="AM224" t="s">
        <v>4616</v>
      </c>
      <c r="AN224" t="s">
        <v>4617</v>
      </c>
      <c r="AO224" t="s">
        <v>4618</v>
      </c>
      <c r="AP224" t="s">
        <v>4619</v>
      </c>
      <c r="AQ224" t="s">
        <v>74</v>
      </c>
      <c r="AR224" t="s">
        <v>4620</v>
      </c>
      <c r="AS224" t="s">
        <v>4621</v>
      </c>
      <c r="AT224" t="s">
        <v>4622</v>
      </c>
      <c r="AU224">
        <v>2020</v>
      </c>
      <c r="AV224">
        <v>132</v>
      </c>
      <c r="AW224" t="s">
        <v>4623</v>
      </c>
      <c r="AX224" t="s">
        <v>74</v>
      </c>
      <c r="AY224" t="s">
        <v>74</v>
      </c>
      <c r="AZ224" t="s">
        <v>74</v>
      </c>
      <c r="BA224" t="s">
        <v>74</v>
      </c>
      <c r="BB224">
        <v>687</v>
      </c>
      <c r="BC224">
        <v>709</v>
      </c>
      <c r="BD224" t="s">
        <v>74</v>
      </c>
      <c r="BE224" t="s">
        <v>4640</v>
      </c>
      <c r="BF224" t="str">
        <f>HYPERLINK("http://dx.doi.org/10.1130/B32061.1","http://dx.doi.org/10.1130/B32061.1")</f>
        <v>http://dx.doi.org/10.1130/B32061.1</v>
      </c>
      <c r="BG224" t="s">
        <v>74</v>
      </c>
      <c r="BH224" t="s">
        <v>74</v>
      </c>
      <c r="BI224">
        <v>23</v>
      </c>
      <c r="BJ224" t="s">
        <v>246</v>
      </c>
      <c r="BK224" t="s">
        <v>103</v>
      </c>
      <c r="BL224" t="s">
        <v>247</v>
      </c>
      <c r="BM224" t="s">
        <v>4625</v>
      </c>
      <c r="BN224" t="s">
        <v>74</v>
      </c>
      <c r="BO224" t="s">
        <v>74</v>
      </c>
      <c r="BP224" t="s">
        <v>74</v>
      </c>
      <c r="BQ224" t="s">
        <v>74</v>
      </c>
      <c r="BR224" t="s">
        <v>106</v>
      </c>
      <c r="BS224" t="s">
        <v>4641</v>
      </c>
      <c r="BT224" t="str">
        <f>HYPERLINK("https%3A%2F%2Fwww.webofscience.com%2Fwos%2Fwoscc%2Ffull-record%2FWOS:000518916800013","View Full Record in Web of Science")</f>
        <v>View Full Record in Web of Science</v>
      </c>
    </row>
    <row r="225" spans="1:72" x14ac:dyDescent="0.15">
      <c r="A225" t="s">
        <v>72</v>
      </c>
      <c r="B225" t="s">
        <v>4642</v>
      </c>
      <c r="C225" t="s">
        <v>74</v>
      </c>
      <c r="D225" t="s">
        <v>74</v>
      </c>
      <c r="E225" t="s">
        <v>74</v>
      </c>
      <c r="F225" t="s">
        <v>4643</v>
      </c>
      <c r="G225" t="s">
        <v>74</v>
      </c>
      <c r="H225" t="s">
        <v>74</v>
      </c>
      <c r="I225" t="s">
        <v>4644</v>
      </c>
      <c r="J225" t="s">
        <v>4645</v>
      </c>
      <c r="K225" t="s">
        <v>74</v>
      </c>
      <c r="L225" t="s">
        <v>74</v>
      </c>
      <c r="M225" t="s">
        <v>78</v>
      </c>
      <c r="N225" t="s">
        <v>79</v>
      </c>
      <c r="O225" t="s">
        <v>74</v>
      </c>
      <c r="P225" t="s">
        <v>74</v>
      </c>
      <c r="Q225" t="s">
        <v>74</v>
      </c>
      <c r="R225" t="s">
        <v>74</v>
      </c>
      <c r="S225" t="s">
        <v>74</v>
      </c>
      <c r="T225" t="s">
        <v>4646</v>
      </c>
      <c r="U225" t="s">
        <v>4647</v>
      </c>
      <c r="V225" t="s">
        <v>4648</v>
      </c>
      <c r="W225" t="s">
        <v>4649</v>
      </c>
      <c r="X225" t="s">
        <v>4650</v>
      </c>
      <c r="Y225" t="s">
        <v>4651</v>
      </c>
      <c r="Z225" t="s">
        <v>4652</v>
      </c>
      <c r="AA225" t="s">
        <v>4653</v>
      </c>
      <c r="AB225" t="s">
        <v>4654</v>
      </c>
      <c r="AC225" t="s">
        <v>4655</v>
      </c>
      <c r="AD225" t="s">
        <v>4656</v>
      </c>
      <c r="AE225" t="s">
        <v>4657</v>
      </c>
      <c r="AF225" t="s">
        <v>74</v>
      </c>
      <c r="AG225">
        <v>64</v>
      </c>
      <c r="AH225">
        <v>10</v>
      </c>
      <c r="AI225">
        <v>10</v>
      </c>
      <c r="AJ225">
        <v>0</v>
      </c>
      <c r="AK225">
        <v>6</v>
      </c>
      <c r="AL225" t="s">
        <v>4658</v>
      </c>
      <c r="AM225" t="s">
        <v>4659</v>
      </c>
      <c r="AN225" t="s">
        <v>4660</v>
      </c>
      <c r="AO225" t="s">
        <v>4661</v>
      </c>
      <c r="AP225" t="s">
        <v>4662</v>
      </c>
      <c r="AQ225" t="s">
        <v>74</v>
      </c>
      <c r="AR225" t="s">
        <v>4663</v>
      </c>
      <c r="AS225" t="s">
        <v>4664</v>
      </c>
      <c r="AT225" t="s">
        <v>2912</v>
      </c>
      <c r="AU225">
        <v>2020</v>
      </c>
      <c r="AV225">
        <v>35</v>
      </c>
      <c r="AW225">
        <v>1</v>
      </c>
      <c r="AX225" t="s">
        <v>74</v>
      </c>
      <c r="AY225" t="s">
        <v>74</v>
      </c>
      <c r="AZ225" t="s">
        <v>74</v>
      </c>
      <c r="BA225" t="s">
        <v>74</v>
      </c>
      <c r="BB225">
        <v>17</v>
      </c>
      <c r="BC225">
        <v>32</v>
      </c>
      <c r="BD225" t="s">
        <v>74</v>
      </c>
      <c r="BE225" t="s">
        <v>4665</v>
      </c>
      <c r="BF225" t="str">
        <f>HYPERLINK("http://dx.doi.org/10.4490/algae.2020.35.2.23","http://dx.doi.org/10.4490/algae.2020.35.2.23")</f>
        <v>http://dx.doi.org/10.4490/algae.2020.35.2.23</v>
      </c>
      <c r="BG225" t="s">
        <v>74</v>
      </c>
      <c r="BH225" t="s">
        <v>74</v>
      </c>
      <c r="BI225">
        <v>16</v>
      </c>
      <c r="BJ225" t="s">
        <v>4666</v>
      </c>
      <c r="BK225" t="s">
        <v>103</v>
      </c>
      <c r="BL225" t="s">
        <v>4666</v>
      </c>
      <c r="BM225" t="s">
        <v>4667</v>
      </c>
      <c r="BN225" t="s">
        <v>74</v>
      </c>
      <c r="BO225" t="s">
        <v>2592</v>
      </c>
      <c r="BP225" t="s">
        <v>74</v>
      </c>
      <c r="BQ225" t="s">
        <v>74</v>
      </c>
      <c r="BR225" t="s">
        <v>106</v>
      </c>
      <c r="BS225" t="s">
        <v>4668</v>
      </c>
      <c r="BT225" t="str">
        <f>HYPERLINK("https%3A%2F%2Fwww.webofscience.com%2Fwos%2Fwoscc%2Ffull-record%2FWOS:000520862700002","View Full Record in Web of Science")</f>
        <v>View Full Record in Web of Science</v>
      </c>
    </row>
    <row r="226" spans="1:72" x14ac:dyDescent="0.15">
      <c r="A226" t="s">
        <v>72</v>
      </c>
      <c r="B226" t="s">
        <v>4669</v>
      </c>
      <c r="C226" t="s">
        <v>74</v>
      </c>
      <c r="D226" t="s">
        <v>74</v>
      </c>
      <c r="E226" t="s">
        <v>74</v>
      </c>
      <c r="F226" t="s">
        <v>4670</v>
      </c>
      <c r="G226" t="s">
        <v>74</v>
      </c>
      <c r="H226" t="s">
        <v>74</v>
      </c>
      <c r="I226" t="s">
        <v>4671</v>
      </c>
      <c r="J226" t="s">
        <v>4672</v>
      </c>
      <c r="K226" t="s">
        <v>74</v>
      </c>
      <c r="L226" t="s">
        <v>74</v>
      </c>
      <c r="M226" t="s">
        <v>78</v>
      </c>
      <c r="N226" t="s">
        <v>79</v>
      </c>
      <c r="O226" t="s">
        <v>74</v>
      </c>
      <c r="P226" t="s">
        <v>74</v>
      </c>
      <c r="Q226" t="s">
        <v>74</v>
      </c>
      <c r="R226" t="s">
        <v>74</v>
      </c>
      <c r="S226" t="s">
        <v>74</v>
      </c>
      <c r="T226" t="s">
        <v>4673</v>
      </c>
      <c r="U226" t="s">
        <v>4674</v>
      </c>
      <c r="V226" t="s">
        <v>4675</v>
      </c>
      <c r="W226" t="s">
        <v>4676</v>
      </c>
      <c r="X226" t="s">
        <v>4677</v>
      </c>
      <c r="Y226" t="s">
        <v>4678</v>
      </c>
      <c r="Z226" t="s">
        <v>4679</v>
      </c>
      <c r="AA226" t="s">
        <v>4680</v>
      </c>
      <c r="AB226" t="s">
        <v>4681</v>
      </c>
      <c r="AC226" t="s">
        <v>4682</v>
      </c>
      <c r="AD226" t="s">
        <v>4682</v>
      </c>
      <c r="AE226" t="s">
        <v>4683</v>
      </c>
      <c r="AF226" t="s">
        <v>74</v>
      </c>
      <c r="AG226">
        <v>66</v>
      </c>
      <c r="AH226">
        <v>3</v>
      </c>
      <c r="AI226">
        <v>3</v>
      </c>
      <c r="AJ226">
        <v>0</v>
      </c>
      <c r="AK226">
        <v>7</v>
      </c>
      <c r="AL226" t="s">
        <v>289</v>
      </c>
      <c r="AM226" t="s">
        <v>290</v>
      </c>
      <c r="AN226" t="s">
        <v>291</v>
      </c>
      <c r="AO226" t="s">
        <v>4684</v>
      </c>
      <c r="AP226" t="s">
        <v>4685</v>
      </c>
      <c r="AQ226" t="s">
        <v>74</v>
      </c>
      <c r="AR226" t="s">
        <v>4686</v>
      </c>
      <c r="AS226" t="s">
        <v>4687</v>
      </c>
      <c r="AT226" t="s">
        <v>2912</v>
      </c>
      <c r="AU226">
        <v>2020</v>
      </c>
      <c r="AV226">
        <v>23</v>
      </c>
      <c r="AW226" t="s">
        <v>74</v>
      </c>
      <c r="AX226" t="s">
        <v>74</v>
      </c>
      <c r="AY226" t="s">
        <v>74</v>
      </c>
      <c r="AZ226" t="s">
        <v>74</v>
      </c>
      <c r="BA226" t="s">
        <v>74</v>
      </c>
      <c r="BB226" t="s">
        <v>74</v>
      </c>
      <c r="BC226" t="s">
        <v>74</v>
      </c>
      <c r="BD226">
        <v>100505</v>
      </c>
      <c r="BE226" t="s">
        <v>4688</v>
      </c>
      <c r="BF226" t="str">
        <f>HYPERLINK("http://dx.doi.org/10.1016/j.polar.2020.100505","http://dx.doi.org/10.1016/j.polar.2020.100505")</f>
        <v>http://dx.doi.org/10.1016/j.polar.2020.100505</v>
      </c>
      <c r="BG226" t="s">
        <v>74</v>
      </c>
      <c r="BH226" t="s">
        <v>74</v>
      </c>
      <c r="BI226">
        <v>10</v>
      </c>
      <c r="BJ226" t="s">
        <v>1404</v>
      </c>
      <c r="BK226" t="s">
        <v>103</v>
      </c>
      <c r="BL226" t="s">
        <v>1405</v>
      </c>
      <c r="BM226" t="s">
        <v>4689</v>
      </c>
      <c r="BN226" t="s">
        <v>74</v>
      </c>
      <c r="BO226" t="s">
        <v>416</v>
      </c>
      <c r="BP226" t="s">
        <v>74</v>
      </c>
      <c r="BQ226" t="s">
        <v>74</v>
      </c>
      <c r="BR226" t="s">
        <v>106</v>
      </c>
      <c r="BS226" t="s">
        <v>4690</v>
      </c>
      <c r="BT226" t="str">
        <f>HYPERLINK("https%3A%2F%2Fwww.webofscience.com%2Fwos%2Fwoscc%2Ffull-record%2FWOS:000519985400006","View Full Record in Web of Science")</f>
        <v>View Full Record in Web of Science</v>
      </c>
    </row>
    <row r="227" spans="1:72" x14ac:dyDescent="0.15">
      <c r="A227" t="s">
        <v>72</v>
      </c>
      <c r="B227" t="s">
        <v>4691</v>
      </c>
      <c r="C227" t="s">
        <v>74</v>
      </c>
      <c r="D227" t="s">
        <v>74</v>
      </c>
      <c r="E227" t="s">
        <v>74</v>
      </c>
      <c r="F227" t="s">
        <v>4692</v>
      </c>
      <c r="G227" t="s">
        <v>74</v>
      </c>
      <c r="H227" t="s">
        <v>74</v>
      </c>
      <c r="I227" t="s">
        <v>4693</v>
      </c>
      <c r="J227" t="s">
        <v>4672</v>
      </c>
      <c r="K227" t="s">
        <v>74</v>
      </c>
      <c r="L227" t="s">
        <v>74</v>
      </c>
      <c r="M227" t="s">
        <v>78</v>
      </c>
      <c r="N227" t="s">
        <v>3031</v>
      </c>
      <c r="O227" t="s">
        <v>4694</v>
      </c>
      <c r="P227" t="s">
        <v>4695</v>
      </c>
      <c r="Q227" t="s">
        <v>4696</v>
      </c>
      <c r="R227" t="s">
        <v>74</v>
      </c>
      <c r="S227" t="s">
        <v>74</v>
      </c>
      <c r="T227" t="s">
        <v>4697</v>
      </c>
      <c r="U227" t="s">
        <v>4698</v>
      </c>
      <c r="V227" t="s">
        <v>4699</v>
      </c>
      <c r="W227" t="s">
        <v>4700</v>
      </c>
      <c r="X227" t="s">
        <v>4701</v>
      </c>
      <c r="Y227" t="s">
        <v>4702</v>
      </c>
      <c r="Z227" t="s">
        <v>4703</v>
      </c>
      <c r="AA227" t="s">
        <v>4704</v>
      </c>
      <c r="AB227" t="s">
        <v>4705</v>
      </c>
      <c r="AC227" t="s">
        <v>4706</v>
      </c>
      <c r="AD227" t="s">
        <v>4707</v>
      </c>
      <c r="AE227" t="s">
        <v>4708</v>
      </c>
      <c r="AF227" t="s">
        <v>74</v>
      </c>
      <c r="AG227">
        <v>37</v>
      </c>
      <c r="AH227">
        <v>9</v>
      </c>
      <c r="AI227">
        <v>9</v>
      </c>
      <c r="AJ227">
        <v>17</v>
      </c>
      <c r="AK227">
        <v>75</v>
      </c>
      <c r="AL227" t="s">
        <v>289</v>
      </c>
      <c r="AM227" t="s">
        <v>290</v>
      </c>
      <c r="AN227" t="s">
        <v>291</v>
      </c>
      <c r="AO227" t="s">
        <v>4684</v>
      </c>
      <c r="AP227" t="s">
        <v>4685</v>
      </c>
      <c r="AQ227" t="s">
        <v>74</v>
      </c>
      <c r="AR227" t="s">
        <v>4686</v>
      </c>
      <c r="AS227" t="s">
        <v>4687</v>
      </c>
      <c r="AT227" t="s">
        <v>2912</v>
      </c>
      <c r="AU227">
        <v>2020</v>
      </c>
      <c r="AV227">
        <v>23</v>
      </c>
      <c r="AW227" t="s">
        <v>74</v>
      </c>
      <c r="AX227" t="s">
        <v>74</v>
      </c>
      <c r="AY227" t="s">
        <v>74</v>
      </c>
      <c r="AZ227" t="s">
        <v>74</v>
      </c>
      <c r="BA227" t="s">
        <v>74</v>
      </c>
      <c r="BB227" t="s">
        <v>74</v>
      </c>
      <c r="BC227" t="s">
        <v>74</v>
      </c>
      <c r="BD227">
        <v>100487</v>
      </c>
      <c r="BE227" t="s">
        <v>4709</v>
      </c>
      <c r="BF227" t="str">
        <f>HYPERLINK("http://dx.doi.org/10.1016/j.polar.2019.100487","http://dx.doi.org/10.1016/j.polar.2019.100487")</f>
        <v>http://dx.doi.org/10.1016/j.polar.2019.100487</v>
      </c>
      <c r="BG227" t="s">
        <v>74</v>
      </c>
      <c r="BH227" t="s">
        <v>74</v>
      </c>
      <c r="BI227">
        <v>7</v>
      </c>
      <c r="BJ227" t="s">
        <v>1404</v>
      </c>
      <c r="BK227" t="s">
        <v>3261</v>
      </c>
      <c r="BL227" t="s">
        <v>1405</v>
      </c>
      <c r="BM227" t="s">
        <v>4689</v>
      </c>
      <c r="BN227" t="s">
        <v>74</v>
      </c>
      <c r="BO227" t="s">
        <v>148</v>
      </c>
      <c r="BP227" t="s">
        <v>74</v>
      </c>
      <c r="BQ227" t="s">
        <v>74</v>
      </c>
      <c r="BR227" t="s">
        <v>106</v>
      </c>
      <c r="BS227" t="s">
        <v>4710</v>
      </c>
      <c r="BT227" t="str">
        <f>HYPERLINK("https%3A%2F%2Fwww.webofscience.com%2Fwos%2Fwoscc%2Ffull-record%2FWOS:000519985400008","View Full Record in Web of Science")</f>
        <v>View Full Record in Web of Science</v>
      </c>
    </row>
    <row r="228" spans="1:72" x14ac:dyDescent="0.15">
      <c r="A228" t="s">
        <v>72</v>
      </c>
      <c r="B228" t="s">
        <v>4711</v>
      </c>
      <c r="C228" t="s">
        <v>74</v>
      </c>
      <c r="D228" t="s">
        <v>74</v>
      </c>
      <c r="E228" t="s">
        <v>74</v>
      </c>
      <c r="F228" t="s">
        <v>4712</v>
      </c>
      <c r="G228" t="s">
        <v>74</v>
      </c>
      <c r="H228" t="s">
        <v>74</v>
      </c>
      <c r="I228" t="s">
        <v>4713</v>
      </c>
      <c r="J228" t="s">
        <v>4672</v>
      </c>
      <c r="K228" t="s">
        <v>74</v>
      </c>
      <c r="L228" t="s">
        <v>74</v>
      </c>
      <c r="M228" t="s">
        <v>78</v>
      </c>
      <c r="N228" t="s">
        <v>79</v>
      </c>
      <c r="O228" t="s">
        <v>74</v>
      </c>
      <c r="P228" t="s">
        <v>74</v>
      </c>
      <c r="Q228" t="s">
        <v>74</v>
      </c>
      <c r="R228" t="s">
        <v>74</v>
      </c>
      <c r="S228" t="s">
        <v>74</v>
      </c>
      <c r="T228" t="s">
        <v>4714</v>
      </c>
      <c r="U228" t="s">
        <v>4715</v>
      </c>
      <c r="V228" t="s">
        <v>4716</v>
      </c>
      <c r="W228" t="s">
        <v>4717</v>
      </c>
      <c r="X228" t="s">
        <v>4718</v>
      </c>
      <c r="Y228" t="s">
        <v>4719</v>
      </c>
      <c r="Z228" t="s">
        <v>4720</v>
      </c>
      <c r="AA228" t="s">
        <v>4721</v>
      </c>
      <c r="AB228" t="s">
        <v>4722</v>
      </c>
      <c r="AC228" t="s">
        <v>4723</v>
      </c>
      <c r="AD228" t="s">
        <v>4724</v>
      </c>
      <c r="AE228" t="s">
        <v>4725</v>
      </c>
      <c r="AF228" t="s">
        <v>74</v>
      </c>
      <c r="AG228">
        <v>65</v>
      </c>
      <c r="AH228">
        <v>10</v>
      </c>
      <c r="AI228">
        <v>10</v>
      </c>
      <c r="AJ228">
        <v>0</v>
      </c>
      <c r="AK228">
        <v>9</v>
      </c>
      <c r="AL228" t="s">
        <v>289</v>
      </c>
      <c r="AM228" t="s">
        <v>290</v>
      </c>
      <c r="AN228" t="s">
        <v>291</v>
      </c>
      <c r="AO228" t="s">
        <v>4684</v>
      </c>
      <c r="AP228" t="s">
        <v>4685</v>
      </c>
      <c r="AQ228" t="s">
        <v>74</v>
      </c>
      <c r="AR228" t="s">
        <v>4686</v>
      </c>
      <c r="AS228" t="s">
        <v>4687</v>
      </c>
      <c r="AT228" t="s">
        <v>2912</v>
      </c>
      <c r="AU228">
        <v>2020</v>
      </c>
      <c r="AV228">
        <v>23</v>
      </c>
      <c r="AW228" t="s">
        <v>74</v>
      </c>
      <c r="AX228" t="s">
        <v>74</v>
      </c>
      <c r="AY228" t="s">
        <v>74</v>
      </c>
      <c r="AZ228" t="s">
        <v>74</v>
      </c>
      <c r="BA228" t="s">
        <v>74</v>
      </c>
      <c r="BB228" t="s">
        <v>74</v>
      </c>
      <c r="BC228" t="s">
        <v>74</v>
      </c>
      <c r="BD228">
        <v>100506</v>
      </c>
      <c r="BE228" t="s">
        <v>4726</v>
      </c>
      <c r="BF228" t="str">
        <f>HYPERLINK("http://dx.doi.org/10.1016/j.polar.2020.100506","http://dx.doi.org/10.1016/j.polar.2020.100506")</f>
        <v>http://dx.doi.org/10.1016/j.polar.2020.100506</v>
      </c>
      <c r="BG228" t="s">
        <v>74</v>
      </c>
      <c r="BH228" t="s">
        <v>74</v>
      </c>
      <c r="BI228">
        <v>12</v>
      </c>
      <c r="BJ228" t="s">
        <v>1404</v>
      </c>
      <c r="BK228" t="s">
        <v>103</v>
      </c>
      <c r="BL228" t="s">
        <v>1405</v>
      </c>
      <c r="BM228" t="s">
        <v>4689</v>
      </c>
      <c r="BN228" t="s">
        <v>74</v>
      </c>
      <c r="BO228" t="s">
        <v>148</v>
      </c>
      <c r="BP228" t="s">
        <v>74</v>
      </c>
      <c r="BQ228" t="s">
        <v>74</v>
      </c>
      <c r="BR228" t="s">
        <v>106</v>
      </c>
      <c r="BS228" t="s">
        <v>4727</v>
      </c>
      <c r="BT228" t="str">
        <f>HYPERLINK("https%3A%2F%2Fwww.webofscience.com%2Fwos%2Fwoscc%2Ffull-record%2FWOS:000519985400007","View Full Record in Web of Science")</f>
        <v>View Full Record in Web of Science</v>
      </c>
    </row>
    <row r="229" spans="1:72" x14ac:dyDescent="0.15">
      <c r="A229" t="s">
        <v>72</v>
      </c>
      <c r="B229" t="s">
        <v>4728</v>
      </c>
      <c r="C229" t="s">
        <v>74</v>
      </c>
      <c r="D229" t="s">
        <v>74</v>
      </c>
      <c r="E229" t="s">
        <v>74</v>
      </c>
      <c r="F229" t="s">
        <v>4729</v>
      </c>
      <c r="G229" t="s">
        <v>74</v>
      </c>
      <c r="H229" t="s">
        <v>74</v>
      </c>
      <c r="I229" t="s">
        <v>4730</v>
      </c>
      <c r="J229" t="s">
        <v>2079</v>
      </c>
      <c r="K229" t="s">
        <v>74</v>
      </c>
      <c r="L229" t="s">
        <v>74</v>
      </c>
      <c r="M229" t="s">
        <v>78</v>
      </c>
      <c r="N229" t="s">
        <v>79</v>
      </c>
      <c r="O229" t="s">
        <v>74</v>
      </c>
      <c r="P229" t="s">
        <v>74</v>
      </c>
      <c r="Q229" t="s">
        <v>74</v>
      </c>
      <c r="R229" t="s">
        <v>74</v>
      </c>
      <c r="S229" t="s">
        <v>74</v>
      </c>
      <c r="T229" t="s">
        <v>4731</v>
      </c>
      <c r="U229" t="s">
        <v>4732</v>
      </c>
      <c r="V229" t="s">
        <v>4733</v>
      </c>
      <c r="W229" t="s">
        <v>4734</v>
      </c>
      <c r="X229" t="s">
        <v>4735</v>
      </c>
      <c r="Y229" t="s">
        <v>4736</v>
      </c>
      <c r="Z229" t="s">
        <v>4737</v>
      </c>
      <c r="AA229" t="s">
        <v>4738</v>
      </c>
      <c r="AB229" t="s">
        <v>4739</v>
      </c>
      <c r="AC229" t="s">
        <v>4740</v>
      </c>
      <c r="AD229" t="s">
        <v>4741</v>
      </c>
      <c r="AE229" t="s">
        <v>4742</v>
      </c>
      <c r="AF229" t="s">
        <v>74</v>
      </c>
      <c r="AG229">
        <v>112</v>
      </c>
      <c r="AH229">
        <v>14</v>
      </c>
      <c r="AI229">
        <v>14</v>
      </c>
      <c r="AJ229">
        <v>2</v>
      </c>
      <c r="AK229">
        <v>30</v>
      </c>
      <c r="AL229" t="s">
        <v>434</v>
      </c>
      <c r="AM229" t="s">
        <v>435</v>
      </c>
      <c r="AN229" t="s">
        <v>436</v>
      </c>
      <c r="AO229" t="s">
        <v>2088</v>
      </c>
      <c r="AP229" t="s">
        <v>4743</v>
      </c>
      <c r="AQ229" t="s">
        <v>74</v>
      </c>
      <c r="AR229" t="s">
        <v>2089</v>
      </c>
      <c r="AS229" t="s">
        <v>2090</v>
      </c>
      <c r="AT229" t="s">
        <v>4260</v>
      </c>
      <c r="AU229">
        <v>2020</v>
      </c>
      <c r="AV229">
        <v>231</v>
      </c>
      <c r="AW229" t="s">
        <v>74</v>
      </c>
      <c r="AX229" t="s">
        <v>74</v>
      </c>
      <c r="AY229" t="s">
        <v>74</v>
      </c>
      <c r="AZ229" t="s">
        <v>74</v>
      </c>
      <c r="BA229" t="s">
        <v>74</v>
      </c>
      <c r="BB229" t="s">
        <v>74</v>
      </c>
      <c r="BC229" t="s">
        <v>74</v>
      </c>
      <c r="BD229">
        <v>106169</v>
      </c>
      <c r="BE229" t="s">
        <v>4744</v>
      </c>
      <c r="BF229" t="str">
        <f>HYPERLINK("http://dx.doi.org/10.1016/j.quascirev.2020.106169","http://dx.doi.org/10.1016/j.quascirev.2020.106169")</f>
        <v>http://dx.doi.org/10.1016/j.quascirev.2020.106169</v>
      </c>
      <c r="BG229" t="s">
        <v>74</v>
      </c>
      <c r="BH229" t="s">
        <v>74</v>
      </c>
      <c r="BI229">
        <v>13</v>
      </c>
      <c r="BJ229" t="s">
        <v>1307</v>
      </c>
      <c r="BK229" t="s">
        <v>103</v>
      </c>
      <c r="BL229" t="s">
        <v>1308</v>
      </c>
      <c r="BM229" t="s">
        <v>4745</v>
      </c>
      <c r="BN229" t="s">
        <v>74</v>
      </c>
      <c r="BO229" t="s">
        <v>1174</v>
      </c>
      <c r="BP229" t="s">
        <v>74</v>
      </c>
      <c r="BQ229" t="s">
        <v>74</v>
      </c>
      <c r="BR229" t="s">
        <v>106</v>
      </c>
      <c r="BS229" t="s">
        <v>4746</v>
      </c>
      <c r="BT229" t="str">
        <f>HYPERLINK("https%3A%2F%2Fwww.webofscience.com%2Fwos%2Fwoscc%2Ffull-record%2FWOS:000519667900002","View Full Record in Web of Science")</f>
        <v>View Full Record in Web of Science</v>
      </c>
    </row>
    <row r="230" spans="1:72" x14ac:dyDescent="0.15">
      <c r="A230" t="s">
        <v>72</v>
      </c>
      <c r="B230" t="s">
        <v>4747</v>
      </c>
      <c r="C230" t="s">
        <v>74</v>
      </c>
      <c r="D230" t="s">
        <v>74</v>
      </c>
      <c r="E230" t="s">
        <v>74</v>
      </c>
      <c r="F230" t="s">
        <v>4748</v>
      </c>
      <c r="G230" t="s">
        <v>74</v>
      </c>
      <c r="H230" t="s">
        <v>74</v>
      </c>
      <c r="I230" t="s">
        <v>4749</v>
      </c>
      <c r="J230" t="s">
        <v>2079</v>
      </c>
      <c r="K230" t="s">
        <v>74</v>
      </c>
      <c r="L230" t="s">
        <v>74</v>
      </c>
      <c r="M230" t="s">
        <v>78</v>
      </c>
      <c r="N230" t="s">
        <v>79</v>
      </c>
      <c r="O230" t="s">
        <v>74</v>
      </c>
      <c r="P230" t="s">
        <v>74</v>
      </c>
      <c r="Q230" t="s">
        <v>74</v>
      </c>
      <c r="R230" t="s">
        <v>74</v>
      </c>
      <c r="S230" t="s">
        <v>74</v>
      </c>
      <c r="T230" t="s">
        <v>4750</v>
      </c>
      <c r="U230" t="s">
        <v>4751</v>
      </c>
      <c r="V230" t="s">
        <v>4752</v>
      </c>
      <c r="W230" t="s">
        <v>4753</v>
      </c>
      <c r="X230" t="s">
        <v>4754</v>
      </c>
      <c r="Y230" t="s">
        <v>4755</v>
      </c>
      <c r="Z230" t="s">
        <v>4756</v>
      </c>
      <c r="AA230" t="s">
        <v>4757</v>
      </c>
      <c r="AB230" t="s">
        <v>4758</v>
      </c>
      <c r="AC230" t="s">
        <v>4759</v>
      </c>
      <c r="AD230" t="s">
        <v>4760</v>
      </c>
      <c r="AE230" t="s">
        <v>4761</v>
      </c>
      <c r="AF230" t="s">
        <v>74</v>
      </c>
      <c r="AG230">
        <v>82</v>
      </c>
      <c r="AH230">
        <v>15</v>
      </c>
      <c r="AI230">
        <v>15</v>
      </c>
      <c r="AJ230">
        <v>0</v>
      </c>
      <c r="AK230">
        <v>5</v>
      </c>
      <c r="AL230" t="s">
        <v>434</v>
      </c>
      <c r="AM230" t="s">
        <v>435</v>
      </c>
      <c r="AN230" t="s">
        <v>436</v>
      </c>
      <c r="AO230" t="s">
        <v>2088</v>
      </c>
      <c r="AP230" t="s">
        <v>74</v>
      </c>
      <c r="AQ230" t="s">
        <v>74</v>
      </c>
      <c r="AR230" t="s">
        <v>2089</v>
      </c>
      <c r="AS230" t="s">
        <v>2090</v>
      </c>
      <c r="AT230" t="s">
        <v>4260</v>
      </c>
      <c r="AU230">
        <v>2020</v>
      </c>
      <c r="AV230">
        <v>231</v>
      </c>
      <c r="AW230" t="s">
        <v>74</v>
      </c>
      <c r="AX230" t="s">
        <v>74</v>
      </c>
      <c r="AY230" t="s">
        <v>74</v>
      </c>
      <c r="AZ230" t="s">
        <v>74</v>
      </c>
      <c r="BA230" t="s">
        <v>74</v>
      </c>
      <c r="BB230" t="s">
        <v>74</v>
      </c>
      <c r="BC230" t="s">
        <v>74</v>
      </c>
      <c r="BD230">
        <v>106208</v>
      </c>
      <c r="BE230" t="s">
        <v>4762</v>
      </c>
      <c r="BF230" t="str">
        <f>HYPERLINK("http://dx.doi.org/10.1016/j.quascirev.2020.106208","http://dx.doi.org/10.1016/j.quascirev.2020.106208")</f>
        <v>http://dx.doi.org/10.1016/j.quascirev.2020.106208</v>
      </c>
      <c r="BG230" t="s">
        <v>74</v>
      </c>
      <c r="BH230" t="s">
        <v>74</v>
      </c>
      <c r="BI230">
        <v>11</v>
      </c>
      <c r="BJ230" t="s">
        <v>1307</v>
      </c>
      <c r="BK230" t="s">
        <v>103</v>
      </c>
      <c r="BL230" t="s">
        <v>1308</v>
      </c>
      <c r="BM230" t="s">
        <v>4745</v>
      </c>
      <c r="BN230" t="s">
        <v>74</v>
      </c>
      <c r="BO230" t="s">
        <v>298</v>
      </c>
      <c r="BP230" t="s">
        <v>74</v>
      </c>
      <c r="BQ230" t="s">
        <v>74</v>
      </c>
      <c r="BR230" t="s">
        <v>106</v>
      </c>
      <c r="BS230" t="s">
        <v>4763</v>
      </c>
      <c r="BT230" t="str">
        <f>HYPERLINK("https%3A%2F%2Fwww.webofscience.com%2Fwos%2Fwoscc%2Ffull-record%2FWOS:000519667900016","View Full Record in Web of Science")</f>
        <v>View Full Record in Web of Science</v>
      </c>
    </row>
    <row r="231" spans="1:72" x14ac:dyDescent="0.15">
      <c r="A231" t="s">
        <v>72</v>
      </c>
      <c r="B231" t="s">
        <v>4764</v>
      </c>
      <c r="C231" t="s">
        <v>74</v>
      </c>
      <c r="D231" t="s">
        <v>74</v>
      </c>
      <c r="E231" t="s">
        <v>74</v>
      </c>
      <c r="F231" t="s">
        <v>4765</v>
      </c>
      <c r="G231" t="s">
        <v>74</v>
      </c>
      <c r="H231" t="s">
        <v>74</v>
      </c>
      <c r="I231" t="s">
        <v>4766</v>
      </c>
      <c r="J231" t="s">
        <v>4767</v>
      </c>
      <c r="K231" t="s">
        <v>74</v>
      </c>
      <c r="L231" t="s">
        <v>74</v>
      </c>
      <c r="M231" t="s">
        <v>78</v>
      </c>
      <c r="N231" t="s">
        <v>79</v>
      </c>
      <c r="O231" t="s">
        <v>74</v>
      </c>
      <c r="P231" t="s">
        <v>74</v>
      </c>
      <c r="Q231" t="s">
        <v>74</v>
      </c>
      <c r="R231" t="s">
        <v>74</v>
      </c>
      <c r="S231" t="s">
        <v>74</v>
      </c>
      <c r="T231" t="s">
        <v>74</v>
      </c>
      <c r="U231" t="s">
        <v>4768</v>
      </c>
      <c r="V231" t="s">
        <v>4769</v>
      </c>
      <c r="W231" t="s">
        <v>4770</v>
      </c>
      <c r="X231" t="s">
        <v>4771</v>
      </c>
      <c r="Y231" t="s">
        <v>74</v>
      </c>
      <c r="Z231" t="s">
        <v>4772</v>
      </c>
      <c r="AA231" t="s">
        <v>74</v>
      </c>
      <c r="AB231" t="s">
        <v>74</v>
      </c>
      <c r="AC231" t="s">
        <v>74</v>
      </c>
      <c r="AD231" t="s">
        <v>74</v>
      </c>
      <c r="AE231" t="s">
        <v>74</v>
      </c>
      <c r="AF231" t="s">
        <v>74</v>
      </c>
      <c r="AG231">
        <v>100</v>
      </c>
      <c r="AH231">
        <v>2</v>
      </c>
      <c r="AI231">
        <v>2</v>
      </c>
      <c r="AJ231">
        <v>0</v>
      </c>
      <c r="AK231">
        <v>1</v>
      </c>
      <c r="AL231" t="s">
        <v>4773</v>
      </c>
      <c r="AM231" t="s">
        <v>4659</v>
      </c>
      <c r="AN231" t="s">
        <v>4774</v>
      </c>
      <c r="AO231" t="s">
        <v>4775</v>
      </c>
      <c r="AP231" t="s">
        <v>74</v>
      </c>
      <c r="AQ231" t="s">
        <v>74</v>
      </c>
      <c r="AR231" t="s">
        <v>4767</v>
      </c>
      <c r="AS231" t="s">
        <v>4776</v>
      </c>
      <c r="AT231" t="s">
        <v>2912</v>
      </c>
      <c r="AU231">
        <v>2020</v>
      </c>
      <c r="AV231">
        <v>43</v>
      </c>
      <c r="AW231">
        <v>1</v>
      </c>
      <c r="AX231" t="s">
        <v>74</v>
      </c>
      <c r="AY231" t="s">
        <v>74</v>
      </c>
      <c r="AZ231" t="s">
        <v>342</v>
      </c>
      <c r="BA231" t="s">
        <v>74</v>
      </c>
      <c r="BB231">
        <v>563</v>
      </c>
      <c r="BC231">
        <v>574</v>
      </c>
      <c r="BD231" t="s">
        <v>74</v>
      </c>
      <c r="BE231" t="s">
        <v>4777</v>
      </c>
      <c r="BF231" t="str">
        <f>HYPERLINK("http://dx.doi.org/10.18814/epiiugs/2020/020037","http://dx.doi.org/10.18814/epiiugs/2020/020037")</f>
        <v>http://dx.doi.org/10.18814/epiiugs/2020/020037</v>
      </c>
      <c r="BG231" t="s">
        <v>74</v>
      </c>
      <c r="BH231" t="s">
        <v>74</v>
      </c>
      <c r="BI231">
        <v>12</v>
      </c>
      <c r="BJ231" t="s">
        <v>246</v>
      </c>
      <c r="BK231" t="s">
        <v>103</v>
      </c>
      <c r="BL231" t="s">
        <v>247</v>
      </c>
      <c r="BM231" t="s">
        <v>4778</v>
      </c>
      <c r="BN231" t="s">
        <v>74</v>
      </c>
      <c r="BO231" t="s">
        <v>2592</v>
      </c>
      <c r="BP231" t="s">
        <v>74</v>
      </c>
      <c r="BQ231" t="s">
        <v>74</v>
      </c>
      <c r="BR231" t="s">
        <v>106</v>
      </c>
      <c r="BS231" t="s">
        <v>4779</v>
      </c>
      <c r="BT231" t="str">
        <f>HYPERLINK("https%3A%2F%2Fwww.webofscience.com%2Fwos%2Fwoscc%2Ffull-record%2FWOS:000519700500038","View Full Record in Web of Science")</f>
        <v>View Full Record in Web of Science</v>
      </c>
    </row>
    <row r="232" spans="1:72" x14ac:dyDescent="0.15">
      <c r="A232" t="s">
        <v>72</v>
      </c>
      <c r="B232" t="s">
        <v>4780</v>
      </c>
      <c r="C232" t="s">
        <v>74</v>
      </c>
      <c r="D232" t="s">
        <v>74</v>
      </c>
      <c r="E232" t="s">
        <v>74</v>
      </c>
      <c r="F232" t="s">
        <v>4781</v>
      </c>
      <c r="G232" t="s">
        <v>74</v>
      </c>
      <c r="H232" t="s">
        <v>74</v>
      </c>
      <c r="I232" t="s">
        <v>4782</v>
      </c>
      <c r="J232" t="s">
        <v>4767</v>
      </c>
      <c r="K232" t="s">
        <v>74</v>
      </c>
      <c r="L232" t="s">
        <v>74</v>
      </c>
      <c r="M232" t="s">
        <v>78</v>
      </c>
      <c r="N232" t="s">
        <v>1434</v>
      </c>
      <c r="O232" t="s">
        <v>74</v>
      </c>
      <c r="P232" t="s">
        <v>74</v>
      </c>
      <c r="Q232" t="s">
        <v>74</v>
      </c>
      <c r="R232" t="s">
        <v>74</v>
      </c>
      <c r="S232" t="s">
        <v>74</v>
      </c>
      <c r="T232" t="s">
        <v>74</v>
      </c>
      <c r="U232" t="s">
        <v>4783</v>
      </c>
      <c r="V232" t="s">
        <v>4784</v>
      </c>
      <c r="W232" t="s">
        <v>4785</v>
      </c>
      <c r="X232" t="s">
        <v>4786</v>
      </c>
      <c r="Y232" t="s">
        <v>4787</v>
      </c>
      <c r="Z232" t="s">
        <v>4788</v>
      </c>
      <c r="AA232" t="s">
        <v>74</v>
      </c>
      <c r="AB232" t="s">
        <v>4789</v>
      </c>
      <c r="AC232" t="s">
        <v>4790</v>
      </c>
      <c r="AD232" t="s">
        <v>4790</v>
      </c>
      <c r="AE232" t="s">
        <v>4791</v>
      </c>
      <c r="AF232" t="s">
        <v>74</v>
      </c>
      <c r="AG232">
        <v>92</v>
      </c>
      <c r="AH232">
        <v>2</v>
      </c>
      <c r="AI232">
        <v>2</v>
      </c>
      <c r="AJ232">
        <v>0</v>
      </c>
      <c r="AK232">
        <v>3</v>
      </c>
      <c r="AL232" t="s">
        <v>4773</v>
      </c>
      <c r="AM232" t="s">
        <v>4659</v>
      </c>
      <c r="AN232" t="s">
        <v>4774</v>
      </c>
      <c r="AO232" t="s">
        <v>4775</v>
      </c>
      <c r="AP232" t="s">
        <v>74</v>
      </c>
      <c r="AQ232" t="s">
        <v>74</v>
      </c>
      <c r="AR232" t="s">
        <v>4767</v>
      </c>
      <c r="AS232" t="s">
        <v>4776</v>
      </c>
      <c r="AT232" t="s">
        <v>2912</v>
      </c>
      <c r="AU232">
        <v>2020</v>
      </c>
      <c r="AV232">
        <v>43</v>
      </c>
      <c r="AW232">
        <v>1</v>
      </c>
      <c r="AX232" t="s">
        <v>74</v>
      </c>
      <c r="AY232" t="s">
        <v>74</v>
      </c>
      <c r="AZ232" t="s">
        <v>342</v>
      </c>
      <c r="BA232" t="s">
        <v>74</v>
      </c>
      <c r="BB232">
        <v>575</v>
      </c>
      <c r="BC232">
        <v>585</v>
      </c>
      <c r="BD232" t="s">
        <v>74</v>
      </c>
      <c r="BE232" t="s">
        <v>4792</v>
      </c>
      <c r="BF232" t="str">
        <f>HYPERLINK("http://dx.doi.org/10.18814/epiiugs/2020/020038","http://dx.doi.org/10.18814/epiiugs/2020/020038")</f>
        <v>http://dx.doi.org/10.18814/epiiugs/2020/020038</v>
      </c>
      <c r="BG232" t="s">
        <v>74</v>
      </c>
      <c r="BH232" t="s">
        <v>74</v>
      </c>
      <c r="BI232">
        <v>11</v>
      </c>
      <c r="BJ232" t="s">
        <v>246</v>
      </c>
      <c r="BK232" t="s">
        <v>103</v>
      </c>
      <c r="BL232" t="s">
        <v>247</v>
      </c>
      <c r="BM232" t="s">
        <v>4778</v>
      </c>
      <c r="BN232" t="s">
        <v>74</v>
      </c>
      <c r="BO232" t="s">
        <v>2592</v>
      </c>
      <c r="BP232" t="s">
        <v>74</v>
      </c>
      <c r="BQ232" t="s">
        <v>74</v>
      </c>
      <c r="BR232" t="s">
        <v>106</v>
      </c>
      <c r="BS232" t="s">
        <v>4793</v>
      </c>
      <c r="BT232" t="str">
        <f>HYPERLINK("https%3A%2F%2Fwww.webofscience.com%2Fwos%2Fwoscc%2Ffull-record%2FWOS:000519700500039","View Full Record in Web of Science")</f>
        <v>View Full Record in Web of Science</v>
      </c>
    </row>
    <row r="233" spans="1:72" x14ac:dyDescent="0.15">
      <c r="A233" t="s">
        <v>72</v>
      </c>
      <c r="B233" t="s">
        <v>4794</v>
      </c>
      <c r="C233" t="s">
        <v>74</v>
      </c>
      <c r="D233" t="s">
        <v>74</v>
      </c>
      <c r="E233" t="s">
        <v>74</v>
      </c>
      <c r="F233" t="s">
        <v>4795</v>
      </c>
      <c r="G233" t="s">
        <v>74</v>
      </c>
      <c r="H233" t="s">
        <v>74</v>
      </c>
      <c r="I233" t="s">
        <v>4796</v>
      </c>
      <c r="J233" t="s">
        <v>253</v>
      </c>
      <c r="K233" t="s">
        <v>74</v>
      </c>
      <c r="L233" t="s">
        <v>74</v>
      </c>
      <c r="M233" t="s">
        <v>78</v>
      </c>
      <c r="N233" t="s">
        <v>79</v>
      </c>
      <c r="O233" t="s">
        <v>74</v>
      </c>
      <c r="P233" t="s">
        <v>74</v>
      </c>
      <c r="Q233" t="s">
        <v>74</v>
      </c>
      <c r="R233" t="s">
        <v>74</v>
      </c>
      <c r="S233" t="s">
        <v>74</v>
      </c>
      <c r="T233" t="s">
        <v>74</v>
      </c>
      <c r="U233" t="s">
        <v>74</v>
      </c>
      <c r="V233" t="s">
        <v>4797</v>
      </c>
      <c r="W233" t="s">
        <v>4798</v>
      </c>
      <c r="X233" t="s">
        <v>4799</v>
      </c>
      <c r="Y233" t="s">
        <v>4800</v>
      </c>
      <c r="Z233" t="s">
        <v>4801</v>
      </c>
      <c r="AA233" t="s">
        <v>4802</v>
      </c>
      <c r="AB233" t="s">
        <v>4803</v>
      </c>
      <c r="AC233" t="s">
        <v>4804</v>
      </c>
      <c r="AD233" t="s">
        <v>4805</v>
      </c>
      <c r="AE233" t="s">
        <v>4806</v>
      </c>
      <c r="AF233" t="s">
        <v>74</v>
      </c>
      <c r="AG233">
        <v>11</v>
      </c>
      <c r="AH233">
        <v>4</v>
      </c>
      <c r="AI233">
        <v>4</v>
      </c>
      <c r="AJ233">
        <v>1</v>
      </c>
      <c r="AK233">
        <v>3</v>
      </c>
      <c r="AL233" t="s">
        <v>265</v>
      </c>
      <c r="AM233" t="s">
        <v>266</v>
      </c>
      <c r="AN233" t="s">
        <v>267</v>
      </c>
      <c r="AO233" t="s">
        <v>268</v>
      </c>
      <c r="AP233" t="s">
        <v>74</v>
      </c>
      <c r="AQ233" t="s">
        <v>74</v>
      </c>
      <c r="AR233" t="s">
        <v>269</v>
      </c>
      <c r="AS233" t="s">
        <v>270</v>
      </c>
      <c r="AT233" t="s">
        <v>2912</v>
      </c>
      <c r="AU233">
        <v>2020</v>
      </c>
      <c r="AV233">
        <v>9</v>
      </c>
      <c r="AW233">
        <v>10</v>
      </c>
      <c r="AX233" t="s">
        <v>74</v>
      </c>
      <c r="AY233" t="s">
        <v>74</v>
      </c>
      <c r="AZ233" t="s">
        <v>74</v>
      </c>
      <c r="BA233" t="s">
        <v>74</v>
      </c>
      <c r="BB233" t="s">
        <v>74</v>
      </c>
      <c r="BC233" t="s">
        <v>74</v>
      </c>
      <c r="BD233" t="s">
        <v>4807</v>
      </c>
      <c r="BE233" t="s">
        <v>4808</v>
      </c>
      <c r="BF233" t="str">
        <f>HYPERLINK("http://dx.doi.org/10.1128/MRA.01599-19","http://dx.doi.org/10.1128/MRA.01599-19")</f>
        <v>http://dx.doi.org/10.1128/MRA.01599-19</v>
      </c>
      <c r="BG233" t="s">
        <v>74</v>
      </c>
      <c r="BH233" t="s">
        <v>74</v>
      </c>
      <c r="BI233">
        <v>3</v>
      </c>
      <c r="BJ233" t="s">
        <v>273</v>
      </c>
      <c r="BK233" t="s">
        <v>274</v>
      </c>
      <c r="BL233" t="s">
        <v>273</v>
      </c>
      <c r="BM233" t="s">
        <v>4809</v>
      </c>
      <c r="BN233">
        <v>32139564</v>
      </c>
      <c r="BO233" t="s">
        <v>4810</v>
      </c>
      <c r="BP233" t="s">
        <v>74</v>
      </c>
      <c r="BQ233" t="s">
        <v>74</v>
      </c>
      <c r="BR233" t="s">
        <v>106</v>
      </c>
      <c r="BS233" t="s">
        <v>4811</v>
      </c>
      <c r="BT233" t="str">
        <f>HYPERLINK("https%3A%2F%2Fwww.webofscience.com%2Fwos%2Fwoscc%2Ffull-record%2FWOS:000519521800027","View Full Record in Web of Science")</f>
        <v>View Full Record in Web of Science</v>
      </c>
    </row>
    <row r="234" spans="1:72" x14ac:dyDescent="0.15">
      <c r="A234" t="s">
        <v>72</v>
      </c>
      <c r="B234" t="s">
        <v>4812</v>
      </c>
      <c r="C234" t="s">
        <v>74</v>
      </c>
      <c r="D234" t="s">
        <v>74</v>
      </c>
      <c r="E234" t="s">
        <v>74</v>
      </c>
      <c r="F234" t="s">
        <v>4813</v>
      </c>
      <c r="G234" t="s">
        <v>74</v>
      </c>
      <c r="H234" t="s">
        <v>74</v>
      </c>
      <c r="I234" t="s">
        <v>4814</v>
      </c>
      <c r="J234" t="s">
        <v>4815</v>
      </c>
      <c r="K234" t="s">
        <v>74</v>
      </c>
      <c r="L234" t="s">
        <v>74</v>
      </c>
      <c r="M234" t="s">
        <v>78</v>
      </c>
      <c r="N234" t="s">
        <v>79</v>
      </c>
      <c r="O234" t="s">
        <v>74</v>
      </c>
      <c r="P234" t="s">
        <v>74</v>
      </c>
      <c r="Q234" t="s">
        <v>74</v>
      </c>
      <c r="R234" t="s">
        <v>74</v>
      </c>
      <c r="S234" t="s">
        <v>74</v>
      </c>
      <c r="T234" t="s">
        <v>4816</v>
      </c>
      <c r="U234" t="s">
        <v>4817</v>
      </c>
      <c r="V234" t="s">
        <v>4818</v>
      </c>
      <c r="W234" t="s">
        <v>4819</v>
      </c>
      <c r="X234" t="s">
        <v>4820</v>
      </c>
      <c r="Y234" t="s">
        <v>4821</v>
      </c>
      <c r="Z234" t="s">
        <v>4822</v>
      </c>
      <c r="AA234" t="s">
        <v>74</v>
      </c>
      <c r="AB234" t="s">
        <v>4823</v>
      </c>
      <c r="AC234" t="s">
        <v>74</v>
      </c>
      <c r="AD234" t="s">
        <v>74</v>
      </c>
      <c r="AE234" t="s">
        <v>74</v>
      </c>
      <c r="AF234" t="s">
        <v>74</v>
      </c>
      <c r="AG234">
        <v>59</v>
      </c>
      <c r="AH234">
        <v>12</v>
      </c>
      <c r="AI234">
        <v>12</v>
      </c>
      <c r="AJ234">
        <v>0</v>
      </c>
      <c r="AK234">
        <v>18</v>
      </c>
      <c r="AL234" t="s">
        <v>4824</v>
      </c>
      <c r="AM234" t="s">
        <v>4825</v>
      </c>
      <c r="AN234" t="s">
        <v>4826</v>
      </c>
      <c r="AO234" t="s">
        <v>4827</v>
      </c>
      <c r="AP234" t="s">
        <v>4828</v>
      </c>
      <c r="AQ234" t="s">
        <v>74</v>
      </c>
      <c r="AR234" t="s">
        <v>4815</v>
      </c>
      <c r="AS234" t="s">
        <v>4829</v>
      </c>
      <c r="AT234" t="s">
        <v>2912</v>
      </c>
      <c r="AU234">
        <v>2020</v>
      </c>
      <c r="AV234">
        <v>24</v>
      </c>
      <c r="AW234">
        <v>2</v>
      </c>
      <c r="AX234" t="s">
        <v>74</v>
      </c>
      <c r="AY234" t="s">
        <v>74</v>
      </c>
      <c r="AZ234" t="s">
        <v>74</v>
      </c>
      <c r="BA234" t="s">
        <v>74</v>
      </c>
      <c r="BB234">
        <v>265</v>
      </c>
      <c r="BC234">
        <v>275</v>
      </c>
      <c r="BD234" t="s">
        <v>74</v>
      </c>
      <c r="BE234" t="s">
        <v>4830</v>
      </c>
      <c r="BF234" t="str">
        <f>HYPERLINK("http://dx.doi.org/10.1007/s00792-019-01152-1","http://dx.doi.org/10.1007/s00792-019-01152-1")</f>
        <v>http://dx.doi.org/10.1007/s00792-019-01152-1</v>
      </c>
      <c r="BG234" t="s">
        <v>74</v>
      </c>
      <c r="BH234" t="s">
        <v>74</v>
      </c>
      <c r="BI234">
        <v>11</v>
      </c>
      <c r="BJ234" t="s">
        <v>4831</v>
      </c>
      <c r="BK234" t="s">
        <v>103</v>
      </c>
      <c r="BL234" t="s">
        <v>4831</v>
      </c>
      <c r="BM234" t="s">
        <v>4832</v>
      </c>
      <c r="BN234">
        <v>31828543</v>
      </c>
      <c r="BO234" t="s">
        <v>694</v>
      </c>
      <c r="BP234" t="s">
        <v>74</v>
      </c>
      <c r="BQ234" t="s">
        <v>74</v>
      </c>
      <c r="BR234" t="s">
        <v>106</v>
      </c>
      <c r="BS234" t="s">
        <v>4833</v>
      </c>
      <c r="BT234" t="str">
        <f>HYPERLINK("https%3A%2F%2Fwww.webofscience.com%2Fwos%2Fwoscc%2Ffull-record%2FWOS:000519371100008","View Full Record in Web of Science")</f>
        <v>View Full Record in Web of Science</v>
      </c>
    </row>
    <row r="235" spans="1:72" x14ac:dyDescent="0.15">
      <c r="A235" t="s">
        <v>72</v>
      </c>
      <c r="B235" t="s">
        <v>4834</v>
      </c>
      <c r="C235" t="s">
        <v>74</v>
      </c>
      <c r="D235" t="s">
        <v>74</v>
      </c>
      <c r="E235" t="s">
        <v>74</v>
      </c>
      <c r="F235" t="s">
        <v>4835</v>
      </c>
      <c r="G235" t="s">
        <v>74</v>
      </c>
      <c r="H235" t="s">
        <v>74</v>
      </c>
      <c r="I235" t="s">
        <v>4836</v>
      </c>
      <c r="J235" t="s">
        <v>4241</v>
      </c>
      <c r="K235" t="s">
        <v>74</v>
      </c>
      <c r="L235" t="s">
        <v>74</v>
      </c>
      <c r="M235" t="s">
        <v>78</v>
      </c>
      <c r="N235" t="s">
        <v>79</v>
      </c>
      <c r="O235" t="s">
        <v>74</v>
      </c>
      <c r="P235" t="s">
        <v>74</v>
      </c>
      <c r="Q235" t="s">
        <v>74</v>
      </c>
      <c r="R235" t="s">
        <v>74</v>
      </c>
      <c r="S235" t="s">
        <v>74</v>
      </c>
      <c r="T235" t="s">
        <v>74</v>
      </c>
      <c r="U235" t="s">
        <v>4837</v>
      </c>
      <c r="V235" t="s">
        <v>4838</v>
      </c>
      <c r="W235" t="s">
        <v>4839</v>
      </c>
      <c r="X235" t="s">
        <v>4840</v>
      </c>
      <c r="Y235" t="s">
        <v>4841</v>
      </c>
      <c r="Z235" t="s">
        <v>4842</v>
      </c>
      <c r="AA235" t="s">
        <v>4843</v>
      </c>
      <c r="AB235" t="s">
        <v>4844</v>
      </c>
      <c r="AC235" t="s">
        <v>4845</v>
      </c>
      <c r="AD235" t="s">
        <v>4846</v>
      </c>
      <c r="AE235" t="s">
        <v>4847</v>
      </c>
      <c r="AF235" t="s">
        <v>74</v>
      </c>
      <c r="AG235">
        <v>24</v>
      </c>
      <c r="AH235">
        <v>7</v>
      </c>
      <c r="AI235">
        <v>7</v>
      </c>
      <c r="AJ235">
        <v>0</v>
      </c>
      <c r="AK235">
        <v>5</v>
      </c>
      <c r="AL235" t="s">
        <v>4253</v>
      </c>
      <c r="AM235" t="s">
        <v>4254</v>
      </c>
      <c r="AN235" t="s">
        <v>4255</v>
      </c>
      <c r="AO235" t="s">
        <v>4256</v>
      </c>
      <c r="AP235" t="s">
        <v>4257</v>
      </c>
      <c r="AQ235" t="s">
        <v>74</v>
      </c>
      <c r="AR235" t="s">
        <v>4258</v>
      </c>
      <c r="AS235" t="s">
        <v>4259</v>
      </c>
      <c r="AT235" t="s">
        <v>4260</v>
      </c>
      <c r="AU235">
        <v>2020</v>
      </c>
      <c r="AV235">
        <v>91</v>
      </c>
      <c r="AW235">
        <v>3</v>
      </c>
      <c r="AX235" t="s">
        <v>74</v>
      </c>
      <c r="AY235" t="s">
        <v>74</v>
      </c>
      <c r="AZ235" t="s">
        <v>74</v>
      </c>
      <c r="BA235" t="s">
        <v>74</v>
      </c>
      <c r="BB235" t="s">
        <v>74</v>
      </c>
      <c r="BC235" t="s">
        <v>74</v>
      </c>
      <c r="BD235">
        <v>35107</v>
      </c>
      <c r="BE235" t="s">
        <v>4848</v>
      </c>
      <c r="BF235" t="str">
        <f>HYPERLINK("http://dx.doi.org/10.1063/1.5122672","http://dx.doi.org/10.1063/1.5122672")</f>
        <v>http://dx.doi.org/10.1063/1.5122672</v>
      </c>
      <c r="BG235" t="s">
        <v>74</v>
      </c>
      <c r="BH235" t="s">
        <v>74</v>
      </c>
      <c r="BI235">
        <v>8</v>
      </c>
      <c r="BJ235" t="s">
        <v>4262</v>
      </c>
      <c r="BK235" t="s">
        <v>103</v>
      </c>
      <c r="BL235" t="s">
        <v>4263</v>
      </c>
      <c r="BM235" t="s">
        <v>4849</v>
      </c>
      <c r="BN235">
        <v>32259948</v>
      </c>
      <c r="BO235" t="s">
        <v>74</v>
      </c>
      <c r="BP235" t="s">
        <v>74</v>
      </c>
      <c r="BQ235" t="s">
        <v>74</v>
      </c>
      <c r="BR235" t="s">
        <v>106</v>
      </c>
      <c r="BS235" t="s">
        <v>4850</v>
      </c>
      <c r="BT235" t="str">
        <f>HYPERLINK("https%3A%2F%2Fwww.webofscience.com%2Fwos%2Fwoscc%2Ffull-record%2FWOS:000519934400001","View Full Record in Web of Science")</f>
        <v>View Full Record in Web of Science</v>
      </c>
    </row>
    <row r="236" spans="1:72" x14ac:dyDescent="0.15">
      <c r="A236" t="s">
        <v>72</v>
      </c>
      <c r="B236" t="s">
        <v>4851</v>
      </c>
      <c r="C236" t="s">
        <v>74</v>
      </c>
      <c r="D236" t="s">
        <v>74</v>
      </c>
      <c r="E236" t="s">
        <v>74</v>
      </c>
      <c r="F236" t="s">
        <v>4852</v>
      </c>
      <c r="G236" t="s">
        <v>74</v>
      </c>
      <c r="H236" t="s">
        <v>74</v>
      </c>
      <c r="I236" t="s">
        <v>4853</v>
      </c>
      <c r="J236" t="s">
        <v>4854</v>
      </c>
      <c r="K236" t="s">
        <v>74</v>
      </c>
      <c r="L236" t="s">
        <v>74</v>
      </c>
      <c r="M236" t="s">
        <v>78</v>
      </c>
      <c r="N236" t="s">
        <v>79</v>
      </c>
      <c r="O236" t="s">
        <v>74</v>
      </c>
      <c r="P236" t="s">
        <v>74</v>
      </c>
      <c r="Q236" t="s">
        <v>74</v>
      </c>
      <c r="R236" t="s">
        <v>74</v>
      </c>
      <c r="S236" t="s">
        <v>74</v>
      </c>
      <c r="T236" t="s">
        <v>4855</v>
      </c>
      <c r="U236" t="s">
        <v>4856</v>
      </c>
      <c r="V236" t="s">
        <v>4857</v>
      </c>
      <c r="W236" t="s">
        <v>4858</v>
      </c>
      <c r="X236" t="s">
        <v>4859</v>
      </c>
      <c r="Y236" t="s">
        <v>4860</v>
      </c>
      <c r="Z236" t="s">
        <v>4861</v>
      </c>
      <c r="AA236" t="s">
        <v>74</v>
      </c>
      <c r="AB236" t="s">
        <v>74</v>
      </c>
      <c r="AC236" t="s">
        <v>74</v>
      </c>
      <c r="AD236" t="s">
        <v>74</v>
      </c>
      <c r="AE236" t="s">
        <v>74</v>
      </c>
      <c r="AF236" t="s">
        <v>74</v>
      </c>
      <c r="AG236">
        <v>68</v>
      </c>
      <c r="AH236">
        <v>3</v>
      </c>
      <c r="AI236">
        <v>3</v>
      </c>
      <c r="AJ236">
        <v>0</v>
      </c>
      <c r="AK236">
        <v>2</v>
      </c>
      <c r="AL236" t="s">
        <v>289</v>
      </c>
      <c r="AM236" t="s">
        <v>290</v>
      </c>
      <c r="AN236" t="s">
        <v>4862</v>
      </c>
      <c r="AO236" t="s">
        <v>4863</v>
      </c>
      <c r="AP236" t="s">
        <v>4864</v>
      </c>
      <c r="AQ236" t="s">
        <v>74</v>
      </c>
      <c r="AR236" t="s">
        <v>4865</v>
      </c>
      <c r="AS236" t="s">
        <v>4866</v>
      </c>
      <c r="AT236" t="s">
        <v>2912</v>
      </c>
      <c r="AU236">
        <v>2020</v>
      </c>
      <c r="AV236">
        <v>162</v>
      </c>
      <c r="AW236" t="s">
        <v>74</v>
      </c>
      <c r="AX236" t="s">
        <v>74</v>
      </c>
      <c r="AY236" t="s">
        <v>74</v>
      </c>
      <c r="AZ236" t="s">
        <v>74</v>
      </c>
      <c r="BA236" t="s">
        <v>74</v>
      </c>
      <c r="BB236" t="s">
        <v>74</v>
      </c>
      <c r="BC236" t="s">
        <v>74</v>
      </c>
      <c r="BD236">
        <v>103206</v>
      </c>
      <c r="BE236" t="s">
        <v>4867</v>
      </c>
      <c r="BF236" t="str">
        <f>HYPERLINK("http://dx.doi.org/10.1016/j.aquabot.2020.103206","http://dx.doi.org/10.1016/j.aquabot.2020.103206")</f>
        <v>http://dx.doi.org/10.1016/j.aquabot.2020.103206</v>
      </c>
      <c r="BG236" t="s">
        <v>74</v>
      </c>
      <c r="BH236" t="s">
        <v>74</v>
      </c>
      <c r="BI236">
        <v>7</v>
      </c>
      <c r="BJ236" t="s">
        <v>4666</v>
      </c>
      <c r="BK236" t="s">
        <v>103</v>
      </c>
      <c r="BL236" t="s">
        <v>4666</v>
      </c>
      <c r="BM236" t="s">
        <v>4868</v>
      </c>
      <c r="BN236" t="s">
        <v>74</v>
      </c>
      <c r="BO236" t="s">
        <v>74</v>
      </c>
      <c r="BP236" t="s">
        <v>74</v>
      </c>
      <c r="BQ236" t="s">
        <v>74</v>
      </c>
      <c r="BR236" t="s">
        <v>106</v>
      </c>
      <c r="BS236" t="s">
        <v>4869</v>
      </c>
      <c r="BT236" t="str">
        <f>HYPERLINK("https%3A%2F%2Fwww.webofscience.com%2Fwos%2Fwoscc%2Ffull-record%2FWOS:000518589600009","View Full Record in Web of Science")</f>
        <v>View Full Record in Web of Science</v>
      </c>
    </row>
    <row r="237" spans="1:72" x14ac:dyDescent="0.15">
      <c r="A237" t="s">
        <v>72</v>
      </c>
      <c r="B237" t="s">
        <v>4870</v>
      </c>
      <c r="C237" t="s">
        <v>74</v>
      </c>
      <c r="D237" t="s">
        <v>74</v>
      </c>
      <c r="E237" t="s">
        <v>74</v>
      </c>
      <c r="F237" t="s">
        <v>4871</v>
      </c>
      <c r="G237" t="s">
        <v>74</v>
      </c>
      <c r="H237" t="s">
        <v>74</v>
      </c>
      <c r="I237" t="s">
        <v>4872</v>
      </c>
      <c r="J237" t="s">
        <v>4873</v>
      </c>
      <c r="K237" t="s">
        <v>74</v>
      </c>
      <c r="L237" t="s">
        <v>74</v>
      </c>
      <c r="M237" t="s">
        <v>78</v>
      </c>
      <c r="N237" t="s">
        <v>1226</v>
      </c>
      <c r="O237" t="s">
        <v>74</v>
      </c>
      <c r="P237" t="s">
        <v>74</v>
      </c>
      <c r="Q237" t="s">
        <v>74</v>
      </c>
      <c r="R237" t="s">
        <v>74</v>
      </c>
      <c r="S237" t="s">
        <v>74</v>
      </c>
      <c r="T237" t="s">
        <v>74</v>
      </c>
      <c r="U237" t="s">
        <v>74</v>
      </c>
      <c r="V237" t="s">
        <v>74</v>
      </c>
      <c r="W237" t="s">
        <v>4874</v>
      </c>
      <c r="X237" t="s">
        <v>4875</v>
      </c>
      <c r="Y237" t="s">
        <v>4876</v>
      </c>
      <c r="Z237" t="s">
        <v>4877</v>
      </c>
      <c r="AA237" t="s">
        <v>4878</v>
      </c>
      <c r="AB237" t="s">
        <v>74</v>
      </c>
      <c r="AC237" t="s">
        <v>74</v>
      </c>
      <c r="AD237" t="s">
        <v>74</v>
      </c>
      <c r="AE237" t="s">
        <v>74</v>
      </c>
      <c r="AF237" t="s">
        <v>74</v>
      </c>
      <c r="AG237">
        <v>1</v>
      </c>
      <c r="AH237">
        <v>1</v>
      </c>
      <c r="AI237">
        <v>1</v>
      </c>
      <c r="AJ237">
        <v>0</v>
      </c>
      <c r="AK237">
        <v>1</v>
      </c>
      <c r="AL237" t="s">
        <v>2787</v>
      </c>
      <c r="AM237" t="s">
        <v>2788</v>
      </c>
      <c r="AN237" t="s">
        <v>2789</v>
      </c>
      <c r="AO237" t="s">
        <v>4879</v>
      </c>
      <c r="AP237" t="s">
        <v>4880</v>
      </c>
      <c r="AQ237" t="s">
        <v>74</v>
      </c>
      <c r="AR237" t="s">
        <v>4881</v>
      </c>
      <c r="AS237" t="s">
        <v>4882</v>
      </c>
      <c r="AT237" t="s">
        <v>2912</v>
      </c>
      <c r="AU237">
        <v>2020</v>
      </c>
      <c r="AV237">
        <v>59</v>
      </c>
      <c r="AW237">
        <v>2</v>
      </c>
      <c r="AX237" t="s">
        <v>74</v>
      </c>
      <c r="AY237" t="s">
        <v>74</v>
      </c>
      <c r="AZ237" t="s">
        <v>74</v>
      </c>
      <c r="BA237" t="s">
        <v>74</v>
      </c>
      <c r="BB237">
        <v>843</v>
      </c>
      <c r="BC237">
        <v>843</v>
      </c>
      <c r="BD237" t="s">
        <v>74</v>
      </c>
      <c r="BE237" t="s">
        <v>4883</v>
      </c>
      <c r="BF237" t="str">
        <f>HYPERLINK("http://dx.doi.org/10.1007/s00394-019-02175-2","http://dx.doi.org/10.1007/s00394-019-02175-2")</f>
        <v>http://dx.doi.org/10.1007/s00394-019-02175-2</v>
      </c>
      <c r="BG237" t="s">
        <v>74</v>
      </c>
      <c r="BH237" t="s">
        <v>74</v>
      </c>
      <c r="BI237">
        <v>1</v>
      </c>
      <c r="BJ237" t="s">
        <v>4884</v>
      </c>
      <c r="BK237" t="s">
        <v>103</v>
      </c>
      <c r="BL237" t="s">
        <v>4884</v>
      </c>
      <c r="BM237" t="s">
        <v>4885</v>
      </c>
      <c r="BN237">
        <v>31925524</v>
      </c>
      <c r="BO237" t="s">
        <v>133</v>
      </c>
      <c r="BP237" t="s">
        <v>74</v>
      </c>
      <c r="BQ237" t="s">
        <v>74</v>
      </c>
      <c r="BR237" t="s">
        <v>106</v>
      </c>
      <c r="BS237" t="s">
        <v>4886</v>
      </c>
      <c r="BT237" t="str">
        <f>HYPERLINK("https%3A%2F%2Fwww.webofscience.com%2Fwos%2Fwoscc%2Ffull-record%2FWOS:000518487600037","View Full Record in Web of Science")</f>
        <v>View Full Record in Web of Science</v>
      </c>
    </row>
    <row r="238" spans="1:72" x14ac:dyDescent="0.15">
      <c r="A238" t="s">
        <v>72</v>
      </c>
      <c r="B238" t="s">
        <v>4887</v>
      </c>
      <c r="C238" t="s">
        <v>74</v>
      </c>
      <c r="D238" t="s">
        <v>74</v>
      </c>
      <c r="E238" t="s">
        <v>74</v>
      </c>
      <c r="F238" t="s">
        <v>4888</v>
      </c>
      <c r="G238" t="s">
        <v>74</v>
      </c>
      <c r="H238" t="s">
        <v>74</v>
      </c>
      <c r="I238" t="s">
        <v>4889</v>
      </c>
      <c r="J238" t="s">
        <v>4890</v>
      </c>
      <c r="K238" t="s">
        <v>74</v>
      </c>
      <c r="L238" t="s">
        <v>74</v>
      </c>
      <c r="M238" t="s">
        <v>78</v>
      </c>
      <c r="N238" t="s">
        <v>79</v>
      </c>
      <c r="O238" t="s">
        <v>74</v>
      </c>
      <c r="P238" t="s">
        <v>74</v>
      </c>
      <c r="Q238" t="s">
        <v>74</v>
      </c>
      <c r="R238" t="s">
        <v>74</v>
      </c>
      <c r="S238" t="s">
        <v>74</v>
      </c>
      <c r="T238" t="s">
        <v>4891</v>
      </c>
      <c r="U238" t="s">
        <v>4892</v>
      </c>
      <c r="V238" t="s">
        <v>4893</v>
      </c>
      <c r="W238" t="s">
        <v>4894</v>
      </c>
      <c r="X238" t="s">
        <v>4895</v>
      </c>
      <c r="Y238" t="s">
        <v>4896</v>
      </c>
      <c r="Z238" t="s">
        <v>4897</v>
      </c>
      <c r="AA238" t="s">
        <v>4898</v>
      </c>
      <c r="AB238" t="s">
        <v>4899</v>
      </c>
      <c r="AC238" t="s">
        <v>4900</v>
      </c>
      <c r="AD238" t="s">
        <v>4901</v>
      </c>
      <c r="AE238" t="s">
        <v>4902</v>
      </c>
      <c r="AF238" t="s">
        <v>74</v>
      </c>
      <c r="AG238">
        <v>110</v>
      </c>
      <c r="AH238">
        <v>4</v>
      </c>
      <c r="AI238">
        <v>4</v>
      </c>
      <c r="AJ238">
        <v>0</v>
      </c>
      <c r="AK238">
        <v>20</v>
      </c>
      <c r="AL238" t="s">
        <v>4903</v>
      </c>
      <c r="AM238" t="s">
        <v>4904</v>
      </c>
      <c r="AN238" t="s">
        <v>4905</v>
      </c>
      <c r="AO238" t="s">
        <v>4906</v>
      </c>
      <c r="AP238" t="s">
        <v>4907</v>
      </c>
      <c r="AQ238" t="s">
        <v>74</v>
      </c>
      <c r="AR238" t="s">
        <v>4908</v>
      </c>
      <c r="AS238" t="s">
        <v>4909</v>
      </c>
      <c r="AT238" t="s">
        <v>2912</v>
      </c>
      <c r="AU238">
        <v>2020</v>
      </c>
      <c r="AV238">
        <v>105</v>
      </c>
      <c r="AW238">
        <v>3</v>
      </c>
      <c r="AX238" t="s">
        <v>74</v>
      </c>
      <c r="AY238" t="s">
        <v>74</v>
      </c>
      <c r="AZ238" t="s">
        <v>74</v>
      </c>
      <c r="BA238" t="s">
        <v>74</v>
      </c>
      <c r="BB238">
        <v>289</v>
      </c>
      <c r="BC238">
        <v>306</v>
      </c>
      <c r="BD238" t="s">
        <v>74</v>
      </c>
      <c r="BE238" t="s">
        <v>4910</v>
      </c>
      <c r="BF238" t="str">
        <f>HYPERLINK("http://dx.doi.org/10.2138/am-2020-7237","http://dx.doi.org/10.2138/am-2020-7237")</f>
        <v>http://dx.doi.org/10.2138/am-2020-7237</v>
      </c>
      <c r="BG238" t="s">
        <v>74</v>
      </c>
      <c r="BH238" t="s">
        <v>74</v>
      </c>
      <c r="BI238">
        <v>18</v>
      </c>
      <c r="BJ238" t="s">
        <v>4911</v>
      </c>
      <c r="BK238" t="s">
        <v>103</v>
      </c>
      <c r="BL238" t="s">
        <v>4911</v>
      </c>
      <c r="BM238" t="s">
        <v>4912</v>
      </c>
      <c r="BN238" t="s">
        <v>74</v>
      </c>
      <c r="BO238" t="s">
        <v>148</v>
      </c>
      <c r="BP238" t="s">
        <v>74</v>
      </c>
      <c r="BQ238" t="s">
        <v>74</v>
      </c>
      <c r="BR238" t="s">
        <v>106</v>
      </c>
      <c r="BS238" t="s">
        <v>4913</v>
      </c>
      <c r="BT238" t="str">
        <f>HYPERLINK("https%3A%2F%2Fwww.webofscience.com%2Fwos%2Fwoscc%2Ffull-record%2FWOS:000518370300001","View Full Record in Web of Science")</f>
        <v>View Full Record in Web of Science</v>
      </c>
    </row>
    <row r="239" spans="1:72" x14ac:dyDescent="0.15">
      <c r="A239" t="s">
        <v>72</v>
      </c>
      <c r="B239" t="s">
        <v>4914</v>
      </c>
      <c r="C239" t="s">
        <v>74</v>
      </c>
      <c r="D239" t="s">
        <v>74</v>
      </c>
      <c r="E239" t="s">
        <v>74</v>
      </c>
      <c r="F239" t="s">
        <v>4915</v>
      </c>
      <c r="G239" t="s">
        <v>74</v>
      </c>
      <c r="H239" t="s">
        <v>74</v>
      </c>
      <c r="I239" t="s">
        <v>4916</v>
      </c>
      <c r="J239" t="s">
        <v>741</v>
      </c>
      <c r="K239" t="s">
        <v>74</v>
      </c>
      <c r="L239" t="s">
        <v>74</v>
      </c>
      <c r="M239" t="s">
        <v>78</v>
      </c>
      <c r="N239" t="s">
        <v>79</v>
      </c>
      <c r="O239" t="s">
        <v>74</v>
      </c>
      <c r="P239" t="s">
        <v>74</v>
      </c>
      <c r="Q239" t="s">
        <v>74</v>
      </c>
      <c r="R239" t="s">
        <v>74</v>
      </c>
      <c r="S239" t="s">
        <v>74</v>
      </c>
      <c r="T239" t="s">
        <v>74</v>
      </c>
      <c r="U239" t="s">
        <v>4917</v>
      </c>
      <c r="V239" t="s">
        <v>4918</v>
      </c>
      <c r="W239" t="s">
        <v>4919</v>
      </c>
      <c r="X239" t="s">
        <v>4920</v>
      </c>
      <c r="Y239" t="s">
        <v>4921</v>
      </c>
      <c r="Z239" t="s">
        <v>4922</v>
      </c>
      <c r="AA239" t="s">
        <v>4923</v>
      </c>
      <c r="AB239" t="s">
        <v>4924</v>
      </c>
      <c r="AC239" t="s">
        <v>74</v>
      </c>
      <c r="AD239" t="s">
        <v>74</v>
      </c>
      <c r="AE239" t="s">
        <v>74</v>
      </c>
      <c r="AF239" t="s">
        <v>74</v>
      </c>
      <c r="AG239">
        <v>54</v>
      </c>
      <c r="AH239">
        <v>7</v>
      </c>
      <c r="AI239">
        <v>8</v>
      </c>
      <c r="AJ239">
        <v>1</v>
      </c>
      <c r="AK239">
        <v>14</v>
      </c>
      <c r="AL239" t="s">
        <v>951</v>
      </c>
      <c r="AM239" t="s">
        <v>952</v>
      </c>
      <c r="AN239" t="s">
        <v>953</v>
      </c>
      <c r="AO239" t="s">
        <v>755</v>
      </c>
      <c r="AP239" t="s">
        <v>756</v>
      </c>
      <c r="AQ239" t="s">
        <v>74</v>
      </c>
      <c r="AR239" t="s">
        <v>757</v>
      </c>
      <c r="AS239" t="s">
        <v>758</v>
      </c>
      <c r="AT239" t="s">
        <v>2912</v>
      </c>
      <c r="AU239">
        <v>2020</v>
      </c>
      <c r="AV239">
        <v>13</v>
      </c>
      <c r="AW239">
        <v>3</v>
      </c>
      <c r="AX239" t="s">
        <v>74</v>
      </c>
      <c r="AY239" t="s">
        <v>74</v>
      </c>
      <c r="AZ239" t="s">
        <v>74</v>
      </c>
      <c r="BA239" t="s">
        <v>74</v>
      </c>
      <c r="BB239">
        <v>238</v>
      </c>
      <c r="BC239" t="s">
        <v>759</v>
      </c>
      <c r="BD239" t="s">
        <v>74</v>
      </c>
      <c r="BE239" t="s">
        <v>4925</v>
      </c>
      <c r="BF239" t="str">
        <f>HYPERLINK("http://dx.doi.org/10.1038/s41561-020-0540-2","http://dx.doi.org/10.1038/s41561-020-0540-2")</f>
        <v>http://dx.doi.org/10.1038/s41561-020-0540-2</v>
      </c>
      <c r="BG239" t="s">
        <v>74</v>
      </c>
      <c r="BH239" t="s">
        <v>74</v>
      </c>
      <c r="BI239">
        <v>12</v>
      </c>
      <c r="BJ239" t="s">
        <v>246</v>
      </c>
      <c r="BK239" t="s">
        <v>103</v>
      </c>
      <c r="BL239" t="s">
        <v>247</v>
      </c>
      <c r="BM239" t="s">
        <v>4926</v>
      </c>
      <c r="BN239" t="s">
        <v>74</v>
      </c>
      <c r="BO239" t="s">
        <v>74</v>
      </c>
      <c r="BP239" t="s">
        <v>74</v>
      </c>
      <c r="BQ239" t="s">
        <v>74</v>
      </c>
      <c r="BR239" t="s">
        <v>106</v>
      </c>
      <c r="BS239" t="s">
        <v>4927</v>
      </c>
      <c r="BT239" t="str">
        <f>HYPERLINK("https%3A%2F%2Fwww.webofscience.com%2Fwos%2Fwoscc%2Ffull-record%2FWOS:000518188600013","View Full Record in Web of Science")</f>
        <v>View Full Record in Web of Science</v>
      </c>
    </row>
    <row r="240" spans="1:72" x14ac:dyDescent="0.15">
      <c r="A240" t="s">
        <v>72</v>
      </c>
      <c r="B240" t="s">
        <v>4928</v>
      </c>
      <c r="C240" t="s">
        <v>74</v>
      </c>
      <c r="D240" t="s">
        <v>74</v>
      </c>
      <c r="E240" t="s">
        <v>74</v>
      </c>
      <c r="F240" t="s">
        <v>4929</v>
      </c>
      <c r="G240" t="s">
        <v>74</v>
      </c>
      <c r="H240" t="s">
        <v>74</v>
      </c>
      <c r="I240" t="s">
        <v>4930</v>
      </c>
      <c r="J240" t="s">
        <v>3415</v>
      </c>
      <c r="K240" t="s">
        <v>74</v>
      </c>
      <c r="L240" t="s">
        <v>74</v>
      </c>
      <c r="M240" t="s">
        <v>78</v>
      </c>
      <c r="N240" t="s">
        <v>79</v>
      </c>
      <c r="O240" t="s">
        <v>74</v>
      </c>
      <c r="P240" t="s">
        <v>74</v>
      </c>
      <c r="Q240" t="s">
        <v>74</v>
      </c>
      <c r="R240" t="s">
        <v>74</v>
      </c>
      <c r="S240" t="s">
        <v>74</v>
      </c>
      <c r="T240" t="s">
        <v>4931</v>
      </c>
      <c r="U240" t="s">
        <v>4932</v>
      </c>
      <c r="V240" t="s">
        <v>4933</v>
      </c>
      <c r="W240" t="s">
        <v>4934</v>
      </c>
      <c r="X240" t="s">
        <v>4935</v>
      </c>
      <c r="Y240" t="s">
        <v>4936</v>
      </c>
      <c r="Z240" t="s">
        <v>4937</v>
      </c>
      <c r="AA240" t="s">
        <v>4938</v>
      </c>
      <c r="AB240" t="s">
        <v>4939</v>
      </c>
      <c r="AC240" t="s">
        <v>4940</v>
      </c>
      <c r="AD240" t="s">
        <v>4941</v>
      </c>
      <c r="AE240" t="s">
        <v>4942</v>
      </c>
      <c r="AF240" t="s">
        <v>74</v>
      </c>
      <c r="AG240">
        <v>45</v>
      </c>
      <c r="AH240">
        <v>14</v>
      </c>
      <c r="AI240">
        <v>15</v>
      </c>
      <c r="AJ240">
        <v>1</v>
      </c>
      <c r="AK240">
        <v>15</v>
      </c>
      <c r="AL240" t="s">
        <v>1656</v>
      </c>
      <c r="AM240" t="s">
        <v>93</v>
      </c>
      <c r="AN240" t="s">
        <v>94</v>
      </c>
      <c r="AO240" t="s">
        <v>3425</v>
      </c>
      <c r="AP240" t="s">
        <v>74</v>
      </c>
      <c r="AQ240" t="s">
        <v>74</v>
      </c>
      <c r="AR240" t="s">
        <v>3426</v>
      </c>
      <c r="AS240" t="s">
        <v>3427</v>
      </c>
      <c r="AT240" t="s">
        <v>2912</v>
      </c>
      <c r="AU240">
        <v>2020</v>
      </c>
      <c r="AV240">
        <v>15</v>
      </c>
      <c r="AW240">
        <v>3</v>
      </c>
      <c r="AX240" t="s">
        <v>74</v>
      </c>
      <c r="AY240" t="s">
        <v>74</v>
      </c>
      <c r="AZ240" t="s">
        <v>74</v>
      </c>
      <c r="BA240" t="s">
        <v>74</v>
      </c>
      <c r="BB240" t="s">
        <v>74</v>
      </c>
      <c r="BC240" t="s">
        <v>74</v>
      </c>
      <c r="BD240">
        <v>34036</v>
      </c>
      <c r="BE240" t="s">
        <v>4943</v>
      </c>
      <c r="BF240" t="str">
        <f>HYPERLINK("http://dx.doi.org/10.1088/1748-9326/ab6b32","http://dx.doi.org/10.1088/1748-9326/ab6b32")</f>
        <v>http://dx.doi.org/10.1088/1748-9326/ab6b32</v>
      </c>
      <c r="BG240" t="s">
        <v>74</v>
      </c>
      <c r="BH240" t="s">
        <v>74</v>
      </c>
      <c r="BI240">
        <v>11</v>
      </c>
      <c r="BJ240" t="s">
        <v>984</v>
      </c>
      <c r="BK240" t="s">
        <v>103</v>
      </c>
      <c r="BL240" t="s">
        <v>985</v>
      </c>
      <c r="BM240" t="s">
        <v>4944</v>
      </c>
      <c r="BN240" t="s">
        <v>74</v>
      </c>
      <c r="BO240" t="s">
        <v>1286</v>
      </c>
      <c r="BP240" t="s">
        <v>74</v>
      </c>
      <c r="BQ240" t="s">
        <v>74</v>
      </c>
      <c r="BR240" t="s">
        <v>106</v>
      </c>
      <c r="BS240" t="s">
        <v>4945</v>
      </c>
      <c r="BT240" t="str">
        <f>HYPERLINK("https%3A%2F%2Fwww.webofscience.com%2Fwos%2Fwoscc%2Ffull-record%2FWOS:000518644200001","View Full Record in Web of Science")</f>
        <v>View Full Record in Web of Science</v>
      </c>
    </row>
    <row r="241" spans="1:72" x14ac:dyDescent="0.15">
      <c r="A241" t="s">
        <v>72</v>
      </c>
      <c r="B241" t="s">
        <v>4946</v>
      </c>
      <c r="C241" t="s">
        <v>74</v>
      </c>
      <c r="D241" t="s">
        <v>74</v>
      </c>
      <c r="E241" t="s">
        <v>74</v>
      </c>
      <c r="F241" t="s">
        <v>4947</v>
      </c>
      <c r="G241" t="s">
        <v>74</v>
      </c>
      <c r="H241" t="s">
        <v>74</v>
      </c>
      <c r="I241" t="s">
        <v>4948</v>
      </c>
      <c r="J241" t="s">
        <v>4949</v>
      </c>
      <c r="K241" t="s">
        <v>74</v>
      </c>
      <c r="L241" t="s">
        <v>74</v>
      </c>
      <c r="M241" t="s">
        <v>78</v>
      </c>
      <c r="N241" t="s">
        <v>79</v>
      </c>
      <c r="O241" t="s">
        <v>74</v>
      </c>
      <c r="P241" t="s">
        <v>74</v>
      </c>
      <c r="Q241" t="s">
        <v>74</v>
      </c>
      <c r="R241" t="s">
        <v>74</v>
      </c>
      <c r="S241" t="s">
        <v>74</v>
      </c>
      <c r="T241" t="s">
        <v>4950</v>
      </c>
      <c r="U241" t="s">
        <v>4951</v>
      </c>
      <c r="V241" t="s">
        <v>4952</v>
      </c>
      <c r="W241" t="s">
        <v>4953</v>
      </c>
      <c r="X241" t="s">
        <v>4954</v>
      </c>
      <c r="Y241" t="s">
        <v>4955</v>
      </c>
      <c r="Z241" t="s">
        <v>4956</v>
      </c>
      <c r="AA241" t="s">
        <v>4957</v>
      </c>
      <c r="AB241" t="s">
        <v>4958</v>
      </c>
      <c r="AC241" t="s">
        <v>74</v>
      </c>
      <c r="AD241" t="s">
        <v>74</v>
      </c>
      <c r="AE241" t="s">
        <v>74</v>
      </c>
      <c r="AF241" t="s">
        <v>74</v>
      </c>
      <c r="AG241">
        <v>56</v>
      </c>
      <c r="AH241">
        <v>31</v>
      </c>
      <c r="AI241">
        <v>32</v>
      </c>
      <c r="AJ241">
        <v>1</v>
      </c>
      <c r="AK241">
        <v>16</v>
      </c>
      <c r="AL241" t="s">
        <v>4959</v>
      </c>
      <c r="AM241" t="s">
        <v>435</v>
      </c>
      <c r="AN241" t="s">
        <v>4960</v>
      </c>
      <c r="AO241" t="s">
        <v>4961</v>
      </c>
      <c r="AP241" t="s">
        <v>4962</v>
      </c>
      <c r="AQ241" t="s">
        <v>74</v>
      </c>
      <c r="AR241" t="s">
        <v>4963</v>
      </c>
      <c r="AS241" t="s">
        <v>4964</v>
      </c>
      <c r="AT241" t="s">
        <v>2912</v>
      </c>
      <c r="AU241">
        <v>2020</v>
      </c>
      <c r="AV241">
        <v>113</v>
      </c>
      <c r="AW241" t="s">
        <v>74</v>
      </c>
      <c r="AX241" t="s">
        <v>74</v>
      </c>
      <c r="AY241" t="s">
        <v>74</v>
      </c>
      <c r="AZ241" t="s">
        <v>74</v>
      </c>
      <c r="BA241" t="s">
        <v>74</v>
      </c>
      <c r="BB241" t="s">
        <v>74</v>
      </c>
      <c r="BC241" t="s">
        <v>74</v>
      </c>
      <c r="BD241">
        <v>103787</v>
      </c>
      <c r="BE241" t="s">
        <v>4965</v>
      </c>
      <c r="BF241" t="str">
        <f>HYPERLINK("http://dx.doi.org/10.1016/j.marpol.2019.103787","http://dx.doi.org/10.1016/j.marpol.2019.103787")</f>
        <v>http://dx.doi.org/10.1016/j.marpol.2019.103787</v>
      </c>
      <c r="BG241" t="s">
        <v>74</v>
      </c>
      <c r="BH241" t="s">
        <v>74</v>
      </c>
      <c r="BI241">
        <v>9</v>
      </c>
      <c r="BJ241" t="s">
        <v>4966</v>
      </c>
      <c r="BK241" t="s">
        <v>3467</v>
      </c>
      <c r="BL241" t="s">
        <v>4967</v>
      </c>
      <c r="BM241" t="s">
        <v>4968</v>
      </c>
      <c r="BN241" t="s">
        <v>74</v>
      </c>
      <c r="BO241" t="s">
        <v>74</v>
      </c>
      <c r="BP241" t="s">
        <v>74</v>
      </c>
      <c r="BQ241" t="s">
        <v>74</v>
      </c>
      <c r="BR241" t="s">
        <v>106</v>
      </c>
      <c r="BS241" t="s">
        <v>4969</v>
      </c>
      <c r="BT241" t="str">
        <f>HYPERLINK("https%3A%2F%2Fwww.webofscience.com%2Fwos%2Fwoscc%2Ffull-record%2FWOS:000517348900009","View Full Record in Web of Science")</f>
        <v>View Full Record in Web of Science</v>
      </c>
    </row>
    <row r="242" spans="1:72" x14ac:dyDescent="0.15">
      <c r="A242" t="s">
        <v>72</v>
      </c>
      <c r="B242" t="s">
        <v>4970</v>
      </c>
      <c r="C242" t="s">
        <v>74</v>
      </c>
      <c r="D242" t="s">
        <v>74</v>
      </c>
      <c r="E242" t="s">
        <v>74</v>
      </c>
      <c r="F242" t="s">
        <v>4971</v>
      </c>
      <c r="G242" t="s">
        <v>74</v>
      </c>
      <c r="H242" t="s">
        <v>74</v>
      </c>
      <c r="I242" t="s">
        <v>4972</v>
      </c>
      <c r="J242" t="s">
        <v>4973</v>
      </c>
      <c r="K242" t="s">
        <v>74</v>
      </c>
      <c r="L242" t="s">
        <v>74</v>
      </c>
      <c r="M242" t="s">
        <v>78</v>
      </c>
      <c r="N242" t="s">
        <v>79</v>
      </c>
      <c r="O242" t="s">
        <v>74</v>
      </c>
      <c r="P242" t="s">
        <v>74</v>
      </c>
      <c r="Q242" t="s">
        <v>74</v>
      </c>
      <c r="R242" t="s">
        <v>74</v>
      </c>
      <c r="S242" t="s">
        <v>74</v>
      </c>
      <c r="T242" t="s">
        <v>4974</v>
      </c>
      <c r="U242" t="s">
        <v>4975</v>
      </c>
      <c r="V242" t="s">
        <v>4976</v>
      </c>
      <c r="W242" t="s">
        <v>4977</v>
      </c>
      <c r="X242" t="s">
        <v>4978</v>
      </c>
      <c r="Y242" t="s">
        <v>4979</v>
      </c>
      <c r="Z242" t="s">
        <v>4980</v>
      </c>
      <c r="AA242" t="s">
        <v>4981</v>
      </c>
      <c r="AB242" t="s">
        <v>4982</v>
      </c>
      <c r="AC242" t="s">
        <v>4983</v>
      </c>
      <c r="AD242" t="s">
        <v>4984</v>
      </c>
      <c r="AE242" t="s">
        <v>4985</v>
      </c>
      <c r="AF242" t="s">
        <v>74</v>
      </c>
      <c r="AG242">
        <v>64</v>
      </c>
      <c r="AH242">
        <v>3</v>
      </c>
      <c r="AI242">
        <v>3</v>
      </c>
      <c r="AJ242">
        <v>1</v>
      </c>
      <c r="AK242">
        <v>7</v>
      </c>
      <c r="AL242" t="s">
        <v>434</v>
      </c>
      <c r="AM242" t="s">
        <v>435</v>
      </c>
      <c r="AN242" t="s">
        <v>436</v>
      </c>
      <c r="AO242" t="s">
        <v>4986</v>
      </c>
      <c r="AP242" t="s">
        <v>74</v>
      </c>
      <c r="AQ242" t="s">
        <v>74</v>
      </c>
      <c r="AR242" t="s">
        <v>4987</v>
      </c>
      <c r="AS242" t="s">
        <v>4988</v>
      </c>
      <c r="AT242" t="s">
        <v>2912</v>
      </c>
      <c r="AU242">
        <v>2020</v>
      </c>
      <c r="AV242">
        <v>182</v>
      </c>
      <c r="AW242" t="s">
        <v>74</v>
      </c>
      <c r="AX242" t="s">
        <v>74</v>
      </c>
      <c r="AY242" t="s">
        <v>74</v>
      </c>
      <c r="AZ242" t="s">
        <v>74</v>
      </c>
      <c r="BA242" t="s">
        <v>74</v>
      </c>
      <c r="BB242" t="s">
        <v>74</v>
      </c>
      <c r="BC242" t="s">
        <v>74</v>
      </c>
      <c r="BD242">
        <v>102270</v>
      </c>
      <c r="BE242" t="s">
        <v>4989</v>
      </c>
      <c r="BF242" t="str">
        <f>HYPERLINK("http://dx.doi.org/10.1016/j.pocean.2020.102270","http://dx.doi.org/10.1016/j.pocean.2020.102270")</f>
        <v>http://dx.doi.org/10.1016/j.pocean.2020.102270</v>
      </c>
      <c r="BG242" t="s">
        <v>74</v>
      </c>
      <c r="BH242" t="s">
        <v>74</v>
      </c>
      <c r="BI242">
        <v>17</v>
      </c>
      <c r="BJ242" t="s">
        <v>639</v>
      </c>
      <c r="BK242" t="s">
        <v>103</v>
      </c>
      <c r="BL242" t="s">
        <v>639</v>
      </c>
      <c r="BM242" t="s">
        <v>4990</v>
      </c>
      <c r="BN242" t="s">
        <v>74</v>
      </c>
      <c r="BO242" t="s">
        <v>74</v>
      </c>
      <c r="BP242" t="s">
        <v>74</v>
      </c>
      <c r="BQ242" t="s">
        <v>74</v>
      </c>
      <c r="BR242" t="s">
        <v>106</v>
      </c>
      <c r="BS242" t="s">
        <v>4991</v>
      </c>
      <c r="BT242" t="str">
        <f>HYPERLINK("https%3A%2F%2Fwww.webofscience.com%2Fwos%2Fwoscc%2Ffull-record%2FWOS:000517658400009","View Full Record in Web of Science")</f>
        <v>View Full Record in Web of Science</v>
      </c>
    </row>
    <row r="243" spans="1:72" x14ac:dyDescent="0.15">
      <c r="A243" t="s">
        <v>72</v>
      </c>
      <c r="B243" t="s">
        <v>4992</v>
      </c>
      <c r="C243" t="s">
        <v>74</v>
      </c>
      <c r="D243" t="s">
        <v>74</v>
      </c>
      <c r="E243" t="s">
        <v>74</v>
      </c>
      <c r="F243" t="s">
        <v>4993</v>
      </c>
      <c r="G243" t="s">
        <v>74</v>
      </c>
      <c r="H243" t="s">
        <v>74</v>
      </c>
      <c r="I243" t="s">
        <v>4994</v>
      </c>
      <c r="J243" t="s">
        <v>4995</v>
      </c>
      <c r="K243" t="s">
        <v>74</v>
      </c>
      <c r="L243" t="s">
        <v>74</v>
      </c>
      <c r="M243" t="s">
        <v>78</v>
      </c>
      <c r="N243" t="s">
        <v>79</v>
      </c>
      <c r="O243" t="s">
        <v>74</v>
      </c>
      <c r="P243" t="s">
        <v>74</v>
      </c>
      <c r="Q243" t="s">
        <v>74</v>
      </c>
      <c r="R243" t="s">
        <v>74</v>
      </c>
      <c r="S243" t="s">
        <v>74</v>
      </c>
      <c r="T243" t="s">
        <v>74</v>
      </c>
      <c r="U243" t="s">
        <v>4996</v>
      </c>
      <c r="V243" t="s">
        <v>4997</v>
      </c>
      <c r="W243" t="s">
        <v>4998</v>
      </c>
      <c r="X243" t="s">
        <v>4999</v>
      </c>
      <c r="Y243" t="s">
        <v>5000</v>
      </c>
      <c r="Z243" t="s">
        <v>5001</v>
      </c>
      <c r="AA243" t="s">
        <v>5002</v>
      </c>
      <c r="AB243" t="s">
        <v>5003</v>
      </c>
      <c r="AC243" t="s">
        <v>5004</v>
      </c>
      <c r="AD243" t="s">
        <v>5005</v>
      </c>
      <c r="AE243" t="s">
        <v>5006</v>
      </c>
      <c r="AF243" t="s">
        <v>74</v>
      </c>
      <c r="AG243">
        <v>69</v>
      </c>
      <c r="AH243">
        <v>22</v>
      </c>
      <c r="AI243">
        <v>23</v>
      </c>
      <c r="AJ243">
        <v>0</v>
      </c>
      <c r="AK243">
        <v>5</v>
      </c>
      <c r="AL243" t="s">
        <v>4959</v>
      </c>
      <c r="AM243" t="s">
        <v>435</v>
      </c>
      <c r="AN243" t="s">
        <v>4960</v>
      </c>
      <c r="AO243" t="s">
        <v>5007</v>
      </c>
      <c r="AP243" t="s">
        <v>5008</v>
      </c>
      <c r="AQ243" t="s">
        <v>74</v>
      </c>
      <c r="AR243" t="s">
        <v>5009</v>
      </c>
      <c r="AS243" t="s">
        <v>5010</v>
      </c>
      <c r="AT243" t="s">
        <v>2912</v>
      </c>
      <c r="AU243">
        <v>2020</v>
      </c>
      <c r="AV243">
        <v>147</v>
      </c>
      <c r="AW243" t="s">
        <v>74</v>
      </c>
      <c r="AX243" t="s">
        <v>74</v>
      </c>
      <c r="AY243" t="s">
        <v>74</v>
      </c>
      <c r="AZ243" t="s">
        <v>74</v>
      </c>
      <c r="BA243" t="s">
        <v>74</v>
      </c>
      <c r="BB243" t="s">
        <v>74</v>
      </c>
      <c r="BC243" t="s">
        <v>74</v>
      </c>
      <c r="BD243">
        <v>101569</v>
      </c>
      <c r="BE243" t="s">
        <v>5011</v>
      </c>
      <c r="BF243" t="str">
        <f>HYPERLINK("http://dx.doi.org/10.1016/j.ocemod.2020.101569","http://dx.doi.org/10.1016/j.ocemod.2020.101569")</f>
        <v>http://dx.doi.org/10.1016/j.ocemod.2020.101569</v>
      </c>
      <c r="BG243" t="s">
        <v>74</v>
      </c>
      <c r="BH243" t="s">
        <v>74</v>
      </c>
      <c r="BI243">
        <v>15</v>
      </c>
      <c r="BJ243" t="s">
        <v>1766</v>
      </c>
      <c r="BK243" t="s">
        <v>103</v>
      </c>
      <c r="BL243" t="s">
        <v>1766</v>
      </c>
      <c r="BM243" t="s">
        <v>5012</v>
      </c>
      <c r="BN243" t="s">
        <v>74</v>
      </c>
      <c r="BO243" t="s">
        <v>133</v>
      </c>
      <c r="BP243" t="s">
        <v>74</v>
      </c>
      <c r="BQ243" t="s">
        <v>74</v>
      </c>
      <c r="BR243" t="s">
        <v>106</v>
      </c>
      <c r="BS243" t="s">
        <v>5013</v>
      </c>
      <c r="BT243" t="str">
        <f>HYPERLINK("https%3A%2F%2Fwww.webofscience.com%2Fwos%2Fwoscc%2Ffull-record%2FWOS:000515167800011","View Full Record in Web of Science")</f>
        <v>View Full Record in Web of Science</v>
      </c>
    </row>
    <row r="244" spans="1:72" x14ac:dyDescent="0.15">
      <c r="A244" t="s">
        <v>72</v>
      </c>
      <c r="B244" t="s">
        <v>5014</v>
      </c>
      <c r="C244" t="s">
        <v>74</v>
      </c>
      <c r="D244" t="s">
        <v>74</v>
      </c>
      <c r="E244" t="s">
        <v>74</v>
      </c>
      <c r="F244" t="s">
        <v>5015</v>
      </c>
      <c r="G244" t="s">
        <v>74</v>
      </c>
      <c r="H244" t="s">
        <v>74</v>
      </c>
      <c r="I244" t="s">
        <v>5016</v>
      </c>
      <c r="J244" t="s">
        <v>4995</v>
      </c>
      <c r="K244" t="s">
        <v>74</v>
      </c>
      <c r="L244" t="s">
        <v>74</v>
      </c>
      <c r="M244" t="s">
        <v>78</v>
      </c>
      <c r="N244" t="s">
        <v>79</v>
      </c>
      <c r="O244" t="s">
        <v>74</v>
      </c>
      <c r="P244" t="s">
        <v>74</v>
      </c>
      <c r="Q244" t="s">
        <v>74</v>
      </c>
      <c r="R244" t="s">
        <v>74</v>
      </c>
      <c r="S244" t="s">
        <v>74</v>
      </c>
      <c r="T244" t="s">
        <v>5017</v>
      </c>
      <c r="U244" t="s">
        <v>5018</v>
      </c>
      <c r="V244" t="s">
        <v>5019</v>
      </c>
      <c r="W244" t="s">
        <v>5020</v>
      </c>
      <c r="X244" t="s">
        <v>5021</v>
      </c>
      <c r="Y244" t="s">
        <v>5022</v>
      </c>
      <c r="Z244" t="s">
        <v>5023</v>
      </c>
      <c r="AA244" t="s">
        <v>5024</v>
      </c>
      <c r="AB244" t="s">
        <v>74</v>
      </c>
      <c r="AC244" t="s">
        <v>5025</v>
      </c>
      <c r="AD244" t="s">
        <v>5026</v>
      </c>
      <c r="AE244" t="s">
        <v>5027</v>
      </c>
      <c r="AF244" t="s">
        <v>74</v>
      </c>
      <c r="AG244">
        <v>91</v>
      </c>
      <c r="AH244">
        <v>2</v>
      </c>
      <c r="AI244">
        <v>2</v>
      </c>
      <c r="AJ244">
        <v>1</v>
      </c>
      <c r="AK244">
        <v>24</v>
      </c>
      <c r="AL244" t="s">
        <v>4959</v>
      </c>
      <c r="AM244" t="s">
        <v>435</v>
      </c>
      <c r="AN244" t="s">
        <v>4960</v>
      </c>
      <c r="AO244" t="s">
        <v>5007</v>
      </c>
      <c r="AP244" t="s">
        <v>5008</v>
      </c>
      <c r="AQ244" t="s">
        <v>74</v>
      </c>
      <c r="AR244" t="s">
        <v>5009</v>
      </c>
      <c r="AS244" t="s">
        <v>5010</v>
      </c>
      <c r="AT244" t="s">
        <v>2912</v>
      </c>
      <c r="AU244">
        <v>2020</v>
      </c>
      <c r="AV244">
        <v>147</v>
      </c>
      <c r="AW244" t="s">
        <v>74</v>
      </c>
      <c r="AX244" t="s">
        <v>74</v>
      </c>
      <c r="AY244" t="s">
        <v>74</v>
      </c>
      <c r="AZ244" t="s">
        <v>74</v>
      </c>
      <c r="BA244" t="s">
        <v>74</v>
      </c>
      <c r="BB244" t="s">
        <v>74</v>
      </c>
      <c r="BC244" t="s">
        <v>74</v>
      </c>
      <c r="BD244">
        <v>101555</v>
      </c>
      <c r="BE244" t="s">
        <v>5028</v>
      </c>
      <c r="BF244" t="str">
        <f>HYPERLINK("http://dx.doi.org/10.1016/j.ocemod.2019.101555","http://dx.doi.org/10.1016/j.ocemod.2019.101555")</f>
        <v>http://dx.doi.org/10.1016/j.ocemod.2019.101555</v>
      </c>
      <c r="BG244" t="s">
        <v>74</v>
      </c>
      <c r="BH244" t="s">
        <v>74</v>
      </c>
      <c r="BI244">
        <v>23</v>
      </c>
      <c r="BJ244" t="s">
        <v>1766</v>
      </c>
      <c r="BK244" t="s">
        <v>103</v>
      </c>
      <c r="BL244" t="s">
        <v>1766</v>
      </c>
      <c r="BM244" t="s">
        <v>5012</v>
      </c>
      <c r="BN244" t="s">
        <v>74</v>
      </c>
      <c r="BO244" t="s">
        <v>416</v>
      </c>
      <c r="BP244" t="s">
        <v>74</v>
      </c>
      <c r="BQ244" t="s">
        <v>74</v>
      </c>
      <c r="BR244" t="s">
        <v>106</v>
      </c>
      <c r="BS244" t="s">
        <v>5029</v>
      </c>
      <c r="BT244" t="str">
        <f>HYPERLINK("https%3A%2F%2Fwww.webofscience.com%2Fwos%2Fwoscc%2Ffull-record%2FWOS:000515167800010","View Full Record in Web of Science")</f>
        <v>View Full Record in Web of Science</v>
      </c>
    </row>
    <row r="245" spans="1:72" x14ac:dyDescent="0.15">
      <c r="A245" t="s">
        <v>72</v>
      </c>
      <c r="B245" t="s">
        <v>5030</v>
      </c>
      <c r="C245" t="s">
        <v>74</v>
      </c>
      <c r="D245" t="s">
        <v>74</v>
      </c>
      <c r="E245" t="s">
        <v>74</v>
      </c>
      <c r="F245" t="s">
        <v>5031</v>
      </c>
      <c r="G245" t="s">
        <v>74</v>
      </c>
      <c r="H245" t="s">
        <v>74</v>
      </c>
      <c r="I245" t="s">
        <v>5032</v>
      </c>
      <c r="J245" t="s">
        <v>5033</v>
      </c>
      <c r="K245" t="s">
        <v>74</v>
      </c>
      <c r="L245" t="s">
        <v>74</v>
      </c>
      <c r="M245" t="s">
        <v>78</v>
      </c>
      <c r="N245" t="s">
        <v>1434</v>
      </c>
      <c r="O245" t="s">
        <v>74</v>
      </c>
      <c r="P245" t="s">
        <v>74</v>
      </c>
      <c r="Q245" t="s">
        <v>74</v>
      </c>
      <c r="R245" t="s">
        <v>74</v>
      </c>
      <c r="S245" t="s">
        <v>74</v>
      </c>
      <c r="T245" t="s">
        <v>5034</v>
      </c>
      <c r="U245" t="s">
        <v>5035</v>
      </c>
      <c r="V245" t="s">
        <v>5036</v>
      </c>
      <c r="W245" t="s">
        <v>5037</v>
      </c>
      <c r="X245" t="s">
        <v>5038</v>
      </c>
      <c r="Y245" t="s">
        <v>5039</v>
      </c>
      <c r="Z245" t="s">
        <v>5040</v>
      </c>
      <c r="AA245" t="s">
        <v>5041</v>
      </c>
      <c r="AB245" t="s">
        <v>5042</v>
      </c>
      <c r="AC245" t="s">
        <v>5043</v>
      </c>
      <c r="AD245" t="s">
        <v>1736</v>
      </c>
      <c r="AE245" t="s">
        <v>74</v>
      </c>
      <c r="AF245" t="s">
        <v>74</v>
      </c>
      <c r="AG245">
        <v>82</v>
      </c>
      <c r="AH245">
        <v>19</v>
      </c>
      <c r="AI245">
        <v>21</v>
      </c>
      <c r="AJ245">
        <v>1</v>
      </c>
      <c r="AK245">
        <v>27</v>
      </c>
      <c r="AL245" t="s">
        <v>121</v>
      </c>
      <c r="AM245" t="s">
        <v>122</v>
      </c>
      <c r="AN245" t="s">
        <v>123</v>
      </c>
      <c r="AO245" t="s">
        <v>5044</v>
      </c>
      <c r="AP245" t="s">
        <v>5045</v>
      </c>
      <c r="AQ245" t="s">
        <v>74</v>
      </c>
      <c r="AR245" t="s">
        <v>5033</v>
      </c>
      <c r="AS245" t="s">
        <v>5046</v>
      </c>
      <c r="AT245" t="s">
        <v>2912</v>
      </c>
      <c r="AU245">
        <v>2020</v>
      </c>
      <c r="AV245">
        <v>49</v>
      </c>
      <c r="AW245">
        <v>3</v>
      </c>
      <c r="AX245" t="s">
        <v>74</v>
      </c>
      <c r="AY245" t="s">
        <v>74</v>
      </c>
      <c r="AZ245" t="s">
        <v>342</v>
      </c>
      <c r="BA245" t="s">
        <v>74</v>
      </c>
      <c r="BB245">
        <v>704</v>
      </c>
      <c r="BC245">
        <v>717</v>
      </c>
      <c r="BD245" t="s">
        <v>74</v>
      </c>
      <c r="BE245" t="s">
        <v>5047</v>
      </c>
      <c r="BF245" t="str">
        <f>HYPERLINK("http://dx.doi.org/10.1007/s13280-019-01185-y","http://dx.doi.org/10.1007/s13280-019-01185-y")</f>
        <v>http://dx.doi.org/10.1007/s13280-019-01185-y</v>
      </c>
      <c r="BG245" t="s">
        <v>74</v>
      </c>
      <c r="BH245" t="s">
        <v>74</v>
      </c>
      <c r="BI245">
        <v>14</v>
      </c>
      <c r="BJ245" t="s">
        <v>2843</v>
      </c>
      <c r="BK245" t="s">
        <v>103</v>
      </c>
      <c r="BL245" t="s">
        <v>2844</v>
      </c>
      <c r="BM245" t="s">
        <v>5048</v>
      </c>
      <c r="BN245">
        <v>31030417</v>
      </c>
      <c r="BO245" t="s">
        <v>221</v>
      </c>
      <c r="BP245" t="s">
        <v>74</v>
      </c>
      <c r="BQ245" t="s">
        <v>74</v>
      </c>
      <c r="BR245" t="s">
        <v>106</v>
      </c>
      <c r="BS245" t="s">
        <v>5049</v>
      </c>
      <c r="BT245" t="str">
        <f>HYPERLINK("https%3A%2F%2Fwww.webofscience.com%2Fwos%2Fwoscc%2Ffull-record%2FWOS:000512109100005","View Full Record in Web of Science")</f>
        <v>View Full Record in Web of Science</v>
      </c>
    </row>
    <row r="246" spans="1:72" x14ac:dyDescent="0.15">
      <c r="A246" t="s">
        <v>72</v>
      </c>
      <c r="B246" t="s">
        <v>5050</v>
      </c>
      <c r="C246" t="s">
        <v>74</v>
      </c>
      <c r="D246" t="s">
        <v>74</v>
      </c>
      <c r="E246" t="s">
        <v>74</v>
      </c>
      <c r="F246" t="s">
        <v>5051</v>
      </c>
      <c r="G246" t="s">
        <v>74</v>
      </c>
      <c r="H246" t="s">
        <v>74</v>
      </c>
      <c r="I246" t="s">
        <v>5052</v>
      </c>
      <c r="J246" t="s">
        <v>5033</v>
      </c>
      <c r="K246" t="s">
        <v>74</v>
      </c>
      <c r="L246" t="s">
        <v>74</v>
      </c>
      <c r="M246" t="s">
        <v>78</v>
      </c>
      <c r="N246" t="s">
        <v>79</v>
      </c>
      <c r="O246" t="s">
        <v>74</v>
      </c>
      <c r="P246" t="s">
        <v>74</v>
      </c>
      <c r="Q246" t="s">
        <v>74</v>
      </c>
      <c r="R246" t="s">
        <v>74</v>
      </c>
      <c r="S246" t="s">
        <v>74</v>
      </c>
      <c r="T246" t="s">
        <v>5053</v>
      </c>
      <c r="U246" t="s">
        <v>5054</v>
      </c>
      <c r="V246" t="s">
        <v>5055</v>
      </c>
      <c r="W246" t="s">
        <v>5056</v>
      </c>
      <c r="X246" t="s">
        <v>5057</v>
      </c>
      <c r="Y246" t="s">
        <v>5039</v>
      </c>
      <c r="Z246" t="s">
        <v>5058</v>
      </c>
      <c r="AA246" t="s">
        <v>5059</v>
      </c>
      <c r="AB246" t="s">
        <v>5060</v>
      </c>
      <c r="AC246" t="s">
        <v>5043</v>
      </c>
      <c r="AD246" t="s">
        <v>1736</v>
      </c>
      <c r="AE246" t="s">
        <v>74</v>
      </c>
      <c r="AF246" t="s">
        <v>74</v>
      </c>
      <c r="AG246">
        <v>53</v>
      </c>
      <c r="AH246">
        <v>34</v>
      </c>
      <c r="AI246">
        <v>35</v>
      </c>
      <c r="AJ246">
        <v>2</v>
      </c>
      <c r="AK246">
        <v>48</v>
      </c>
      <c r="AL246" t="s">
        <v>121</v>
      </c>
      <c r="AM246" t="s">
        <v>122</v>
      </c>
      <c r="AN246" t="s">
        <v>123</v>
      </c>
      <c r="AO246" t="s">
        <v>5044</v>
      </c>
      <c r="AP246" t="s">
        <v>5045</v>
      </c>
      <c r="AQ246" t="s">
        <v>74</v>
      </c>
      <c r="AR246" t="s">
        <v>5033</v>
      </c>
      <c r="AS246" t="s">
        <v>5046</v>
      </c>
      <c r="AT246" t="s">
        <v>2912</v>
      </c>
      <c r="AU246">
        <v>2020</v>
      </c>
      <c r="AV246">
        <v>49</v>
      </c>
      <c r="AW246">
        <v>3</v>
      </c>
      <c r="AX246" t="s">
        <v>74</v>
      </c>
      <c r="AY246" t="s">
        <v>74</v>
      </c>
      <c r="AZ246" t="s">
        <v>342</v>
      </c>
      <c r="BA246" t="s">
        <v>74</v>
      </c>
      <c r="BB246">
        <v>718</v>
      </c>
      <c r="BC246">
        <v>731</v>
      </c>
      <c r="BD246" t="s">
        <v>74</v>
      </c>
      <c r="BE246" t="s">
        <v>5061</v>
      </c>
      <c r="BF246" t="str">
        <f>HYPERLINK("http://dx.doi.org/10.1007/s13280-019-01162-5","http://dx.doi.org/10.1007/s13280-019-01162-5")</f>
        <v>http://dx.doi.org/10.1007/s13280-019-01162-5</v>
      </c>
      <c r="BG246" t="s">
        <v>74</v>
      </c>
      <c r="BH246" t="s">
        <v>74</v>
      </c>
      <c r="BI246">
        <v>14</v>
      </c>
      <c r="BJ246" t="s">
        <v>2843</v>
      </c>
      <c r="BK246" t="s">
        <v>103</v>
      </c>
      <c r="BL246" t="s">
        <v>2844</v>
      </c>
      <c r="BM246" t="s">
        <v>5048</v>
      </c>
      <c r="BN246">
        <v>30879270</v>
      </c>
      <c r="BO246" t="s">
        <v>1868</v>
      </c>
      <c r="BP246" t="s">
        <v>74</v>
      </c>
      <c r="BQ246" t="s">
        <v>74</v>
      </c>
      <c r="BR246" t="s">
        <v>106</v>
      </c>
      <c r="BS246" t="s">
        <v>5062</v>
      </c>
      <c r="BT246" t="str">
        <f>HYPERLINK("https%3A%2F%2Fwww.webofscience.com%2Fwos%2Fwoscc%2Ffull-record%2FWOS:000512109100006","View Full Record in Web of Science")</f>
        <v>View Full Record in Web of Science</v>
      </c>
    </row>
    <row r="247" spans="1:72" x14ac:dyDescent="0.15">
      <c r="A247" t="s">
        <v>72</v>
      </c>
      <c r="B247" t="s">
        <v>5063</v>
      </c>
      <c r="C247" t="s">
        <v>74</v>
      </c>
      <c r="D247" t="s">
        <v>74</v>
      </c>
      <c r="E247" t="s">
        <v>74</v>
      </c>
      <c r="F247" t="s">
        <v>5064</v>
      </c>
      <c r="G247" t="s">
        <v>74</v>
      </c>
      <c r="H247" t="s">
        <v>74</v>
      </c>
      <c r="I247" t="s">
        <v>5065</v>
      </c>
      <c r="J247" t="s">
        <v>5066</v>
      </c>
      <c r="K247" t="s">
        <v>74</v>
      </c>
      <c r="L247" t="s">
        <v>74</v>
      </c>
      <c r="M247" t="s">
        <v>78</v>
      </c>
      <c r="N247" t="s">
        <v>79</v>
      </c>
      <c r="O247" t="s">
        <v>74</v>
      </c>
      <c r="P247" t="s">
        <v>74</v>
      </c>
      <c r="Q247" t="s">
        <v>74</v>
      </c>
      <c r="R247" t="s">
        <v>74</v>
      </c>
      <c r="S247" t="s">
        <v>74</v>
      </c>
      <c r="T247" t="s">
        <v>5067</v>
      </c>
      <c r="U247" t="s">
        <v>5068</v>
      </c>
      <c r="V247" t="s">
        <v>5069</v>
      </c>
      <c r="W247" t="s">
        <v>5070</v>
      </c>
      <c r="X247" t="s">
        <v>5071</v>
      </c>
      <c r="Y247" t="s">
        <v>5072</v>
      </c>
      <c r="Z247" t="s">
        <v>5073</v>
      </c>
      <c r="AA247" t="s">
        <v>5074</v>
      </c>
      <c r="AB247" t="s">
        <v>5075</v>
      </c>
      <c r="AC247" t="s">
        <v>5076</v>
      </c>
      <c r="AD247" t="s">
        <v>5077</v>
      </c>
      <c r="AE247" t="s">
        <v>5078</v>
      </c>
      <c r="AF247" t="s">
        <v>74</v>
      </c>
      <c r="AG247">
        <v>76</v>
      </c>
      <c r="AH247">
        <v>2</v>
      </c>
      <c r="AI247">
        <v>2</v>
      </c>
      <c r="AJ247">
        <v>0</v>
      </c>
      <c r="AK247">
        <v>33</v>
      </c>
      <c r="AL247" t="s">
        <v>4084</v>
      </c>
      <c r="AM247" t="s">
        <v>4085</v>
      </c>
      <c r="AN247" t="s">
        <v>4086</v>
      </c>
      <c r="AO247" t="s">
        <v>5079</v>
      </c>
      <c r="AP247" t="s">
        <v>5080</v>
      </c>
      <c r="AQ247" t="s">
        <v>74</v>
      </c>
      <c r="AR247" t="s">
        <v>5081</v>
      </c>
      <c r="AS247" t="s">
        <v>5082</v>
      </c>
      <c r="AT247" t="s">
        <v>2912</v>
      </c>
      <c r="AU247">
        <v>2020</v>
      </c>
      <c r="AV247">
        <v>33</v>
      </c>
      <c r="AW247">
        <v>6</v>
      </c>
      <c r="AX247" t="s">
        <v>74</v>
      </c>
      <c r="AY247" t="s">
        <v>74</v>
      </c>
      <c r="AZ247" t="s">
        <v>74</v>
      </c>
      <c r="BA247" t="s">
        <v>74</v>
      </c>
      <c r="BB247">
        <v>2111</v>
      </c>
      <c r="BC247">
        <v>2130</v>
      </c>
      <c r="BD247" t="s">
        <v>74</v>
      </c>
      <c r="BE247" t="s">
        <v>5083</v>
      </c>
      <c r="BF247" t="str">
        <f>HYPERLINK("http://dx.doi.org/10.1175/JCLI-D-19-0364.1","http://dx.doi.org/10.1175/JCLI-D-19-0364.1")</f>
        <v>http://dx.doi.org/10.1175/JCLI-D-19-0364.1</v>
      </c>
      <c r="BG247" t="s">
        <v>74</v>
      </c>
      <c r="BH247" t="s">
        <v>74</v>
      </c>
      <c r="BI247">
        <v>20</v>
      </c>
      <c r="BJ247" t="s">
        <v>907</v>
      </c>
      <c r="BK247" t="s">
        <v>103</v>
      </c>
      <c r="BL247" t="s">
        <v>907</v>
      </c>
      <c r="BM247" t="s">
        <v>5084</v>
      </c>
      <c r="BN247" t="s">
        <v>74</v>
      </c>
      <c r="BO247" t="s">
        <v>74</v>
      </c>
      <c r="BP247" t="s">
        <v>74</v>
      </c>
      <c r="BQ247" t="s">
        <v>74</v>
      </c>
      <c r="BR247" t="s">
        <v>106</v>
      </c>
      <c r="BS247" t="s">
        <v>5085</v>
      </c>
      <c r="BT247" t="str">
        <f>HYPERLINK("https%3A%2F%2Fwww.webofscience.com%2Fwos%2Fwoscc%2Ffull-record%2FWOS:000513954900002","View Full Record in Web of Science")</f>
        <v>View Full Record in Web of Science</v>
      </c>
    </row>
    <row r="248" spans="1:72" x14ac:dyDescent="0.15">
      <c r="A248" t="s">
        <v>72</v>
      </c>
      <c r="B248" t="s">
        <v>5086</v>
      </c>
      <c r="C248" t="s">
        <v>74</v>
      </c>
      <c r="D248" t="s">
        <v>74</v>
      </c>
      <c r="E248" t="s">
        <v>74</v>
      </c>
      <c r="F248" t="s">
        <v>5087</v>
      </c>
      <c r="G248" t="s">
        <v>74</v>
      </c>
      <c r="H248" t="s">
        <v>74</v>
      </c>
      <c r="I248" t="s">
        <v>5088</v>
      </c>
      <c r="J248" t="s">
        <v>5089</v>
      </c>
      <c r="K248" t="s">
        <v>74</v>
      </c>
      <c r="L248" t="s">
        <v>74</v>
      </c>
      <c r="M248" t="s">
        <v>78</v>
      </c>
      <c r="N248" t="s">
        <v>79</v>
      </c>
      <c r="O248" t="s">
        <v>74</v>
      </c>
      <c r="P248" t="s">
        <v>74</v>
      </c>
      <c r="Q248" t="s">
        <v>74</v>
      </c>
      <c r="R248" t="s">
        <v>74</v>
      </c>
      <c r="S248" t="s">
        <v>74</v>
      </c>
      <c r="T248" t="s">
        <v>5090</v>
      </c>
      <c r="U248" t="s">
        <v>5091</v>
      </c>
      <c r="V248" t="s">
        <v>5092</v>
      </c>
      <c r="W248" t="s">
        <v>5093</v>
      </c>
      <c r="X248" t="s">
        <v>5094</v>
      </c>
      <c r="Y248" t="s">
        <v>5095</v>
      </c>
      <c r="Z248" t="s">
        <v>5096</v>
      </c>
      <c r="AA248" t="s">
        <v>5097</v>
      </c>
      <c r="AB248" t="s">
        <v>5098</v>
      </c>
      <c r="AC248" t="s">
        <v>5099</v>
      </c>
      <c r="AD248" t="s">
        <v>5100</v>
      </c>
      <c r="AE248" t="s">
        <v>5101</v>
      </c>
      <c r="AF248" t="s">
        <v>74</v>
      </c>
      <c r="AG248">
        <v>40</v>
      </c>
      <c r="AH248">
        <v>4</v>
      </c>
      <c r="AI248">
        <v>4</v>
      </c>
      <c r="AJ248">
        <v>1</v>
      </c>
      <c r="AK248">
        <v>21</v>
      </c>
      <c r="AL248" t="s">
        <v>289</v>
      </c>
      <c r="AM248" t="s">
        <v>290</v>
      </c>
      <c r="AN248" t="s">
        <v>291</v>
      </c>
      <c r="AO248" t="s">
        <v>5102</v>
      </c>
      <c r="AP248" t="s">
        <v>5103</v>
      </c>
      <c r="AQ248" t="s">
        <v>74</v>
      </c>
      <c r="AR248" t="s">
        <v>5104</v>
      </c>
      <c r="AS248" t="s">
        <v>5105</v>
      </c>
      <c r="AT248" t="s">
        <v>2912</v>
      </c>
      <c r="AU248">
        <v>2020</v>
      </c>
      <c r="AV248">
        <v>524</v>
      </c>
      <c r="AW248" t="s">
        <v>74</v>
      </c>
      <c r="AX248" t="s">
        <v>74</v>
      </c>
      <c r="AY248" t="s">
        <v>74</v>
      </c>
      <c r="AZ248" t="s">
        <v>74</v>
      </c>
      <c r="BA248" t="s">
        <v>74</v>
      </c>
      <c r="BB248" t="s">
        <v>74</v>
      </c>
      <c r="BC248" t="s">
        <v>74</v>
      </c>
      <c r="BD248">
        <v>151292</v>
      </c>
      <c r="BE248" t="s">
        <v>5106</v>
      </c>
      <c r="BF248" t="str">
        <f>HYPERLINK("http://dx.doi.org/10.1016/j.jembe.2019.151292","http://dx.doi.org/10.1016/j.jembe.2019.151292")</f>
        <v>http://dx.doi.org/10.1016/j.jembe.2019.151292</v>
      </c>
      <c r="BG248" t="s">
        <v>74</v>
      </c>
      <c r="BH248" t="s">
        <v>74</v>
      </c>
      <c r="BI248">
        <v>8</v>
      </c>
      <c r="BJ248" t="s">
        <v>5107</v>
      </c>
      <c r="BK248" t="s">
        <v>103</v>
      </c>
      <c r="BL248" t="s">
        <v>1357</v>
      </c>
      <c r="BM248" t="s">
        <v>5108</v>
      </c>
      <c r="BN248" t="s">
        <v>74</v>
      </c>
      <c r="BO248" t="s">
        <v>74</v>
      </c>
      <c r="BP248" t="s">
        <v>74</v>
      </c>
      <c r="BQ248" t="s">
        <v>74</v>
      </c>
      <c r="BR248" t="s">
        <v>106</v>
      </c>
      <c r="BS248" t="s">
        <v>5109</v>
      </c>
      <c r="BT248" t="str">
        <f>HYPERLINK("https%3A%2F%2Fwww.webofscience.com%2Fwos%2Fwoscc%2Ffull-record%2FWOS:000514018900013","View Full Record in Web of Science")</f>
        <v>View Full Record in Web of Science</v>
      </c>
    </row>
    <row r="249" spans="1:72" x14ac:dyDescent="0.15">
      <c r="A249" t="s">
        <v>72</v>
      </c>
      <c r="B249" t="s">
        <v>5110</v>
      </c>
      <c r="C249" t="s">
        <v>74</v>
      </c>
      <c r="D249" t="s">
        <v>74</v>
      </c>
      <c r="E249" t="s">
        <v>74</v>
      </c>
      <c r="F249" t="s">
        <v>5111</v>
      </c>
      <c r="G249" t="s">
        <v>74</v>
      </c>
      <c r="H249" t="s">
        <v>74</v>
      </c>
      <c r="I249" t="s">
        <v>5112</v>
      </c>
      <c r="J249" t="s">
        <v>5113</v>
      </c>
      <c r="K249" t="s">
        <v>74</v>
      </c>
      <c r="L249" t="s">
        <v>74</v>
      </c>
      <c r="M249" t="s">
        <v>78</v>
      </c>
      <c r="N249" t="s">
        <v>79</v>
      </c>
      <c r="O249" t="s">
        <v>74</v>
      </c>
      <c r="P249" t="s">
        <v>74</v>
      </c>
      <c r="Q249" t="s">
        <v>74</v>
      </c>
      <c r="R249" t="s">
        <v>74</v>
      </c>
      <c r="S249" t="s">
        <v>74</v>
      </c>
      <c r="T249" t="s">
        <v>74</v>
      </c>
      <c r="U249" t="s">
        <v>5114</v>
      </c>
      <c r="V249" t="s">
        <v>5115</v>
      </c>
      <c r="W249" t="s">
        <v>5116</v>
      </c>
      <c r="X249" t="s">
        <v>5117</v>
      </c>
      <c r="Y249" t="s">
        <v>5118</v>
      </c>
      <c r="Z249" t="s">
        <v>5119</v>
      </c>
      <c r="AA249" t="s">
        <v>5120</v>
      </c>
      <c r="AB249" t="s">
        <v>5121</v>
      </c>
      <c r="AC249" t="s">
        <v>5122</v>
      </c>
      <c r="AD249" t="s">
        <v>5123</v>
      </c>
      <c r="AE249" t="s">
        <v>5124</v>
      </c>
      <c r="AF249" t="s">
        <v>74</v>
      </c>
      <c r="AG249">
        <v>47</v>
      </c>
      <c r="AH249">
        <v>18</v>
      </c>
      <c r="AI249">
        <v>18</v>
      </c>
      <c r="AJ249">
        <v>1</v>
      </c>
      <c r="AK249">
        <v>4</v>
      </c>
      <c r="AL249" t="s">
        <v>1055</v>
      </c>
      <c r="AM249" t="s">
        <v>435</v>
      </c>
      <c r="AN249" t="s">
        <v>1056</v>
      </c>
      <c r="AO249" t="s">
        <v>5125</v>
      </c>
      <c r="AP249" t="s">
        <v>5126</v>
      </c>
      <c r="AQ249" t="s">
        <v>74</v>
      </c>
      <c r="AR249" t="s">
        <v>5113</v>
      </c>
      <c r="AS249" t="s">
        <v>5127</v>
      </c>
      <c r="AT249" t="s">
        <v>4260</v>
      </c>
      <c r="AU249">
        <v>2020</v>
      </c>
      <c r="AV249">
        <v>36</v>
      </c>
      <c r="AW249">
        <v>5</v>
      </c>
      <c r="AX249" t="s">
        <v>74</v>
      </c>
      <c r="AY249" t="s">
        <v>74</v>
      </c>
      <c r="AZ249" t="s">
        <v>74</v>
      </c>
      <c r="BA249" t="s">
        <v>74</v>
      </c>
      <c r="BB249">
        <v>1326</v>
      </c>
      <c r="BC249">
        <v>1332</v>
      </c>
      <c r="BD249" t="s">
        <v>74</v>
      </c>
      <c r="BE249" t="s">
        <v>5128</v>
      </c>
      <c r="BF249" t="str">
        <f>HYPERLINK("http://dx.doi.org/10.1093/bioinformatics/btz754","http://dx.doi.org/10.1093/bioinformatics/btz754")</f>
        <v>http://dx.doi.org/10.1093/bioinformatics/btz754</v>
      </c>
      <c r="BG249" t="s">
        <v>74</v>
      </c>
      <c r="BH249" t="s">
        <v>74</v>
      </c>
      <c r="BI249">
        <v>7</v>
      </c>
      <c r="BJ249" t="s">
        <v>5129</v>
      </c>
      <c r="BK249" t="s">
        <v>103</v>
      </c>
      <c r="BL249" t="s">
        <v>5130</v>
      </c>
      <c r="BM249" t="s">
        <v>5131</v>
      </c>
      <c r="BN249">
        <v>31617561</v>
      </c>
      <c r="BO249" t="s">
        <v>3606</v>
      </c>
      <c r="BP249" t="s">
        <v>74</v>
      </c>
      <c r="BQ249" t="s">
        <v>74</v>
      </c>
      <c r="BR249" t="s">
        <v>106</v>
      </c>
      <c r="BS249" t="s">
        <v>5132</v>
      </c>
      <c r="BT249" t="str">
        <f>HYPERLINK("https%3A%2F%2Fwww.webofscience.com%2Fwos%2Fwoscc%2Ffull-record%2FWOS:000535656600002","View Full Record in Web of Science")</f>
        <v>View Full Record in Web of Science</v>
      </c>
    </row>
    <row r="250" spans="1:72" x14ac:dyDescent="0.15">
      <c r="A250" t="s">
        <v>72</v>
      </c>
      <c r="B250" t="s">
        <v>5133</v>
      </c>
      <c r="C250" t="s">
        <v>74</v>
      </c>
      <c r="D250" t="s">
        <v>74</v>
      </c>
      <c r="E250" t="s">
        <v>74</v>
      </c>
      <c r="F250" t="s">
        <v>5134</v>
      </c>
      <c r="G250" t="s">
        <v>74</v>
      </c>
      <c r="H250" t="s">
        <v>74</v>
      </c>
      <c r="I250" t="s">
        <v>5135</v>
      </c>
      <c r="J250" t="s">
        <v>2180</v>
      </c>
      <c r="K250" t="s">
        <v>74</v>
      </c>
      <c r="L250" t="s">
        <v>74</v>
      </c>
      <c r="M250" t="s">
        <v>78</v>
      </c>
      <c r="N250" t="s">
        <v>79</v>
      </c>
      <c r="O250" t="s">
        <v>74</v>
      </c>
      <c r="P250" t="s">
        <v>74</v>
      </c>
      <c r="Q250" t="s">
        <v>74</v>
      </c>
      <c r="R250" t="s">
        <v>74</v>
      </c>
      <c r="S250" t="s">
        <v>74</v>
      </c>
      <c r="T250" t="s">
        <v>5136</v>
      </c>
      <c r="U250" t="s">
        <v>5137</v>
      </c>
      <c r="V250" t="s">
        <v>5138</v>
      </c>
      <c r="W250" t="s">
        <v>5139</v>
      </c>
      <c r="X250" t="s">
        <v>5140</v>
      </c>
      <c r="Y250" t="s">
        <v>5141</v>
      </c>
      <c r="Z250" t="s">
        <v>5142</v>
      </c>
      <c r="AA250" t="s">
        <v>5143</v>
      </c>
      <c r="AB250" t="s">
        <v>5144</v>
      </c>
      <c r="AC250" t="s">
        <v>5145</v>
      </c>
      <c r="AD250" t="s">
        <v>5146</v>
      </c>
      <c r="AE250" t="s">
        <v>5147</v>
      </c>
      <c r="AF250" t="s">
        <v>74</v>
      </c>
      <c r="AG250">
        <v>86</v>
      </c>
      <c r="AH250">
        <v>23</v>
      </c>
      <c r="AI250">
        <v>26</v>
      </c>
      <c r="AJ250">
        <v>4</v>
      </c>
      <c r="AK250">
        <v>32</v>
      </c>
      <c r="AL250" t="s">
        <v>289</v>
      </c>
      <c r="AM250" t="s">
        <v>290</v>
      </c>
      <c r="AN250" t="s">
        <v>291</v>
      </c>
      <c r="AO250" t="s">
        <v>2193</v>
      </c>
      <c r="AP250" t="s">
        <v>2194</v>
      </c>
      <c r="AQ250" t="s">
        <v>74</v>
      </c>
      <c r="AR250" t="s">
        <v>2195</v>
      </c>
      <c r="AS250" t="s">
        <v>2196</v>
      </c>
      <c r="AT250" t="s">
        <v>4260</v>
      </c>
      <c r="AU250">
        <v>2020</v>
      </c>
      <c r="AV250">
        <v>533</v>
      </c>
      <c r="AW250" t="s">
        <v>74</v>
      </c>
      <c r="AX250" t="s">
        <v>74</v>
      </c>
      <c r="AY250" t="s">
        <v>74</v>
      </c>
      <c r="AZ250" t="s">
        <v>74</v>
      </c>
      <c r="BA250" t="s">
        <v>74</v>
      </c>
      <c r="BB250" t="s">
        <v>74</v>
      </c>
      <c r="BC250" t="s">
        <v>74</v>
      </c>
      <c r="BD250">
        <v>116055</v>
      </c>
      <c r="BE250" t="s">
        <v>5148</v>
      </c>
      <c r="BF250" t="str">
        <f>HYPERLINK("http://dx.doi.org/10.1016/j.epsl.2019.116055","http://dx.doi.org/10.1016/j.epsl.2019.116055")</f>
        <v>http://dx.doi.org/10.1016/j.epsl.2019.116055</v>
      </c>
      <c r="BG250" t="s">
        <v>74</v>
      </c>
      <c r="BH250" t="s">
        <v>74</v>
      </c>
      <c r="BI250">
        <v>11</v>
      </c>
      <c r="BJ250" t="s">
        <v>442</v>
      </c>
      <c r="BK250" t="s">
        <v>103</v>
      </c>
      <c r="BL250" t="s">
        <v>442</v>
      </c>
      <c r="BM250" t="s">
        <v>5149</v>
      </c>
      <c r="BN250" t="s">
        <v>74</v>
      </c>
      <c r="BO250" t="s">
        <v>694</v>
      </c>
      <c r="BP250" t="s">
        <v>74</v>
      </c>
      <c r="BQ250" t="s">
        <v>74</v>
      </c>
      <c r="BR250" t="s">
        <v>106</v>
      </c>
      <c r="BS250" t="s">
        <v>5150</v>
      </c>
      <c r="BT250" t="str">
        <f>HYPERLINK("https%3A%2F%2Fwww.webofscience.com%2Fwos%2Fwoscc%2Ffull-record%2FWOS:000510946200009","View Full Record in Web of Science")</f>
        <v>View Full Record in Web of Science</v>
      </c>
    </row>
    <row r="251" spans="1:72" x14ac:dyDescent="0.15">
      <c r="A251" t="s">
        <v>72</v>
      </c>
      <c r="B251" t="s">
        <v>5151</v>
      </c>
      <c r="C251" t="s">
        <v>74</v>
      </c>
      <c r="D251" t="s">
        <v>74</v>
      </c>
      <c r="E251" t="s">
        <v>74</v>
      </c>
      <c r="F251" t="s">
        <v>5152</v>
      </c>
      <c r="G251" t="s">
        <v>74</v>
      </c>
      <c r="H251" t="s">
        <v>74</v>
      </c>
      <c r="I251" t="s">
        <v>5153</v>
      </c>
      <c r="J251" t="s">
        <v>4003</v>
      </c>
      <c r="K251" t="s">
        <v>74</v>
      </c>
      <c r="L251" t="s">
        <v>74</v>
      </c>
      <c r="M251" t="s">
        <v>78</v>
      </c>
      <c r="N251" t="s">
        <v>1434</v>
      </c>
      <c r="O251" t="s">
        <v>74</v>
      </c>
      <c r="P251" t="s">
        <v>74</v>
      </c>
      <c r="Q251" t="s">
        <v>74</v>
      </c>
      <c r="R251" t="s">
        <v>74</v>
      </c>
      <c r="S251" t="s">
        <v>74</v>
      </c>
      <c r="T251" t="s">
        <v>5154</v>
      </c>
      <c r="U251" t="s">
        <v>5155</v>
      </c>
      <c r="V251" t="s">
        <v>5156</v>
      </c>
      <c r="W251" t="s">
        <v>5157</v>
      </c>
      <c r="X251" t="s">
        <v>4274</v>
      </c>
      <c r="Y251" t="s">
        <v>5158</v>
      </c>
      <c r="Z251" t="s">
        <v>5159</v>
      </c>
      <c r="AA251" t="s">
        <v>74</v>
      </c>
      <c r="AB251" t="s">
        <v>74</v>
      </c>
      <c r="AC251" t="s">
        <v>5160</v>
      </c>
      <c r="AD251" t="s">
        <v>5161</v>
      </c>
      <c r="AE251" t="s">
        <v>5162</v>
      </c>
      <c r="AF251" t="s">
        <v>74</v>
      </c>
      <c r="AG251">
        <v>168</v>
      </c>
      <c r="AH251">
        <v>13</v>
      </c>
      <c r="AI251">
        <v>13</v>
      </c>
      <c r="AJ251">
        <v>2</v>
      </c>
      <c r="AK251">
        <v>16</v>
      </c>
      <c r="AL251" t="s">
        <v>289</v>
      </c>
      <c r="AM251" t="s">
        <v>290</v>
      </c>
      <c r="AN251" t="s">
        <v>291</v>
      </c>
      <c r="AO251" t="s">
        <v>4016</v>
      </c>
      <c r="AP251" t="s">
        <v>4017</v>
      </c>
      <c r="AQ251" t="s">
        <v>74</v>
      </c>
      <c r="AR251" t="s">
        <v>4018</v>
      </c>
      <c r="AS251" t="s">
        <v>4019</v>
      </c>
      <c r="AT251" t="s">
        <v>2912</v>
      </c>
      <c r="AU251">
        <v>2020</v>
      </c>
      <c r="AV251">
        <v>202</v>
      </c>
      <c r="AW251" t="s">
        <v>74</v>
      </c>
      <c r="AX251" t="s">
        <v>74</v>
      </c>
      <c r="AY251" t="s">
        <v>74</v>
      </c>
      <c r="AZ251" t="s">
        <v>74</v>
      </c>
      <c r="BA251" t="s">
        <v>74</v>
      </c>
      <c r="BB251" t="s">
        <v>74</v>
      </c>
      <c r="BC251" t="s">
        <v>74</v>
      </c>
      <c r="BD251">
        <v>103090</v>
      </c>
      <c r="BE251" t="s">
        <v>5163</v>
      </c>
      <c r="BF251" t="str">
        <f>HYPERLINK("http://dx.doi.org/10.1016/j.earscirev.2020.103090","http://dx.doi.org/10.1016/j.earscirev.2020.103090")</f>
        <v>http://dx.doi.org/10.1016/j.earscirev.2020.103090</v>
      </c>
      <c r="BG251" t="s">
        <v>74</v>
      </c>
      <c r="BH251" t="s">
        <v>74</v>
      </c>
      <c r="BI251">
        <v>10</v>
      </c>
      <c r="BJ251" t="s">
        <v>246</v>
      </c>
      <c r="BK251" t="s">
        <v>103</v>
      </c>
      <c r="BL251" t="s">
        <v>247</v>
      </c>
      <c r="BM251" t="s">
        <v>4021</v>
      </c>
      <c r="BN251" t="s">
        <v>74</v>
      </c>
      <c r="BO251" t="s">
        <v>1385</v>
      </c>
      <c r="BP251" t="s">
        <v>74</v>
      </c>
      <c r="BQ251" t="s">
        <v>74</v>
      </c>
      <c r="BR251" t="s">
        <v>106</v>
      </c>
      <c r="BS251" t="s">
        <v>5164</v>
      </c>
      <c r="BT251" t="str">
        <f>HYPERLINK("https%3A%2F%2Fwww.webofscience.com%2Fwos%2Fwoscc%2Ffull-record%2FWOS:000526786000010","View Full Record in Web of Science")</f>
        <v>View Full Record in Web of Science</v>
      </c>
    </row>
    <row r="252" spans="1:72" x14ac:dyDescent="0.15">
      <c r="A252" t="s">
        <v>72</v>
      </c>
      <c r="B252" t="s">
        <v>5165</v>
      </c>
      <c r="C252" t="s">
        <v>74</v>
      </c>
      <c r="D252" t="s">
        <v>74</v>
      </c>
      <c r="E252" t="s">
        <v>74</v>
      </c>
      <c r="F252" t="s">
        <v>5166</v>
      </c>
      <c r="G252" t="s">
        <v>74</v>
      </c>
      <c r="H252" t="s">
        <v>74</v>
      </c>
      <c r="I252" t="s">
        <v>5167</v>
      </c>
      <c r="J252" t="s">
        <v>5168</v>
      </c>
      <c r="K252" t="s">
        <v>74</v>
      </c>
      <c r="L252" t="s">
        <v>74</v>
      </c>
      <c r="M252" t="s">
        <v>78</v>
      </c>
      <c r="N252" t="s">
        <v>79</v>
      </c>
      <c r="O252" t="s">
        <v>74</v>
      </c>
      <c r="P252" t="s">
        <v>74</v>
      </c>
      <c r="Q252" t="s">
        <v>74</v>
      </c>
      <c r="R252" t="s">
        <v>74</v>
      </c>
      <c r="S252" t="s">
        <v>74</v>
      </c>
      <c r="T252" t="s">
        <v>5169</v>
      </c>
      <c r="U252" t="s">
        <v>5170</v>
      </c>
      <c r="V252" t="s">
        <v>5171</v>
      </c>
      <c r="W252" t="s">
        <v>5172</v>
      </c>
      <c r="X252" t="s">
        <v>5173</v>
      </c>
      <c r="Y252" t="s">
        <v>5174</v>
      </c>
      <c r="Z252" t="s">
        <v>2781</v>
      </c>
      <c r="AA252" t="s">
        <v>5175</v>
      </c>
      <c r="AB252" t="s">
        <v>5176</v>
      </c>
      <c r="AC252" t="s">
        <v>5177</v>
      </c>
      <c r="AD252" t="s">
        <v>5177</v>
      </c>
      <c r="AE252" t="s">
        <v>5178</v>
      </c>
      <c r="AF252" t="s">
        <v>74</v>
      </c>
      <c r="AG252">
        <v>55</v>
      </c>
      <c r="AH252">
        <v>61</v>
      </c>
      <c r="AI252">
        <v>62</v>
      </c>
      <c r="AJ252">
        <v>2</v>
      </c>
      <c r="AK252">
        <v>52</v>
      </c>
      <c r="AL252" t="s">
        <v>4959</v>
      </c>
      <c r="AM252" t="s">
        <v>435</v>
      </c>
      <c r="AN252" t="s">
        <v>4960</v>
      </c>
      <c r="AO252" t="s">
        <v>5179</v>
      </c>
      <c r="AP252" t="s">
        <v>5180</v>
      </c>
      <c r="AQ252" t="s">
        <v>74</v>
      </c>
      <c r="AR252" t="s">
        <v>5181</v>
      </c>
      <c r="AS252" t="s">
        <v>5182</v>
      </c>
      <c r="AT252" t="s">
        <v>2912</v>
      </c>
      <c r="AU252">
        <v>2020</v>
      </c>
      <c r="AV252">
        <v>258</v>
      </c>
      <c r="AW252" t="s">
        <v>74</v>
      </c>
      <c r="AX252" t="s">
        <v>74</v>
      </c>
      <c r="AY252" t="s">
        <v>74</v>
      </c>
      <c r="AZ252" t="s">
        <v>74</v>
      </c>
      <c r="BA252" t="s">
        <v>74</v>
      </c>
      <c r="BB252" t="s">
        <v>74</v>
      </c>
      <c r="BC252" t="s">
        <v>74</v>
      </c>
      <c r="BD252">
        <v>113413</v>
      </c>
      <c r="BE252" t="s">
        <v>5183</v>
      </c>
      <c r="BF252" t="str">
        <f>HYPERLINK("http://dx.doi.org/10.1016/j.envpol.2019.113413","http://dx.doi.org/10.1016/j.envpol.2019.113413")</f>
        <v>http://dx.doi.org/10.1016/j.envpol.2019.113413</v>
      </c>
      <c r="BG252" t="s">
        <v>74</v>
      </c>
      <c r="BH252" t="s">
        <v>74</v>
      </c>
      <c r="BI252">
        <v>6</v>
      </c>
      <c r="BJ252" t="s">
        <v>1196</v>
      </c>
      <c r="BK252" t="s">
        <v>103</v>
      </c>
      <c r="BL252" t="s">
        <v>219</v>
      </c>
      <c r="BM252" t="s">
        <v>5184</v>
      </c>
      <c r="BN252">
        <v>31862120</v>
      </c>
      <c r="BO252" t="s">
        <v>74</v>
      </c>
      <c r="BP252" t="s">
        <v>74</v>
      </c>
      <c r="BQ252" t="s">
        <v>74</v>
      </c>
      <c r="BR252" t="s">
        <v>106</v>
      </c>
      <c r="BS252" t="s">
        <v>5185</v>
      </c>
      <c r="BT252" t="str">
        <f>HYPERLINK("https%3A%2F%2Fwww.webofscience.com%2Fwos%2Fwoscc%2Ffull-record%2FWOS:000519655100081","View Full Record in Web of Science")</f>
        <v>View Full Record in Web of Science</v>
      </c>
    </row>
    <row r="253" spans="1:72" x14ac:dyDescent="0.15">
      <c r="A253" t="s">
        <v>72</v>
      </c>
      <c r="B253" t="s">
        <v>5186</v>
      </c>
      <c r="C253" t="s">
        <v>74</v>
      </c>
      <c r="D253" t="s">
        <v>74</v>
      </c>
      <c r="E253" t="s">
        <v>74</v>
      </c>
      <c r="F253" t="s">
        <v>5187</v>
      </c>
      <c r="G253" t="s">
        <v>74</v>
      </c>
      <c r="H253" t="s">
        <v>74</v>
      </c>
      <c r="I253" t="s">
        <v>5188</v>
      </c>
      <c r="J253" t="s">
        <v>3956</v>
      </c>
      <c r="K253" t="s">
        <v>74</v>
      </c>
      <c r="L253" t="s">
        <v>74</v>
      </c>
      <c r="M253" t="s">
        <v>78</v>
      </c>
      <c r="N253" t="s">
        <v>79</v>
      </c>
      <c r="O253" t="s">
        <v>74</v>
      </c>
      <c r="P253" t="s">
        <v>74</v>
      </c>
      <c r="Q253" t="s">
        <v>74</v>
      </c>
      <c r="R253" t="s">
        <v>74</v>
      </c>
      <c r="S253" t="s">
        <v>74</v>
      </c>
      <c r="T253" t="s">
        <v>5189</v>
      </c>
      <c r="U253" t="s">
        <v>5190</v>
      </c>
      <c r="V253" t="s">
        <v>5191</v>
      </c>
      <c r="W253" t="s">
        <v>5192</v>
      </c>
      <c r="X253" t="s">
        <v>5193</v>
      </c>
      <c r="Y253" t="s">
        <v>5194</v>
      </c>
      <c r="Z253" t="s">
        <v>5195</v>
      </c>
      <c r="AA253" t="s">
        <v>5196</v>
      </c>
      <c r="AB253" t="s">
        <v>5197</v>
      </c>
      <c r="AC253" t="s">
        <v>5198</v>
      </c>
      <c r="AD253" t="s">
        <v>5199</v>
      </c>
      <c r="AE253" t="s">
        <v>5200</v>
      </c>
      <c r="AF253" t="s">
        <v>74</v>
      </c>
      <c r="AG253">
        <v>64</v>
      </c>
      <c r="AH253">
        <v>23</v>
      </c>
      <c r="AI253">
        <v>23</v>
      </c>
      <c r="AJ253">
        <v>0</v>
      </c>
      <c r="AK253">
        <v>5</v>
      </c>
      <c r="AL253" t="s">
        <v>3817</v>
      </c>
      <c r="AM253" t="s">
        <v>3818</v>
      </c>
      <c r="AN253" t="s">
        <v>3819</v>
      </c>
      <c r="AO253" t="s">
        <v>74</v>
      </c>
      <c r="AP253" t="s">
        <v>3969</v>
      </c>
      <c r="AQ253" t="s">
        <v>74</v>
      </c>
      <c r="AR253" t="s">
        <v>3956</v>
      </c>
      <c r="AS253" t="s">
        <v>3970</v>
      </c>
      <c r="AT253" t="s">
        <v>2912</v>
      </c>
      <c r="AU253">
        <v>2020</v>
      </c>
      <c r="AV253">
        <v>11</v>
      </c>
      <c r="AW253">
        <v>3</v>
      </c>
      <c r="AX253" t="s">
        <v>74</v>
      </c>
      <c r="AY253" t="s">
        <v>74</v>
      </c>
      <c r="AZ253" t="s">
        <v>74</v>
      </c>
      <c r="BA253" t="s">
        <v>74</v>
      </c>
      <c r="BB253" t="s">
        <v>74</v>
      </c>
      <c r="BC253" t="s">
        <v>74</v>
      </c>
      <c r="BD253">
        <v>141</v>
      </c>
      <c r="BE253" t="s">
        <v>5201</v>
      </c>
      <c r="BF253" t="str">
        <f>HYPERLINK("http://dx.doi.org/10.3390/insects11030141","http://dx.doi.org/10.3390/insects11030141")</f>
        <v>http://dx.doi.org/10.3390/insects11030141</v>
      </c>
      <c r="BG253" t="s">
        <v>74</v>
      </c>
      <c r="BH253" t="s">
        <v>74</v>
      </c>
      <c r="BI253">
        <v>28</v>
      </c>
      <c r="BJ253" t="s">
        <v>3972</v>
      </c>
      <c r="BK253" t="s">
        <v>103</v>
      </c>
      <c r="BL253" t="s">
        <v>3972</v>
      </c>
      <c r="BM253" t="s">
        <v>3973</v>
      </c>
      <c r="BN253">
        <v>32106429</v>
      </c>
      <c r="BO253" t="s">
        <v>5202</v>
      </c>
      <c r="BP253" t="s">
        <v>74</v>
      </c>
      <c r="BQ253" t="s">
        <v>74</v>
      </c>
      <c r="BR253" t="s">
        <v>106</v>
      </c>
      <c r="BS253" t="s">
        <v>5203</v>
      </c>
      <c r="BT253" t="str">
        <f>HYPERLINK("https%3A%2F%2Fwww.webofscience.com%2Fwos%2Fwoscc%2Ffull-record%2FWOS:000528056000027","View Full Record in Web of Science")</f>
        <v>View Full Record in Web of Science</v>
      </c>
    </row>
    <row r="254" spans="1:72" x14ac:dyDescent="0.15">
      <c r="A254" t="s">
        <v>72</v>
      </c>
      <c r="B254" t="s">
        <v>5204</v>
      </c>
      <c r="C254" t="s">
        <v>74</v>
      </c>
      <c r="D254" t="s">
        <v>74</v>
      </c>
      <c r="E254" t="s">
        <v>74</v>
      </c>
      <c r="F254" t="s">
        <v>5205</v>
      </c>
      <c r="G254" t="s">
        <v>74</v>
      </c>
      <c r="H254" t="s">
        <v>74</v>
      </c>
      <c r="I254" t="s">
        <v>5206</v>
      </c>
      <c r="J254" t="s">
        <v>3497</v>
      </c>
      <c r="K254" t="s">
        <v>74</v>
      </c>
      <c r="L254" t="s">
        <v>74</v>
      </c>
      <c r="M254" t="s">
        <v>78</v>
      </c>
      <c r="N254" t="s">
        <v>79</v>
      </c>
      <c r="O254" t="s">
        <v>74</v>
      </c>
      <c r="P254" t="s">
        <v>74</v>
      </c>
      <c r="Q254" t="s">
        <v>74</v>
      </c>
      <c r="R254" t="s">
        <v>74</v>
      </c>
      <c r="S254" t="s">
        <v>74</v>
      </c>
      <c r="T254" t="s">
        <v>5207</v>
      </c>
      <c r="U254" t="s">
        <v>5208</v>
      </c>
      <c r="V254" t="s">
        <v>5209</v>
      </c>
      <c r="W254" t="s">
        <v>5210</v>
      </c>
      <c r="X254" t="s">
        <v>5211</v>
      </c>
      <c r="Y254" t="s">
        <v>5212</v>
      </c>
      <c r="Z254" t="s">
        <v>5213</v>
      </c>
      <c r="AA254" t="s">
        <v>5214</v>
      </c>
      <c r="AB254" t="s">
        <v>5215</v>
      </c>
      <c r="AC254" t="s">
        <v>5216</v>
      </c>
      <c r="AD254" t="s">
        <v>5217</v>
      </c>
      <c r="AE254" t="s">
        <v>5218</v>
      </c>
      <c r="AF254" t="s">
        <v>74</v>
      </c>
      <c r="AG254">
        <v>85</v>
      </c>
      <c r="AH254">
        <v>34</v>
      </c>
      <c r="AI254">
        <v>34</v>
      </c>
      <c r="AJ254">
        <v>0</v>
      </c>
      <c r="AK254">
        <v>13</v>
      </c>
      <c r="AL254" t="s">
        <v>855</v>
      </c>
      <c r="AM254" t="s">
        <v>266</v>
      </c>
      <c r="AN254" t="s">
        <v>856</v>
      </c>
      <c r="AO254" t="s">
        <v>3510</v>
      </c>
      <c r="AP254" t="s">
        <v>3511</v>
      </c>
      <c r="AQ254" t="s">
        <v>74</v>
      </c>
      <c r="AR254" t="s">
        <v>3512</v>
      </c>
      <c r="AS254" t="s">
        <v>3513</v>
      </c>
      <c r="AT254" t="s">
        <v>2912</v>
      </c>
      <c r="AU254">
        <v>2020</v>
      </c>
      <c r="AV254">
        <v>125</v>
      </c>
      <c r="AW254">
        <v>3</v>
      </c>
      <c r="AX254" t="s">
        <v>74</v>
      </c>
      <c r="AY254" t="s">
        <v>74</v>
      </c>
      <c r="AZ254" t="s">
        <v>74</v>
      </c>
      <c r="BA254" t="s">
        <v>74</v>
      </c>
      <c r="BB254" t="s">
        <v>74</v>
      </c>
      <c r="BC254" t="s">
        <v>74</v>
      </c>
      <c r="BD254" t="s">
        <v>5219</v>
      </c>
      <c r="BE254" t="s">
        <v>5220</v>
      </c>
      <c r="BF254" t="str">
        <f>HYPERLINK("http://dx.doi.org/10.1029/2019JC015418","http://dx.doi.org/10.1029/2019JC015418")</f>
        <v>http://dx.doi.org/10.1029/2019JC015418</v>
      </c>
      <c r="BG254" t="s">
        <v>74</v>
      </c>
      <c r="BH254" t="s">
        <v>74</v>
      </c>
      <c r="BI254">
        <v>16</v>
      </c>
      <c r="BJ254" t="s">
        <v>639</v>
      </c>
      <c r="BK254" t="s">
        <v>103</v>
      </c>
      <c r="BL254" t="s">
        <v>639</v>
      </c>
      <c r="BM254" t="s">
        <v>3516</v>
      </c>
      <c r="BN254" t="s">
        <v>74</v>
      </c>
      <c r="BO254" t="s">
        <v>5221</v>
      </c>
      <c r="BP254" t="s">
        <v>74</v>
      </c>
      <c r="BQ254" t="s">
        <v>74</v>
      </c>
      <c r="BR254" t="s">
        <v>106</v>
      </c>
      <c r="BS254" t="s">
        <v>5222</v>
      </c>
      <c r="BT254" t="str">
        <f>HYPERLINK("https%3A%2F%2Fwww.webofscience.com%2Fwos%2Fwoscc%2Ffull-record%2FWOS:000534229400019","View Full Record in Web of Science")</f>
        <v>View Full Record in Web of Science</v>
      </c>
    </row>
    <row r="255" spans="1:72" x14ac:dyDescent="0.15">
      <c r="A255" t="s">
        <v>72</v>
      </c>
      <c r="B255" t="s">
        <v>5223</v>
      </c>
      <c r="C255" t="s">
        <v>74</v>
      </c>
      <c r="D255" t="s">
        <v>74</v>
      </c>
      <c r="E255" t="s">
        <v>74</v>
      </c>
      <c r="F255" t="s">
        <v>5224</v>
      </c>
      <c r="G255" t="s">
        <v>74</v>
      </c>
      <c r="H255" t="s">
        <v>74</v>
      </c>
      <c r="I255" t="s">
        <v>5225</v>
      </c>
      <c r="J255" t="s">
        <v>4512</v>
      </c>
      <c r="K255" t="s">
        <v>74</v>
      </c>
      <c r="L255" t="s">
        <v>74</v>
      </c>
      <c r="M255" t="s">
        <v>78</v>
      </c>
      <c r="N255" t="s">
        <v>79</v>
      </c>
      <c r="O255" t="s">
        <v>74</v>
      </c>
      <c r="P255" t="s">
        <v>74</v>
      </c>
      <c r="Q255" t="s">
        <v>74</v>
      </c>
      <c r="R255" t="s">
        <v>74</v>
      </c>
      <c r="S255" t="s">
        <v>74</v>
      </c>
      <c r="T255" t="s">
        <v>5226</v>
      </c>
      <c r="U255" t="s">
        <v>5227</v>
      </c>
      <c r="V255" t="s">
        <v>5228</v>
      </c>
      <c r="W255" t="s">
        <v>5229</v>
      </c>
      <c r="X255" t="s">
        <v>5230</v>
      </c>
      <c r="Y255" t="s">
        <v>5231</v>
      </c>
      <c r="Z255" t="s">
        <v>5232</v>
      </c>
      <c r="AA255" t="s">
        <v>5233</v>
      </c>
      <c r="AB255" t="s">
        <v>5234</v>
      </c>
      <c r="AC255" t="s">
        <v>5235</v>
      </c>
      <c r="AD255" t="s">
        <v>5236</v>
      </c>
      <c r="AE255" t="s">
        <v>5237</v>
      </c>
      <c r="AF255" t="s">
        <v>74</v>
      </c>
      <c r="AG255">
        <v>77</v>
      </c>
      <c r="AH255">
        <v>5</v>
      </c>
      <c r="AI255">
        <v>5</v>
      </c>
      <c r="AJ255">
        <v>1</v>
      </c>
      <c r="AK255">
        <v>7</v>
      </c>
      <c r="AL255" t="s">
        <v>4084</v>
      </c>
      <c r="AM255" t="s">
        <v>4085</v>
      </c>
      <c r="AN255" t="s">
        <v>4086</v>
      </c>
      <c r="AO255" t="s">
        <v>4525</v>
      </c>
      <c r="AP255" t="s">
        <v>4526</v>
      </c>
      <c r="AQ255" t="s">
        <v>74</v>
      </c>
      <c r="AR255" t="s">
        <v>4527</v>
      </c>
      <c r="AS255" t="s">
        <v>4528</v>
      </c>
      <c r="AT255" t="s">
        <v>2912</v>
      </c>
      <c r="AU255">
        <v>2020</v>
      </c>
      <c r="AV255">
        <v>50</v>
      </c>
      <c r="AW255">
        <v>3</v>
      </c>
      <c r="AX255" t="s">
        <v>74</v>
      </c>
      <c r="AY255" t="s">
        <v>74</v>
      </c>
      <c r="AZ255" t="s">
        <v>74</v>
      </c>
      <c r="BA255" t="s">
        <v>74</v>
      </c>
      <c r="BB255">
        <v>773</v>
      </c>
      <c r="BC255">
        <v>790</v>
      </c>
      <c r="BD255" t="s">
        <v>74</v>
      </c>
      <c r="BE255" t="s">
        <v>5238</v>
      </c>
      <c r="BF255" t="str">
        <f>HYPERLINK("http://dx.doi.org/10.1175/JPO-D-19-0155.1","http://dx.doi.org/10.1175/JPO-D-19-0155.1")</f>
        <v>http://dx.doi.org/10.1175/JPO-D-19-0155.1</v>
      </c>
      <c r="BG255" t="s">
        <v>74</v>
      </c>
      <c r="BH255" t="s">
        <v>74</v>
      </c>
      <c r="BI255">
        <v>18</v>
      </c>
      <c r="BJ255" t="s">
        <v>639</v>
      </c>
      <c r="BK255" t="s">
        <v>103</v>
      </c>
      <c r="BL255" t="s">
        <v>639</v>
      </c>
      <c r="BM255" t="s">
        <v>4530</v>
      </c>
      <c r="BN255" t="s">
        <v>74</v>
      </c>
      <c r="BO255" t="s">
        <v>5239</v>
      </c>
      <c r="BP255" t="s">
        <v>74</v>
      </c>
      <c r="BQ255" t="s">
        <v>74</v>
      </c>
      <c r="BR255" t="s">
        <v>106</v>
      </c>
      <c r="BS255" t="s">
        <v>5240</v>
      </c>
      <c r="BT255" t="str">
        <f>HYPERLINK("https%3A%2F%2Fwww.webofscience.com%2Fwos%2Fwoscc%2Ffull-record%2FWOS:000522399300007","View Full Record in Web of Science")</f>
        <v>View Full Record in Web of Science</v>
      </c>
    </row>
    <row r="256" spans="1:72" x14ac:dyDescent="0.15">
      <c r="A256" t="s">
        <v>72</v>
      </c>
      <c r="B256" t="s">
        <v>5241</v>
      </c>
      <c r="C256" t="s">
        <v>74</v>
      </c>
      <c r="D256" t="s">
        <v>74</v>
      </c>
      <c r="E256" t="s">
        <v>74</v>
      </c>
      <c r="F256" t="s">
        <v>5242</v>
      </c>
      <c r="G256" t="s">
        <v>74</v>
      </c>
      <c r="H256" t="s">
        <v>74</v>
      </c>
      <c r="I256" t="s">
        <v>5243</v>
      </c>
      <c r="J256" t="s">
        <v>5244</v>
      </c>
      <c r="K256" t="s">
        <v>74</v>
      </c>
      <c r="L256" t="s">
        <v>74</v>
      </c>
      <c r="M256" t="s">
        <v>78</v>
      </c>
      <c r="N256" t="s">
        <v>79</v>
      </c>
      <c r="O256" t="s">
        <v>74</v>
      </c>
      <c r="P256" t="s">
        <v>74</v>
      </c>
      <c r="Q256" t="s">
        <v>74</v>
      </c>
      <c r="R256" t="s">
        <v>74</v>
      </c>
      <c r="S256" t="s">
        <v>74</v>
      </c>
      <c r="T256" t="s">
        <v>5245</v>
      </c>
      <c r="U256" t="s">
        <v>5246</v>
      </c>
      <c r="V256" t="s">
        <v>5247</v>
      </c>
      <c r="W256" t="s">
        <v>5248</v>
      </c>
      <c r="X256" t="s">
        <v>5249</v>
      </c>
      <c r="Y256" t="s">
        <v>5250</v>
      </c>
      <c r="Z256" t="s">
        <v>5251</v>
      </c>
      <c r="AA256" t="s">
        <v>5252</v>
      </c>
      <c r="AB256" t="s">
        <v>74</v>
      </c>
      <c r="AC256" t="s">
        <v>74</v>
      </c>
      <c r="AD256" t="s">
        <v>74</v>
      </c>
      <c r="AE256" t="s">
        <v>74</v>
      </c>
      <c r="AF256" t="s">
        <v>74</v>
      </c>
      <c r="AG256">
        <v>178</v>
      </c>
      <c r="AH256">
        <v>8</v>
      </c>
      <c r="AI256">
        <v>8</v>
      </c>
      <c r="AJ256">
        <v>2</v>
      </c>
      <c r="AK256">
        <v>14</v>
      </c>
      <c r="AL256" t="s">
        <v>434</v>
      </c>
      <c r="AM256" t="s">
        <v>435</v>
      </c>
      <c r="AN256" t="s">
        <v>436</v>
      </c>
      <c r="AO256" t="s">
        <v>5253</v>
      </c>
      <c r="AP256" t="s">
        <v>5254</v>
      </c>
      <c r="AQ256" t="s">
        <v>74</v>
      </c>
      <c r="AR256" t="s">
        <v>5255</v>
      </c>
      <c r="AS256" t="s">
        <v>5256</v>
      </c>
      <c r="AT256" t="s">
        <v>2912</v>
      </c>
      <c r="AU256">
        <v>2020</v>
      </c>
      <c r="AV256">
        <v>98</v>
      </c>
      <c r="AW256" t="s">
        <v>74</v>
      </c>
      <c r="AX256" t="s">
        <v>74</v>
      </c>
      <c r="AY256" t="s">
        <v>74</v>
      </c>
      <c r="AZ256" t="s">
        <v>74</v>
      </c>
      <c r="BA256" t="s">
        <v>74</v>
      </c>
      <c r="BB256" t="s">
        <v>74</v>
      </c>
      <c r="BC256" t="s">
        <v>74</v>
      </c>
      <c r="BD256">
        <v>102385</v>
      </c>
      <c r="BE256" t="s">
        <v>5257</v>
      </c>
      <c r="BF256" t="str">
        <f>HYPERLINK("http://dx.doi.org/10.1016/j.jsames.2019.102385","http://dx.doi.org/10.1016/j.jsames.2019.102385")</f>
        <v>http://dx.doi.org/10.1016/j.jsames.2019.102385</v>
      </c>
      <c r="BG256" t="s">
        <v>74</v>
      </c>
      <c r="BH256" t="s">
        <v>74</v>
      </c>
      <c r="BI256">
        <v>36</v>
      </c>
      <c r="BJ256" t="s">
        <v>246</v>
      </c>
      <c r="BK256" t="s">
        <v>103</v>
      </c>
      <c r="BL256" t="s">
        <v>247</v>
      </c>
      <c r="BM256" t="s">
        <v>5258</v>
      </c>
      <c r="BN256" t="s">
        <v>74</v>
      </c>
      <c r="BO256" t="s">
        <v>74</v>
      </c>
      <c r="BP256" t="s">
        <v>74</v>
      </c>
      <c r="BQ256" t="s">
        <v>74</v>
      </c>
      <c r="BR256" t="s">
        <v>106</v>
      </c>
      <c r="BS256" t="s">
        <v>5259</v>
      </c>
      <c r="BT256" t="str">
        <f>HYPERLINK("https%3A%2F%2Fwww.webofscience.com%2Fwos%2Fwoscc%2Ffull-record%2FWOS:000517664800042","View Full Record in Web of Science")</f>
        <v>View Full Record in Web of Science</v>
      </c>
    </row>
    <row r="257" spans="1:72" x14ac:dyDescent="0.15">
      <c r="A257" t="s">
        <v>72</v>
      </c>
      <c r="B257" t="s">
        <v>5260</v>
      </c>
      <c r="C257" t="s">
        <v>74</v>
      </c>
      <c r="D257" t="s">
        <v>74</v>
      </c>
      <c r="E257" t="s">
        <v>74</v>
      </c>
      <c r="F257" t="s">
        <v>5261</v>
      </c>
      <c r="G257" t="s">
        <v>74</v>
      </c>
      <c r="H257" t="s">
        <v>74</v>
      </c>
      <c r="I257" t="s">
        <v>5262</v>
      </c>
      <c r="J257" t="s">
        <v>1364</v>
      </c>
      <c r="K257" t="s">
        <v>74</v>
      </c>
      <c r="L257" t="s">
        <v>74</v>
      </c>
      <c r="M257" t="s">
        <v>78</v>
      </c>
      <c r="N257" t="s">
        <v>79</v>
      </c>
      <c r="O257" t="s">
        <v>74</v>
      </c>
      <c r="P257" t="s">
        <v>74</v>
      </c>
      <c r="Q257" t="s">
        <v>74</v>
      </c>
      <c r="R257" t="s">
        <v>74</v>
      </c>
      <c r="S257" t="s">
        <v>74</v>
      </c>
      <c r="T257" t="s">
        <v>74</v>
      </c>
      <c r="U257" t="s">
        <v>5263</v>
      </c>
      <c r="V257" t="s">
        <v>5264</v>
      </c>
      <c r="W257" t="s">
        <v>5265</v>
      </c>
      <c r="X257" t="s">
        <v>5266</v>
      </c>
      <c r="Y257" t="s">
        <v>5267</v>
      </c>
      <c r="Z257" t="s">
        <v>5268</v>
      </c>
      <c r="AA257" t="s">
        <v>5269</v>
      </c>
      <c r="AB257" t="s">
        <v>5270</v>
      </c>
      <c r="AC257" t="s">
        <v>74</v>
      </c>
      <c r="AD257" t="s">
        <v>74</v>
      </c>
      <c r="AE257" t="s">
        <v>74</v>
      </c>
      <c r="AF257" t="s">
        <v>74</v>
      </c>
      <c r="AG257">
        <v>68</v>
      </c>
      <c r="AH257">
        <v>14</v>
      </c>
      <c r="AI257">
        <v>21</v>
      </c>
      <c r="AJ257">
        <v>2</v>
      </c>
      <c r="AK257">
        <v>10</v>
      </c>
      <c r="AL257" t="s">
        <v>211</v>
      </c>
      <c r="AM257" t="s">
        <v>212</v>
      </c>
      <c r="AN257" t="s">
        <v>213</v>
      </c>
      <c r="AO257" t="s">
        <v>1376</v>
      </c>
      <c r="AP257" t="s">
        <v>1377</v>
      </c>
      <c r="AQ257" t="s">
        <v>74</v>
      </c>
      <c r="AR257" t="s">
        <v>1378</v>
      </c>
      <c r="AS257" t="s">
        <v>1379</v>
      </c>
      <c r="AT257" t="s">
        <v>2912</v>
      </c>
      <c r="AU257">
        <v>2020</v>
      </c>
      <c r="AV257">
        <v>65</v>
      </c>
      <c r="AW257">
        <v>3</v>
      </c>
      <c r="AX257" t="s">
        <v>74</v>
      </c>
      <c r="AY257" t="s">
        <v>74</v>
      </c>
      <c r="AZ257" t="s">
        <v>74</v>
      </c>
      <c r="BA257" t="s">
        <v>74</v>
      </c>
      <c r="BB257">
        <v>455</v>
      </c>
      <c r="BC257">
        <v>470</v>
      </c>
      <c r="BD257" t="s">
        <v>74</v>
      </c>
      <c r="BE257" t="s">
        <v>5271</v>
      </c>
      <c r="BF257" t="str">
        <f>HYPERLINK("http://dx.doi.org/10.1002/lno.11313","http://dx.doi.org/10.1002/lno.11313")</f>
        <v>http://dx.doi.org/10.1002/lno.11313</v>
      </c>
      <c r="BG257" t="s">
        <v>74</v>
      </c>
      <c r="BH257" t="s">
        <v>74</v>
      </c>
      <c r="BI257">
        <v>16</v>
      </c>
      <c r="BJ257" t="s">
        <v>1382</v>
      </c>
      <c r="BK257" t="s">
        <v>103</v>
      </c>
      <c r="BL257" t="s">
        <v>1383</v>
      </c>
      <c r="BM257" t="s">
        <v>5272</v>
      </c>
      <c r="BN257" t="s">
        <v>74</v>
      </c>
      <c r="BO257" t="s">
        <v>175</v>
      </c>
      <c r="BP257" t="s">
        <v>74</v>
      </c>
      <c r="BQ257" t="s">
        <v>74</v>
      </c>
      <c r="BR257" t="s">
        <v>106</v>
      </c>
      <c r="BS257" t="s">
        <v>5273</v>
      </c>
      <c r="BT257" t="str">
        <f>HYPERLINK("https%3A%2F%2Fwww.webofscience.com%2Fwos%2Fwoscc%2Ffull-record%2FWOS:000518043600001","View Full Record in Web of Science")</f>
        <v>View Full Record in Web of Science</v>
      </c>
    </row>
    <row r="258" spans="1:72" x14ac:dyDescent="0.15">
      <c r="A258" t="s">
        <v>72</v>
      </c>
      <c r="B258" t="s">
        <v>5274</v>
      </c>
      <c r="C258" t="s">
        <v>74</v>
      </c>
      <c r="D258" t="s">
        <v>74</v>
      </c>
      <c r="E258" t="s">
        <v>74</v>
      </c>
      <c r="F258" t="s">
        <v>5275</v>
      </c>
      <c r="G258" t="s">
        <v>74</v>
      </c>
      <c r="H258" t="s">
        <v>5276</v>
      </c>
      <c r="I258" t="s">
        <v>5277</v>
      </c>
      <c r="J258" t="s">
        <v>1850</v>
      </c>
      <c r="K258" t="s">
        <v>74</v>
      </c>
      <c r="L258" t="s">
        <v>74</v>
      </c>
      <c r="M258" t="s">
        <v>78</v>
      </c>
      <c r="N258" t="s">
        <v>79</v>
      </c>
      <c r="O258" t="s">
        <v>74</v>
      </c>
      <c r="P258" t="s">
        <v>74</v>
      </c>
      <c r="Q258" t="s">
        <v>74</v>
      </c>
      <c r="R258" t="s">
        <v>74</v>
      </c>
      <c r="S258" t="s">
        <v>74</v>
      </c>
      <c r="T258" t="s">
        <v>74</v>
      </c>
      <c r="U258" t="s">
        <v>5278</v>
      </c>
      <c r="V258" t="s">
        <v>5279</v>
      </c>
      <c r="W258" t="s">
        <v>5280</v>
      </c>
      <c r="X258" t="s">
        <v>5281</v>
      </c>
      <c r="Y258" t="s">
        <v>5282</v>
      </c>
      <c r="Z258" t="s">
        <v>5283</v>
      </c>
      <c r="AA258" t="s">
        <v>5284</v>
      </c>
      <c r="AB258" t="s">
        <v>5285</v>
      </c>
      <c r="AC258" t="s">
        <v>5286</v>
      </c>
      <c r="AD258" t="s">
        <v>5287</v>
      </c>
      <c r="AE258" t="s">
        <v>5288</v>
      </c>
      <c r="AF258" t="s">
        <v>74</v>
      </c>
      <c r="AG258">
        <v>119</v>
      </c>
      <c r="AH258">
        <v>399</v>
      </c>
      <c r="AI258">
        <v>437</v>
      </c>
      <c r="AJ258">
        <v>23</v>
      </c>
      <c r="AK258">
        <v>372</v>
      </c>
      <c r="AL258" t="s">
        <v>5289</v>
      </c>
      <c r="AM258" t="s">
        <v>952</v>
      </c>
      <c r="AN258" t="s">
        <v>953</v>
      </c>
      <c r="AO258" t="s">
        <v>1862</v>
      </c>
      <c r="AP258" t="s">
        <v>1863</v>
      </c>
      <c r="AQ258" t="s">
        <v>74</v>
      </c>
      <c r="AR258" t="s">
        <v>1850</v>
      </c>
      <c r="AS258" t="s">
        <v>1864</v>
      </c>
      <c r="AT258" t="s">
        <v>2912</v>
      </c>
      <c r="AU258">
        <v>2020</v>
      </c>
      <c r="AV258">
        <v>579</v>
      </c>
      <c r="AW258">
        <v>7798</v>
      </c>
      <c r="AX258" t="s">
        <v>74</v>
      </c>
      <c r="AY258" t="s">
        <v>74</v>
      </c>
      <c r="AZ258" t="s">
        <v>74</v>
      </c>
      <c r="BA258" t="s">
        <v>74</v>
      </c>
      <c r="BB258">
        <v>233</v>
      </c>
      <c r="BC258" t="s">
        <v>759</v>
      </c>
      <c r="BD258" t="s">
        <v>74</v>
      </c>
      <c r="BE258" t="s">
        <v>5290</v>
      </c>
      <c r="BF258" t="str">
        <f>HYPERLINK("http://dx.doi.org/10.1038/s41586-019-1855-2","http://dx.doi.org/10.1038/s41586-019-1855-2")</f>
        <v>http://dx.doi.org/10.1038/s41586-019-1855-2</v>
      </c>
      <c r="BG258" t="s">
        <v>74</v>
      </c>
      <c r="BH258" t="s">
        <v>74</v>
      </c>
      <c r="BI258">
        <v>21</v>
      </c>
      <c r="BJ258" t="s">
        <v>322</v>
      </c>
      <c r="BK258" t="s">
        <v>103</v>
      </c>
      <c r="BL258" t="s">
        <v>323</v>
      </c>
      <c r="BM258" t="s">
        <v>5291</v>
      </c>
      <c r="BN258">
        <v>31822019</v>
      </c>
      <c r="BO258" t="s">
        <v>5292</v>
      </c>
      <c r="BP258" t="s">
        <v>1869</v>
      </c>
      <c r="BQ258" t="s">
        <v>1870</v>
      </c>
      <c r="BR258" t="s">
        <v>106</v>
      </c>
      <c r="BS258" t="s">
        <v>5293</v>
      </c>
      <c r="BT258" t="str">
        <f>HYPERLINK("https%3A%2F%2Fwww.webofscience.com%2Fwos%2Fwoscc%2Ffull-record%2FWOS:000519378900023","View Full Record in Web of Science")</f>
        <v>View Full Record in Web of Science</v>
      </c>
    </row>
    <row r="259" spans="1:72" x14ac:dyDescent="0.15">
      <c r="A259" t="s">
        <v>72</v>
      </c>
      <c r="B259" t="s">
        <v>5294</v>
      </c>
      <c r="C259" t="s">
        <v>74</v>
      </c>
      <c r="D259" t="s">
        <v>74</v>
      </c>
      <c r="E259" t="s">
        <v>74</v>
      </c>
      <c r="F259" t="s">
        <v>5295</v>
      </c>
      <c r="G259" t="s">
        <v>74</v>
      </c>
      <c r="H259" t="s">
        <v>74</v>
      </c>
      <c r="I259" t="s">
        <v>5296</v>
      </c>
      <c r="J259" t="s">
        <v>1850</v>
      </c>
      <c r="K259" t="s">
        <v>74</v>
      </c>
      <c r="L259" t="s">
        <v>74</v>
      </c>
      <c r="M259" t="s">
        <v>78</v>
      </c>
      <c r="N259" t="s">
        <v>79</v>
      </c>
      <c r="O259" t="s">
        <v>74</v>
      </c>
      <c r="P259" t="s">
        <v>74</v>
      </c>
      <c r="Q259" t="s">
        <v>74</v>
      </c>
      <c r="R259" t="s">
        <v>74</v>
      </c>
      <c r="S259" t="s">
        <v>74</v>
      </c>
      <c r="T259" t="s">
        <v>74</v>
      </c>
      <c r="U259" t="s">
        <v>5297</v>
      </c>
      <c r="V259" t="s">
        <v>5298</v>
      </c>
      <c r="W259" t="s">
        <v>5299</v>
      </c>
      <c r="X259" t="s">
        <v>5300</v>
      </c>
      <c r="Y259" t="s">
        <v>5301</v>
      </c>
      <c r="Z259" t="s">
        <v>5302</v>
      </c>
      <c r="AA259" t="s">
        <v>5303</v>
      </c>
      <c r="AB259" t="s">
        <v>5304</v>
      </c>
      <c r="AC259" t="s">
        <v>74</v>
      </c>
      <c r="AD259" t="s">
        <v>74</v>
      </c>
      <c r="AE259" t="s">
        <v>74</v>
      </c>
      <c r="AF259" t="s">
        <v>74</v>
      </c>
      <c r="AG259">
        <v>45</v>
      </c>
      <c r="AH259">
        <v>104</v>
      </c>
      <c r="AI259">
        <v>109</v>
      </c>
      <c r="AJ259">
        <v>3</v>
      </c>
      <c r="AK259">
        <v>41</v>
      </c>
      <c r="AL259" t="s">
        <v>951</v>
      </c>
      <c r="AM259" t="s">
        <v>952</v>
      </c>
      <c r="AN259" t="s">
        <v>953</v>
      </c>
      <c r="AO259" t="s">
        <v>1862</v>
      </c>
      <c r="AP259" t="s">
        <v>1863</v>
      </c>
      <c r="AQ259" t="s">
        <v>74</v>
      </c>
      <c r="AR259" t="s">
        <v>1850</v>
      </c>
      <c r="AS259" t="s">
        <v>1864</v>
      </c>
      <c r="AT259" t="s">
        <v>2912</v>
      </c>
      <c r="AU259">
        <v>2020</v>
      </c>
      <c r="AV259">
        <v>579</v>
      </c>
      <c r="AW259">
        <v>7800</v>
      </c>
      <c r="AX259" t="s">
        <v>74</v>
      </c>
      <c r="AY259" t="s">
        <v>74</v>
      </c>
      <c r="AZ259" t="s">
        <v>74</v>
      </c>
      <c r="BA259" t="s">
        <v>74</v>
      </c>
      <c r="BB259">
        <v>544</v>
      </c>
      <c r="BC259">
        <v>548</v>
      </c>
      <c r="BD259" t="s">
        <v>74</v>
      </c>
      <c r="BE259" t="s">
        <v>5305</v>
      </c>
      <c r="BF259" t="str">
        <f>HYPERLINK("http://dx.doi.org/10.1038/s41586-020-2120-4","http://dx.doi.org/10.1038/s41586-020-2120-4")</f>
        <v>http://dx.doi.org/10.1038/s41586-020-2120-4</v>
      </c>
      <c r="BG259" t="s">
        <v>74</v>
      </c>
      <c r="BH259" t="s">
        <v>74</v>
      </c>
      <c r="BI259">
        <v>5</v>
      </c>
      <c r="BJ259" t="s">
        <v>322</v>
      </c>
      <c r="BK259" t="s">
        <v>103</v>
      </c>
      <c r="BL259" t="s">
        <v>323</v>
      </c>
      <c r="BM259" t="s">
        <v>5306</v>
      </c>
      <c r="BN259">
        <v>32214266</v>
      </c>
      <c r="BO259" t="s">
        <v>74</v>
      </c>
      <c r="BP259" t="s">
        <v>74</v>
      </c>
      <c r="BQ259" t="s">
        <v>74</v>
      </c>
      <c r="BR259" t="s">
        <v>106</v>
      </c>
      <c r="BS259" t="s">
        <v>5307</v>
      </c>
      <c r="BT259" t="str">
        <f>HYPERLINK("https%3A%2F%2Fwww.webofscience.com%2Fwos%2Fwoscc%2Ffull-record%2FWOS:000527257200002","View Full Record in Web of Science")</f>
        <v>View Full Record in Web of Science</v>
      </c>
    </row>
    <row r="260" spans="1:72" x14ac:dyDescent="0.15">
      <c r="A260" t="s">
        <v>72</v>
      </c>
      <c r="B260" t="s">
        <v>5308</v>
      </c>
      <c r="C260" t="s">
        <v>74</v>
      </c>
      <c r="D260" t="s">
        <v>74</v>
      </c>
      <c r="E260" t="s">
        <v>74</v>
      </c>
      <c r="F260" t="s">
        <v>5309</v>
      </c>
      <c r="G260" t="s">
        <v>74</v>
      </c>
      <c r="H260" t="s">
        <v>74</v>
      </c>
      <c r="I260" t="s">
        <v>5310</v>
      </c>
      <c r="J260" t="s">
        <v>4672</v>
      </c>
      <c r="K260" t="s">
        <v>74</v>
      </c>
      <c r="L260" t="s">
        <v>74</v>
      </c>
      <c r="M260" t="s">
        <v>78</v>
      </c>
      <c r="N260" t="s">
        <v>79</v>
      </c>
      <c r="O260" t="s">
        <v>74</v>
      </c>
      <c r="P260" t="s">
        <v>74</v>
      </c>
      <c r="Q260" t="s">
        <v>74</v>
      </c>
      <c r="R260" t="s">
        <v>74</v>
      </c>
      <c r="S260" t="s">
        <v>74</v>
      </c>
      <c r="T260" t="s">
        <v>5311</v>
      </c>
      <c r="U260" t="s">
        <v>5312</v>
      </c>
      <c r="V260" t="s">
        <v>5313</v>
      </c>
      <c r="W260" t="s">
        <v>5314</v>
      </c>
      <c r="X260" t="s">
        <v>5315</v>
      </c>
      <c r="Y260" t="s">
        <v>5316</v>
      </c>
      <c r="Z260" t="s">
        <v>5317</v>
      </c>
      <c r="AA260" t="s">
        <v>74</v>
      </c>
      <c r="AB260" t="s">
        <v>5318</v>
      </c>
      <c r="AC260" t="s">
        <v>5319</v>
      </c>
      <c r="AD260" t="s">
        <v>5320</v>
      </c>
      <c r="AE260" t="s">
        <v>5321</v>
      </c>
      <c r="AF260" t="s">
        <v>74</v>
      </c>
      <c r="AG260">
        <v>53</v>
      </c>
      <c r="AH260">
        <v>10</v>
      </c>
      <c r="AI260">
        <v>12</v>
      </c>
      <c r="AJ260">
        <v>3</v>
      </c>
      <c r="AK260">
        <v>30</v>
      </c>
      <c r="AL260" t="s">
        <v>289</v>
      </c>
      <c r="AM260" t="s">
        <v>290</v>
      </c>
      <c r="AN260" t="s">
        <v>291</v>
      </c>
      <c r="AO260" t="s">
        <v>4684</v>
      </c>
      <c r="AP260" t="s">
        <v>4685</v>
      </c>
      <c r="AQ260" t="s">
        <v>74</v>
      </c>
      <c r="AR260" t="s">
        <v>4686</v>
      </c>
      <c r="AS260" t="s">
        <v>4687</v>
      </c>
      <c r="AT260" t="s">
        <v>2912</v>
      </c>
      <c r="AU260">
        <v>2020</v>
      </c>
      <c r="AV260">
        <v>23</v>
      </c>
      <c r="AW260" t="s">
        <v>74</v>
      </c>
      <c r="AX260" t="s">
        <v>74</v>
      </c>
      <c r="AY260" t="s">
        <v>74</v>
      </c>
      <c r="AZ260" t="s">
        <v>74</v>
      </c>
      <c r="BA260" t="s">
        <v>74</v>
      </c>
      <c r="BB260" t="s">
        <v>74</v>
      </c>
      <c r="BC260" t="s">
        <v>74</v>
      </c>
      <c r="BD260">
        <v>100504</v>
      </c>
      <c r="BE260" t="s">
        <v>5322</v>
      </c>
      <c r="BF260" t="str">
        <f>HYPERLINK("http://dx.doi.org/10.1016/j.polar.2020.100504","http://dx.doi.org/10.1016/j.polar.2020.100504")</f>
        <v>http://dx.doi.org/10.1016/j.polar.2020.100504</v>
      </c>
      <c r="BG260" t="s">
        <v>74</v>
      </c>
      <c r="BH260" t="s">
        <v>74</v>
      </c>
      <c r="BI260">
        <v>8</v>
      </c>
      <c r="BJ260" t="s">
        <v>1404</v>
      </c>
      <c r="BK260" t="s">
        <v>103</v>
      </c>
      <c r="BL260" t="s">
        <v>1405</v>
      </c>
      <c r="BM260" t="s">
        <v>4689</v>
      </c>
      <c r="BN260" t="s">
        <v>74</v>
      </c>
      <c r="BO260" t="s">
        <v>148</v>
      </c>
      <c r="BP260" t="s">
        <v>74</v>
      </c>
      <c r="BQ260" t="s">
        <v>74</v>
      </c>
      <c r="BR260" t="s">
        <v>106</v>
      </c>
      <c r="BS260" t="s">
        <v>5323</v>
      </c>
      <c r="BT260" t="str">
        <f>HYPERLINK("https%3A%2F%2Fwww.webofscience.com%2Fwos%2Fwoscc%2Ffull-record%2FWOS:000519985400005","View Full Record in Web of Science")</f>
        <v>View Full Record in Web of Science</v>
      </c>
    </row>
    <row r="261" spans="1:72" x14ac:dyDescent="0.15">
      <c r="A261" t="s">
        <v>72</v>
      </c>
      <c r="B261" t="s">
        <v>5324</v>
      </c>
      <c r="C261" t="s">
        <v>74</v>
      </c>
      <c r="D261" t="s">
        <v>74</v>
      </c>
      <c r="E261" t="s">
        <v>74</v>
      </c>
      <c r="F261" t="s">
        <v>5325</v>
      </c>
      <c r="G261" t="s">
        <v>74</v>
      </c>
      <c r="H261" t="s">
        <v>74</v>
      </c>
      <c r="I261" t="s">
        <v>5326</v>
      </c>
      <c r="J261" t="s">
        <v>5327</v>
      </c>
      <c r="K261" t="s">
        <v>74</v>
      </c>
      <c r="L261" t="s">
        <v>74</v>
      </c>
      <c r="M261" t="s">
        <v>78</v>
      </c>
      <c r="N261" t="s">
        <v>79</v>
      </c>
      <c r="O261" t="s">
        <v>74</v>
      </c>
      <c r="P261" t="s">
        <v>74</v>
      </c>
      <c r="Q261" t="s">
        <v>74</v>
      </c>
      <c r="R261" t="s">
        <v>74</v>
      </c>
      <c r="S261" t="s">
        <v>74</v>
      </c>
      <c r="T261" t="s">
        <v>5328</v>
      </c>
      <c r="U261" t="s">
        <v>5329</v>
      </c>
      <c r="V261" t="s">
        <v>5330</v>
      </c>
      <c r="W261" t="s">
        <v>5331</v>
      </c>
      <c r="X261" t="s">
        <v>5332</v>
      </c>
      <c r="Y261" t="s">
        <v>5333</v>
      </c>
      <c r="Z261" t="s">
        <v>5334</v>
      </c>
      <c r="AA261" t="s">
        <v>5335</v>
      </c>
      <c r="AB261" t="s">
        <v>5336</v>
      </c>
      <c r="AC261" t="s">
        <v>5337</v>
      </c>
      <c r="AD261" t="s">
        <v>5338</v>
      </c>
      <c r="AE261" t="s">
        <v>5339</v>
      </c>
      <c r="AF261" t="s">
        <v>74</v>
      </c>
      <c r="AG261">
        <v>54</v>
      </c>
      <c r="AH261">
        <v>4</v>
      </c>
      <c r="AI261">
        <v>5</v>
      </c>
      <c r="AJ261">
        <v>0</v>
      </c>
      <c r="AK261">
        <v>9</v>
      </c>
      <c r="AL261" t="s">
        <v>3817</v>
      </c>
      <c r="AM261" t="s">
        <v>3818</v>
      </c>
      <c r="AN261" t="s">
        <v>3819</v>
      </c>
      <c r="AO261" t="s">
        <v>74</v>
      </c>
      <c r="AP261" t="s">
        <v>5340</v>
      </c>
      <c r="AQ261" t="s">
        <v>74</v>
      </c>
      <c r="AR261" t="s">
        <v>5341</v>
      </c>
      <c r="AS261" t="s">
        <v>5342</v>
      </c>
      <c r="AT261" t="s">
        <v>2912</v>
      </c>
      <c r="AU261">
        <v>2020</v>
      </c>
      <c r="AV261">
        <v>12</v>
      </c>
      <c r="AW261">
        <v>6</v>
      </c>
      <c r="AX261" t="s">
        <v>74</v>
      </c>
      <c r="AY261" t="s">
        <v>74</v>
      </c>
      <c r="AZ261" t="s">
        <v>74</v>
      </c>
      <c r="BA261" t="s">
        <v>74</v>
      </c>
      <c r="BB261" t="s">
        <v>74</v>
      </c>
      <c r="BC261" t="s">
        <v>74</v>
      </c>
      <c r="BD261">
        <v>1043</v>
      </c>
      <c r="BE261" t="s">
        <v>5343</v>
      </c>
      <c r="BF261" t="str">
        <f>HYPERLINK("http://dx.doi.org/10.3390/rs12061043","http://dx.doi.org/10.3390/rs12061043")</f>
        <v>http://dx.doi.org/10.3390/rs12061043</v>
      </c>
      <c r="BG261" t="s">
        <v>74</v>
      </c>
      <c r="BH261" t="s">
        <v>74</v>
      </c>
      <c r="BI261">
        <v>21</v>
      </c>
      <c r="BJ261" t="s">
        <v>5344</v>
      </c>
      <c r="BK261" t="s">
        <v>103</v>
      </c>
      <c r="BL261" t="s">
        <v>5345</v>
      </c>
      <c r="BM261" t="s">
        <v>5346</v>
      </c>
      <c r="BN261" t="s">
        <v>74</v>
      </c>
      <c r="BO261" t="s">
        <v>2592</v>
      </c>
      <c r="BP261" t="s">
        <v>74</v>
      </c>
      <c r="BQ261" t="s">
        <v>74</v>
      </c>
      <c r="BR261" t="s">
        <v>106</v>
      </c>
      <c r="BS261" t="s">
        <v>5347</v>
      </c>
      <c r="BT261" t="str">
        <f>HYPERLINK("https%3A%2F%2Fwww.webofscience.com%2Fwos%2Fwoscc%2Ffull-record%2FWOS:000526820600145","View Full Record in Web of Science")</f>
        <v>View Full Record in Web of Science</v>
      </c>
    </row>
    <row r="262" spans="1:72" x14ac:dyDescent="0.15">
      <c r="A262" t="s">
        <v>72</v>
      </c>
      <c r="B262" t="s">
        <v>5348</v>
      </c>
      <c r="C262" t="s">
        <v>74</v>
      </c>
      <c r="D262" t="s">
        <v>74</v>
      </c>
      <c r="E262" t="s">
        <v>74</v>
      </c>
      <c r="F262" t="s">
        <v>5349</v>
      </c>
      <c r="G262" t="s">
        <v>74</v>
      </c>
      <c r="H262" t="s">
        <v>74</v>
      </c>
      <c r="I262" t="s">
        <v>5350</v>
      </c>
      <c r="J262" t="s">
        <v>2535</v>
      </c>
      <c r="K262" t="s">
        <v>74</v>
      </c>
      <c r="L262" t="s">
        <v>74</v>
      </c>
      <c r="M262" t="s">
        <v>78</v>
      </c>
      <c r="N262" t="s">
        <v>79</v>
      </c>
      <c r="O262" t="s">
        <v>74</v>
      </c>
      <c r="P262" t="s">
        <v>74</v>
      </c>
      <c r="Q262" t="s">
        <v>74</v>
      </c>
      <c r="R262" t="s">
        <v>74</v>
      </c>
      <c r="S262" t="s">
        <v>74</v>
      </c>
      <c r="T262" t="s">
        <v>5351</v>
      </c>
      <c r="U262" t="s">
        <v>5352</v>
      </c>
      <c r="V262" t="s">
        <v>5353</v>
      </c>
      <c r="W262" t="s">
        <v>5354</v>
      </c>
      <c r="X262" t="s">
        <v>5355</v>
      </c>
      <c r="Y262" t="s">
        <v>5356</v>
      </c>
      <c r="Z262" t="s">
        <v>5357</v>
      </c>
      <c r="AA262" t="s">
        <v>74</v>
      </c>
      <c r="AB262" t="s">
        <v>74</v>
      </c>
      <c r="AC262" t="s">
        <v>5358</v>
      </c>
      <c r="AD262" t="s">
        <v>5359</v>
      </c>
      <c r="AE262" t="s">
        <v>5360</v>
      </c>
      <c r="AF262" t="s">
        <v>74</v>
      </c>
      <c r="AG262">
        <v>48</v>
      </c>
      <c r="AH262">
        <v>28</v>
      </c>
      <c r="AI262">
        <v>30</v>
      </c>
      <c r="AJ262">
        <v>3</v>
      </c>
      <c r="AK262">
        <v>20</v>
      </c>
      <c r="AL262" t="s">
        <v>211</v>
      </c>
      <c r="AM262" t="s">
        <v>212</v>
      </c>
      <c r="AN262" t="s">
        <v>2548</v>
      </c>
      <c r="AO262" t="s">
        <v>74</v>
      </c>
      <c r="AP262" t="s">
        <v>2549</v>
      </c>
      <c r="AQ262" t="s">
        <v>74</v>
      </c>
      <c r="AR262" t="s">
        <v>2550</v>
      </c>
      <c r="AS262" t="s">
        <v>2551</v>
      </c>
      <c r="AT262" t="s">
        <v>2912</v>
      </c>
      <c r="AU262">
        <v>2020</v>
      </c>
      <c r="AV262">
        <v>6</v>
      </c>
      <c r="AW262">
        <v>1</v>
      </c>
      <c r="AX262" t="s">
        <v>74</v>
      </c>
      <c r="AY262" t="s">
        <v>74</v>
      </c>
      <c r="AZ262" t="s">
        <v>74</v>
      </c>
      <c r="BA262" t="s">
        <v>74</v>
      </c>
      <c r="BB262">
        <v>70</v>
      </c>
      <c r="BC262">
        <v>78</v>
      </c>
      <c r="BD262" t="s">
        <v>74</v>
      </c>
      <c r="BE262" t="s">
        <v>5361</v>
      </c>
      <c r="BF262" t="str">
        <f>HYPERLINK("http://dx.doi.org/10.1002/rse2.124","http://dx.doi.org/10.1002/rse2.124")</f>
        <v>http://dx.doi.org/10.1002/rse2.124</v>
      </c>
      <c r="BG262" t="s">
        <v>74</v>
      </c>
      <c r="BH262" t="s">
        <v>74</v>
      </c>
      <c r="BI262">
        <v>9</v>
      </c>
      <c r="BJ262" t="s">
        <v>2553</v>
      </c>
      <c r="BK262" t="s">
        <v>103</v>
      </c>
      <c r="BL262" t="s">
        <v>2554</v>
      </c>
      <c r="BM262" t="s">
        <v>5362</v>
      </c>
      <c r="BN262" t="s">
        <v>74</v>
      </c>
      <c r="BO262" t="s">
        <v>2592</v>
      </c>
      <c r="BP262" t="s">
        <v>74</v>
      </c>
      <c r="BQ262" t="s">
        <v>74</v>
      </c>
      <c r="BR262" t="s">
        <v>106</v>
      </c>
      <c r="BS262" t="s">
        <v>5363</v>
      </c>
      <c r="BT262" t="str">
        <f>HYPERLINK("https%3A%2F%2Fwww.webofscience.com%2Fwos%2Fwoscc%2Ffull-record%2FWOS:000519756100005","View Full Record in Web of Science")</f>
        <v>View Full Record in Web of Science</v>
      </c>
    </row>
    <row r="263" spans="1:72" x14ac:dyDescent="0.15">
      <c r="A263" t="s">
        <v>72</v>
      </c>
      <c r="B263" t="s">
        <v>5364</v>
      </c>
      <c r="C263" t="s">
        <v>74</v>
      </c>
      <c r="D263" t="s">
        <v>74</v>
      </c>
      <c r="E263" t="s">
        <v>74</v>
      </c>
      <c r="F263" t="s">
        <v>5365</v>
      </c>
      <c r="G263" t="s">
        <v>74</v>
      </c>
      <c r="H263" t="s">
        <v>74</v>
      </c>
      <c r="I263" t="s">
        <v>5366</v>
      </c>
      <c r="J263" t="s">
        <v>5367</v>
      </c>
      <c r="K263" t="s">
        <v>74</v>
      </c>
      <c r="L263" t="s">
        <v>74</v>
      </c>
      <c r="M263" t="s">
        <v>78</v>
      </c>
      <c r="N263" t="s">
        <v>79</v>
      </c>
      <c r="O263" t="s">
        <v>74</v>
      </c>
      <c r="P263" t="s">
        <v>74</v>
      </c>
      <c r="Q263" t="s">
        <v>74</v>
      </c>
      <c r="R263" t="s">
        <v>74</v>
      </c>
      <c r="S263" t="s">
        <v>74</v>
      </c>
      <c r="T263" t="s">
        <v>74</v>
      </c>
      <c r="U263" t="s">
        <v>74</v>
      </c>
      <c r="V263" t="s">
        <v>74</v>
      </c>
      <c r="W263" t="s">
        <v>5368</v>
      </c>
      <c r="X263" t="s">
        <v>5369</v>
      </c>
      <c r="Y263" t="s">
        <v>74</v>
      </c>
      <c r="Z263" t="s">
        <v>74</v>
      </c>
      <c r="AA263" t="s">
        <v>74</v>
      </c>
      <c r="AB263" t="s">
        <v>74</v>
      </c>
      <c r="AC263" t="s">
        <v>74</v>
      </c>
      <c r="AD263" t="s">
        <v>74</v>
      </c>
      <c r="AE263" t="s">
        <v>74</v>
      </c>
      <c r="AF263" t="s">
        <v>74</v>
      </c>
      <c r="AG263">
        <v>0</v>
      </c>
      <c r="AH263">
        <v>0</v>
      </c>
      <c r="AI263">
        <v>0</v>
      </c>
      <c r="AJ263">
        <v>0</v>
      </c>
      <c r="AK263">
        <v>1</v>
      </c>
      <c r="AL263" t="s">
        <v>5370</v>
      </c>
      <c r="AM263" t="s">
        <v>166</v>
      </c>
      <c r="AN263" t="s">
        <v>5371</v>
      </c>
      <c r="AO263" t="s">
        <v>5372</v>
      </c>
      <c r="AP263" t="s">
        <v>74</v>
      </c>
      <c r="AQ263" t="s">
        <v>74</v>
      </c>
      <c r="AR263" t="s">
        <v>5373</v>
      </c>
      <c r="AS263" t="s">
        <v>5374</v>
      </c>
      <c r="AT263" t="s">
        <v>2912</v>
      </c>
      <c r="AU263">
        <v>2020</v>
      </c>
      <c r="AV263">
        <v>128</v>
      </c>
      <c r="AW263">
        <v>3</v>
      </c>
      <c r="AX263" t="s">
        <v>74</v>
      </c>
      <c r="AY263" t="s">
        <v>74</v>
      </c>
      <c r="AZ263" t="s">
        <v>74</v>
      </c>
      <c r="BA263" t="s">
        <v>74</v>
      </c>
      <c r="BB263">
        <v>22</v>
      </c>
      <c r="BC263">
        <v>27</v>
      </c>
      <c r="BD263" t="s">
        <v>74</v>
      </c>
      <c r="BE263" t="s">
        <v>74</v>
      </c>
      <c r="BF263" t="s">
        <v>74</v>
      </c>
      <c r="BG263" t="s">
        <v>74</v>
      </c>
      <c r="BH263" t="s">
        <v>74</v>
      </c>
      <c r="BI263">
        <v>6</v>
      </c>
      <c r="BJ263" t="s">
        <v>130</v>
      </c>
      <c r="BK263" t="s">
        <v>103</v>
      </c>
      <c r="BL263" t="s">
        <v>131</v>
      </c>
      <c r="BM263" t="s">
        <v>5375</v>
      </c>
      <c r="BN263" t="s">
        <v>74</v>
      </c>
      <c r="BO263" t="s">
        <v>74</v>
      </c>
      <c r="BP263" t="s">
        <v>74</v>
      </c>
      <c r="BQ263" t="s">
        <v>74</v>
      </c>
      <c r="BR263" t="s">
        <v>106</v>
      </c>
      <c r="BS263" t="s">
        <v>5376</v>
      </c>
      <c r="BT263" t="str">
        <f>HYPERLINK("https%3A%2F%2Fwww.webofscience.com%2Fwos%2Fwoscc%2Ffull-record%2FWOS:000514016400011","View Full Record in Web of Science")</f>
        <v>View Full Record in Web of Science</v>
      </c>
    </row>
    <row r="264" spans="1:72" x14ac:dyDescent="0.15">
      <c r="A264" t="s">
        <v>72</v>
      </c>
      <c r="B264" t="s">
        <v>5377</v>
      </c>
      <c r="C264" t="s">
        <v>74</v>
      </c>
      <c r="D264" t="s">
        <v>74</v>
      </c>
      <c r="E264" t="s">
        <v>74</v>
      </c>
      <c r="F264" t="s">
        <v>5378</v>
      </c>
      <c r="G264" t="s">
        <v>74</v>
      </c>
      <c r="H264" t="s">
        <v>74</v>
      </c>
      <c r="I264" t="s">
        <v>5379</v>
      </c>
      <c r="J264" t="s">
        <v>5380</v>
      </c>
      <c r="K264" t="s">
        <v>74</v>
      </c>
      <c r="L264" t="s">
        <v>74</v>
      </c>
      <c r="M264" t="s">
        <v>78</v>
      </c>
      <c r="N264" t="s">
        <v>79</v>
      </c>
      <c r="O264" t="s">
        <v>74</v>
      </c>
      <c r="P264" t="s">
        <v>74</v>
      </c>
      <c r="Q264" t="s">
        <v>74</v>
      </c>
      <c r="R264" t="s">
        <v>74</v>
      </c>
      <c r="S264" t="s">
        <v>74</v>
      </c>
      <c r="T264" t="s">
        <v>5381</v>
      </c>
      <c r="U264" t="s">
        <v>5382</v>
      </c>
      <c r="V264" t="s">
        <v>5383</v>
      </c>
      <c r="W264" t="s">
        <v>5384</v>
      </c>
      <c r="X264" t="s">
        <v>4274</v>
      </c>
      <c r="Y264" t="s">
        <v>5385</v>
      </c>
      <c r="Z264" t="s">
        <v>5386</v>
      </c>
      <c r="AA264" t="s">
        <v>74</v>
      </c>
      <c r="AB264" t="s">
        <v>74</v>
      </c>
      <c r="AC264" t="s">
        <v>5387</v>
      </c>
      <c r="AD264" t="s">
        <v>2364</v>
      </c>
      <c r="AE264" t="s">
        <v>5388</v>
      </c>
      <c r="AF264" t="s">
        <v>74</v>
      </c>
      <c r="AG264">
        <v>72</v>
      </c>
      <c r="AH264">
        <v>29</v>
      </c>
      <c r="AI264">
        <v>31</v>
      </c>
      <c r="AJ264">
        <v>6</v>
      </c>
      <c r="AK264">
        <v>31</v>
      </c>
      <c r="AL264" t="s">
        <v>434</v>
      </c>
      <c r="AM264" t="s">
        <v>435</v>
      </c>
      <c r="AN264" t="s">
        <v>436</v>
      </c>
      <c r="AO264" t="s">
        <v>5389</v>
      </c>
      <c r="AP264" t="s">
        <v>5390</v>
      </c>
      <c r="AQ264" t="s">
        <v>74</v>
      </c>
      <c r="AR264" t="s">
        <v>5391</v>
      </c>
      <c r="AS264" t="s">
        <v>5392</v>
      </c>
      <c r="AT264" t="s">
        <v>2912</v>
      </c>
      <c r="AU264">
        <v>2020</v>
      </c>
      <c r="AV264">
        <v>136</v>
      </c>
      <c r="AW264" t="s">
        <v>74</v>
      </c>
      <c r="AX264" t="s">
        <v>74</v>
      </c>
      <c r="AY264" t="s">
        <v>74</v>
      </c>
      <c r="AZ264" t="s">
        <v>74</v>
      </c>
      <c r="BA264" t="s">
        <v>74</v>
      </c>
      <c r="BB264" t="s">
        <v>74</v>
      </c>
      <c r="BC264" t="s">
        <v>74</v>
      </c>
      <c r="BD264">
        <v>105443</v>
      </c>
      <c r="BE264" t="s">
        <v>5393</v>
      </c>
      <c r="BF264" t="str">
        <f>HYPERLINK("http://dx.doi.org/10.1016/j.envint.2019.105443","http://dx.doi.org/10.1016/j.envint.2019.105443")</f>
        <v>http://dx.doi.org/10.1016/j.envint.2019.105443</v>
      </c>
      <c r="BG264" t="s">
        <v>74</v>
      </c>
      <c r="BH264" t="s">
        <v>74</v>
      </c>
      <c r="BI264">
        <v>10</v>
      </c>
      <c r="BJ264" t="s">
        <v>1196</v>
      </c>
      <c r="BK264" t="s">
        <v>103</v>
      </c>
      <c r="BL264" t="s">
        <v>219</v>
      </c>
      <c r="BM264" t="s">
        <v>5394</v>
      </c>
      <c r="BN264">
        <v>31927465</v>
      </c>
      <c r="BO264" t="s">
        <v>5395</v>
      </c>
      <c r="BP264" t="s">
        <v>74</v>
      </c>
      <c r="BQ264" t="s">
        <v>74</v>
      </c>
      <c r="BR264" t="s">
        <v>106</v>
      </c>
      <c r="BS264" t="s">
        <v>5396</v>
      </c>
      <c r="BT264" t="str">
        <f>HYPERLINK("https%3A%2F%2Fwww.webofscience.com%2Fwos%2Fwoscc%2Ffull-record%2FWOS:000512533700032","View Full Record in Web of Science")</f>
        <v>View Full Record in Web of Science</v>
      </c>
    </row>
    <row r="265" spans="1:72" x14ac:dyDescent="0.15">
      <c r="A265" t="s">
        <v>72</v>
      </c>
      <c r="B265" t="s">
        <v>5397</v>
      </c>
      <c r="C265" t="s">
        <v>74</v>
      </c>
      <c r="D265" t="s">
        <v>74</v>
      </c>
      <c r="E265" t="s">
        <v>74</v>
      </c>
      <c r="F265" t="s">
        <v>5398</v>
      </c>
      <c r="G265" t="s">
        <v>74</v>
      </c>
      <c r="H265" t="s">
        <v>74</v>
      </c>
      <c r="I265" t="s">
        <v>5399</v>
      </c>
      <c r="J265" t="s">
        <v>5380</v>
      </c>
      <c r="K265" t="s">
        <v>74</v>
      </c>
      <c r="L265" t="s">
        <v>74</v>
      </c>
      <c r="M265" t="s">
        <v>78</v>
      </c>
      <c r="N265" t="s">
        <v>79</v>
      </c>
      <c r="O265" t="s">
        <v>74</v>
      </c>
      <c r="P265" t="s">
        <v>74</v>
      </c>
      <c r="Q265" t="s">
        <v>74</v>
      </c>
      <c r="R265" t="s">
        <v>74</v>
      </c>
      <c r="S265" t="s">
        <v>74</v>
      </c>
      <c r="T265" t="s">
        <v>5400</v>
      </c>
      <c r="U265" t="s">
        <v>5401</v>
      </c>
      <c r="V265" t="s">
        <v>5402</v>
      </c>
      <c r="W265" t="s">
        <v>5403</v>
      </c>
      <c r="X265" t="s">
        <v>5404</v>
      </c>
      <c r="Y265" t="s">
        <v>5405</v>
      </c>
      <c r="Z265" t="s">
        <v>5406</v>
      </c>
      <c r="AA265" t="s">
        <v>5407</v>
      </c>
      <c r="AB265" t="s">
        <v>5408</v>
      </c>
      <c r="AC265" t="s">
        <v>5409</v>
      </c>
      <c r="AD265" t="s">
        <v>5410</v>
      </c>
      <c r="AE265" t="s">
        <v>5411</v>
      </c>
      <c r="AF265" t="s">
        <v>74</v>
      </c>
      <c r="AG265">
        <v>75</v>
      </c>
      <c r="AH265">
        <v>130</v>
      </c>
      <c r="AI265">
        <v>141</v>
      </c>
      <c r="AJ265">
        <v>12</v>
      </c>
      <c r="AK265">
        <v>132</v>
      </c>
      <c r="AL265" t="s">
        <v>434</v>
      </c>
      <c r="AM265" t="s">
        <v>435</v>
      </c>
      <c r="AN265" t="s">
        <v>436</v>
      </c>
      <c r="AO265" t="s">
        <v>5389</v>
      </c>
      <c r="AP265" t="s">
        <v>5390</v>
      </c>
      <c r="AQ265" t="s">
        <v>74</v>
      </c>
      <c r="AR265" t="s">
        <v>5391</v>
      </c>
      <c r="AS265" t="s">
        <v>5392</v>
      </c>
      <c r="AT265" t="s">
        <v>2912</v>
      </c>
      <c r="AU265">
        <v>2020</v>
      </c>
      <c r="AV265">
        <v>136</v>
      </c>
      <c r="AW265" t="s">
        <v>74</v>
      </c>
      <c r="AX265" t="s">
        <v>74</v>
      </c>
      <c r="AY265" t="s">
        <v>74</v>
      </c>
      <c r="AZ265" t="s">
        <v>74</v>
      </c>
      <c r="BA265" t="s">
        <v>74</v>
      </c>
      <c r="BB265" t="s">
        <v>74</v>
      </c>
      <c r="BC265" t="s">
        <v>74</v>
      </c>
      <c r="BD265">
        <v>105494</v>
      </c>
      <c r="BE265" t="s">
        <v>5412</v>
      </c>
      <c r="BF265" t="str">
        <f>HYPERLINK("http://dx.doi.org/10.1016/j.envint.2020.105494","http://dx.doi.org/10.1016/j.envint.2020.105494")</f>
        <v>http://dx.doi.org/10.1016/j.envint.2020.105494</v>
      </c>
      <c r="BG265" t="s">
        <v>74</v>
      </c>
      <c r="BH265" t="s">
        <v>74</v>
      </c>
      <c r="BI265">
        <v>8</v>
      </c>
      <c r="BJ265" t="s">
        <v>1196</v>
      </c>
      <c r="BK265" t="s">
        <v>103</v>
      </c>
      <c r="BL265" t="s">
        <v>219</v>
      </c>
      <c r="BM265" t="s">
        <v>5394</v>
      </c>
      <c r="BN265">
        <v>31999968</v>
      </c>
      <c r="BO265" t="s">
        <v>1359</v>
      </c>
      <c r="BP265" t="s">
        <v>74</v>
      </c>
      <c r="BQ265" t="s">
        <v>74</v>
      </c>
      <c r="BR265" t="s">
        <v>106</v>
      </c>
      <c r="BS265" t="s">
        <v>5413</v>
      </c>
      <c r="BT265" t="str">
        <f>HYPERLINK("https%3A%2F%2Fwww.webofscience.com%2Fwos%2Fwoscc%2Ffull-record%2FWOS:000512533700072","View Full Record in Web of Science")</f>
        <v>View Full Record in Web of Science</v>
      </c>
    </row>
    <row r="266" spans="1:72" x14ac:dyDescent="0.15">
      <c r="A266" t="s">
        <v>72</v>
      </c>
      <c r="B266" t="s">
        <v>5414</v>
      </c>
      <c r="C266" t="s">
        <v>74</v>
      </c>
      <c r="D266" t="s">
        <v>74</v>
      </c>
      <c r="E266" t="s">
        <v>74</v>
      </c>
      <c r="F266" t="s">
        <v>5415</v>
      </c>
      <c r="G266" t="s">
        <v>74</v>
      </c>
      <c r="H266" t="s">
        <v>74</v>
      </c>
      <c r="I266" t="s">
        <v>5416</v>
      </c>
      <c r="J266" t="s">
        <v>5380</v>
      </c>
      <c r="K266" t="s">
        <v>74</v>
      </c>
      <c r="L266" t="s">
        <v>74</v>
      </c>
      <c r="M266" t="s">
        <v>78</v>
      </c>
      <c r="N266" t="s">
        <v>79</v>
      </c>
      <c r="O266" t="s">
        <v>74</v>
      </c>
      <c r="P266" t="s">
        <v>74</v>
      </c>
      <c r="Q266" t="s">
        <v>74</v>
      </c>
      <c r="R266" t="s">
        <v>74</v>
      </c>
      <c r="S266" t="s">
        <v>74</v>
      </c>
      <c r="T266" t="s">
        <v>5417</v>
      </c>
      <c r="U266" t="s">
        <v>5418</v>
      </c>
      <c r="V266" t="s">
        <v>5419</v>
      </c>
      <c r="W266" t="s">
        <v>5420</v>
      </c>
      <c r="X266" t="s">
        <v>4274</v>
      </c>
      <c r="Y266" t="s">
        <v>5421</v>
      </c>
      <c r="Z266" t="s">
        <v>5422</v>
      </c>
      <c r="AA266" t="s">
        <v>5423</v>
      </c>
      <c r="AB266" t="s">
        <v>5424</v>
      </c>
      <c r="AC266" t="s">
        <v>5425</v>
      </c>
      <c r="AD266" t="s">
        <v>2364</v>
      </c>
      <c r="AE266" t="s">
        <v>5426</v>
      </c>
      <c r="AF266" t="s">
        <v>74</v>
      </c>
      <c r="AG266">
        <v>71</v>
      </c>
      <c r="AH266">
        <v>34</v>
      </c>
      <c r="AI266">
        <v>37</v>
      </c>
      <c r="AJ266">
        <v>8</v>
      </c>
      <c r="AK266">
        <v>28</v>
      </c>
      <c r="AL266" t="s">
        <v>434</v>
      </c>
      <c r="AM266" t="s">
        <v>435</v>
      </c>
      <c r="AN266" t="s">
        <v>436</v>
      </c>
      <c r="AO266" t="s">
        <v>5389</v>
      </c>
      <c r="AP266" t="s">
        <v>5390</v>
      </c>
      <c r="AQ266" t="s">
        <v>74</v>
      </c>
      <c r="AR266" t="s">
        <v>5391</v>
      </c>
      <c r="AS266" t="s">
        <v>5392</v>
      </c>
      <c r="AT266" t="s">
        <v>2912</v>
      </c>
      <c r="AU266">
        <v>2020</v>
      </c>
      <c r="AV266">
        <v>136</v>
      </c>
      <c r="AW266" t="s">
        <v>74</v>
      </c>
      <c r="AX266" t="s">
        <v>74</v>
      </c>
      <c r="AY266" t="s">
        <v>74</v>
      </c>
      <c r="AZ266" t="s">
        <v>74</v>
      </c>
      <c r="BA266" t="s">
        <v>74</v>
      </c>
      <c r="BB266" t="s">
        <v>74</v>
      </c>
      <c r="BC266" t="s">
        <v>74</v>
      </c>
      <c r="BD266">
        <v>105460</v>
      </c>
      <c r="BE266" t="s">
        <v>5427</v>
      </c>
      <c r="BF266" t="str">
        <f>HYPERLINK("http://dx.doi.org/10.1016/j.envint.2020.105460","http://dx.doi.org/10.1016/j.envint.2020.105460")</f>
        <v>http://dx.doi.org/10.1016/j.envint.2020.105460</v>
      </c>
      <c r="BG266" t="s">
        <v>74</v>
      </c>
      <c r="BH266" t="s">
        <v>74</v>
      </c>
      <c r="BI266">
        <v>12</v>
      </c>
      <c r="BJ266" t="s">
        <v>1196</v>
      </c>
      <c r="BK266" t="s">
        <v>103</v>
      </c>
      <c r="BL266" t="s">
        <v>219</v>
      </c>
      <c r="BM266" t="s">
        <v>5394</v>
      </c>
      <c r="BN266">
        <v>31935563</v>
      </c>
      <c r="BO266" t="s">
        <v>5395</v>
      </c>
      <c r="BP266" t="s">
        <v>74</v>
      </c>
      <c r="BQ266" t="s">
        <v>74</v>
      </c>
      <c r="BR266" t="s">
        <v>106</v>
      </c>
      <c r="BS266" t="s">
        <v>5428</v>
      </c>
      <c r="BT266" t="str">
        <f>HYPERLINK("https%3A%2F%2Fwww.webofscience.com%2Fwos%2Fwoscc%2Ffull-record%2FWOS:000512533700048","View Full Record in Web of Science")</f>
        <v>View Full Record in Web of Science</v>
      </c>
    </row>
    <row r="267" spans="1:72" x14ac:dyDescent="0.15">
      <c r="A267" t="s">
        <v>72</v>
      </c>
      <c r="B267" t="s">
        <v>5429</v>
      </c>
      <c r="C267" t="s">
        <v>74</v>
      </c>
      <c r="D267" t="s">
        <v>74</v>
      </c>
      <c r="E267" t="s">
        <v>74</v>
      </c>
      <c r="F267" t="s">
        <v>5430</v>
      </c>
      <c r="G267" t="s">
        <v>74</v>
      </c>
      <c r="H267" t="s">
        <v>74</v>
      </c>
      <c r="I267" t="s">
        <v>5431</v>
      </c>
      <c r="J267" t="s">
        <v>5432</v>
      </c>
      <c r="K267" t="s">
        <v>74</v>
      </c>
      <c r="L267" t="s">
        <v>74</v>
      </c>
      <c r="M267" t="s">
        <v>78</v>
      </c>
      <c r="N267" t="s">
        <v>79</v>
      </c>
      <c r="O267" t="s">
        <v>74</v>
      </c>
      <c r="P267" t="s">
        <v>74</v>
      </c>
      <c r="Q267" t="s">
        <v>74</v>
      </c>
      <c r="R267" t="s">
        <v>74</v>
      </c>
      <c r="S267" t="s">
        <v>74</v>
      </c>
      <c r="T267" t="s">
        <v>5433</v>
      </c>
      <c r="U267" t="s">
        <v>5434</v>
      </c>
      <c r="V267" t="s">
        <v>5435</v>
      </c>
      <c r="W267" t="s">
        <v>5436</v>
      </c>
      <c r="X267" t="s">
        <v>5437</v>
      </c>
      <c r="Y267" t="s">
        <v>5438</v>
      </c>
      <c r="Z267" t="s">
        <v>5439</v>
      </c>
      <c r="AA267" t="s">
        <v>5440</v>
      </c>
      <c r="AB267" t="s">
        <v>5441</v>
      </c>
      <c r="AC267" t="s">
        <v>74</v>
      </c>
      <c r="AD267" t="s">
        <v>74</v>
      </c>
      <c r="AE267" t="s">
        <v>74</v>
      </c>
      <c r="AF267" t="s">
        <v>74</v>
      </c>
      <c r="AG267">
        <v>76</v>
      </c>
      <c r="AH267">
        <v>3</v>
      </c>
      <c r="AI267">
        <v>3</v>
      </c>
      <c r="AJ267">
        <v>0</v>
      </c>
      <c r="AK267">
        <v>10</v>
      </c>
      <c r="AL267" t="s">
        <v>211</v>
      </c>
      <c r="AM267" t="s">
        <v>212</v>
      </c>
      <c r="AN267" t="s">
        <v>213</v>
      </c>
      <c r="AO267" t="s">
        <v>5442</v>
      </c>
      <c r="AP267" t="s">
        <v>5443</v>
      </c>
      <c r="AQ267" t="s">
        <v>74</v>
      </c>
      <c r="AR267" t="s">
        <v>5444</v>
      </c>
      <c r="AS267" t="s">
        <v>5445</v>
      </c>
      <c r="AT267" t="s">
        <v>2912</v>
      </c>
      <c r="AU267">
        <v>2020</v>
      </c>
      <c r="AV267">
        <v>49</v>
      </c>
      <c r="AW267">
        <v>2</v>
      </c>
      <c r="AX267" t="s">
        <v>74</v>
      </c>
      <c r="AY267" t="s">
        <v>74</v>
      </c>
      <c r="AZ267" t="s">
        <v>74</v>
      </c>
      <c r="BA267" t="s">
        <v>74</v>
      </c>
      <c r="BB267">
        <v>236</v>
      </c>
      <c r="BC267">
        <v>249</v>
      </c>
      <c r="BD267" t="s">
        <v>74</v>
      </c>
      <c r="BE267" t="s">
        <v>5446</v>
      </c>
      <c r="BF267" t="str">
        <f>HYPERLINK("http://dx.doi.org/10.1111/zsc.12400","http://dx.doi.org/10.1111/zsc.12400")</f>
        <v>http://dx.doi.org/10.1111/zsc.12400</v>
      </c>
      <c r="BG267" t="s">
        <v>74</v>
      </c>
      <c r="BH267" t="s">
        <v>74</v>
      </c>
      <c r="BI267">
        <v>14</v>
      </c>
      <c r="BJ267" t="s">
        <v>5447</v>
      </c>
      <c r="BK267" t="s">
        <v>103</v>
      </c>
      <c r="BL267" t="s">
        <v>5447</v>
      </c>
      <c r="BM267" t="s">
        <v>5448</v>
      </c>
      <c r="BN267" t="s">
        <v>74</v>
      </c>
      <c r="BO267" t="s">
        <v>74</v>
      </c>
      <c r="BP267" t="s">
        <v>74</v>
      </c>
      <c r="BQ267" t="s">
        <v>74</v>
      </c>
      <c r="BR267" t="s">
        <v>106</v>
      </c>
      <c r="BS267" t="s">
        <v>5449</v>
      </c>
      <c r="BT267" t="str">
        <f>HYPERLINK("https%3A%2F%2Fwww.webofscience.com%2Fwos%2Fwoscc%2Ffull-record%2FWOS:000512637500009","View Full Record in Web of Science")</f>
        <v>View Full Record in Web of Science</v>
      </c>
    </row>
    <row r="268" spans="1:72" x14ac:dyDescent="0.15">
      <c r="A268" t="s">
        <v>72</v>
      </c>
      <c r="B268" t="s">
        <v>5450</v>
      </c>
      <c r="C268" t="s">
        <v>74</v>
      </c>
      <c r="D268" t="s">
        <v>74</v>
      </c>
      <c r="E268" t="s">
        <v>74</v>
      </c>
      <c r="F268" t="s">
        <v>5451</v>
      </c>
      <c r="G268" t="s">
        <v>74</v>
      </c>
      <c r="H268" t="s">
        <v>74</v>
      </c>
      <c r="I268" t="s">
        <v>5452</v>
      </c>
      <c r="J268" t="s">
        <v>5453</v>
      </c>
      <c r="K268" t="s">
        <v>74</v>
      </c>
      <c r="L268" t="s">
        <v>74</v>
      </c>
      <c r="M268" t="s">
        <v>78</v>
      </c>
      <c r="N268" t="s">
        <v>79</v>
      </c>
      <c r="O268" t="s">
        <v>74</v>
      </c>
      <c r="P268" t="s">
        <v>74</v>
      </c>
      <c r="Q268" t="s">
        <v>74</v>
      </c>
      <c r="R268" t="s">
        <v>74</v>
      </c>
      <c r="S268" t="s">
        <v>74</v>
      </c>
      <c r="T268" t="s">
        <v>5454</v>
      </c>
      <c r="U268" t="s">
        <v>5455</v>
      </c>
      <c r="V268" t="s">
        <v>5456</v>
      </c>
      <c r="W268" t="s">
        <v>5457</v>
      </c>
      <c r="X268" t="s">
        <v>5458</v>
      </c>
      <c r="Y268" t="s">
        <v>5459</v>
      </c>
      <c r="Z268" t="s">
        <v>5460</v>
      </c>
      <c r="AA268" t="s">
        <v>5461</v>
      </c>
      <c r="AB268" t="s">
        <v>5462</v>
      </c>
      <c r="AC268" t="s">
        <v>5463</v>
      </c>
      <c r="AD268" t="s">
        <v>5464</v>
      </c>
      <c r="AE268" t="s">
        <v>5465</v>
      </c>
      <c r="AF268" t="s">
        <v>74</v>
      </c>
      <c r="AG268">
        <v>31</v>
      </c>
      <c r="AH268">
        <v>10</v>
      </c>
      <c r="AI268">
        <v>10</v>
      </c>
      <c r="AJ268">
        <v>2</v>
      </c>
      <c r="AK268">
        <v>22</v>
      </c>
      <c r="AL268" t="s">
        <v>289</v>
      </c>
      <c r="AM268" t="s">
        <v>290</v>
      </c>
      <c r="AN268" t="s">
        <v>291</v>
      </c>
      <c r="AO268" t="s">
        <v>5466</v>
      </c>
      <c r="AP268" t="s">
        <v>5467</v>
      </c>
      <c r="AQ268" t="s">
        <v>74</v>
      </c>
      <c r="AR268" t="s">
        <v>5468</v>
      </c>
      <c r="AS268" t="s">
        <v>5469</v>
      </c>
      <c r="AT268" t="s">
        <v>4260</v>
      </c>
      <c r="AU268">
        <v>2020</v>
      </c>
      <c r="AV268">
        <v>294</v>
      </c>
      <c r="AW268" t="s">
        <v>74</v>
      </c>
      <c r="AX268" t="s">
        <v>74</v>
      </c>
      <c r="AY268" t="s">
        <v>74</v>
      </c>
      <c r="AZ268" t="s">
        <v>74</v>
      </c>
      <c r="BA268" t="s">
        <v>74</v>
      </c>
      <c r="BB268" t="s">
        <v>74</v>
      </c>
      <c r="BC268" t="s">
        <v>74</v>
      </c>
      <c r="BD268">
        <v>109843</v>
      </c>
      <c r="BE268" t="s">
        <v>5470</v>
      </c>
      <c r="BF268" t="str">
        <f>HYPERLINK("http://dx.doi.org/10.1016/j.micromeso.2019.109843","http://dx.doi.org/10.1016/j.micromeso.2019.109843")</f>
        <v>http://dx.doi.org/10.1016/j.micromeso.2019.109843</v>
      </c>
      <c r="BG268" t="s">
        <v>74</v>
      </c>
      <c r="BH268" t="s">
        <v>74</v>
      </c>
      <c r="BI268">
        <v>7</v>
      </c>
      <c r="BJ268" t="s">
        <v>5471</v>
      </c>
      <c r="BK268" t="s">
        <v>103</v>
      </c>
      <c r="BL268" t="s">
        <v>5472</v>
      </c>
      <c r="BM268" t="s">
        <v>5473</v>
      </c>
      <c r="BN268" t="s">
        <v>74</v>
      </c>
      <c r="BO268" t="s">
        <v>74</v>
      </c>
      <c r="BP268" t="s">
        <v>74</v>
      </c>
      <c r="BQ268" t="s">
        <v>74</v>
      </c>
      <c r="BR268" t="s">
        <v>106</v>
      </c>
      <c r="BS268" t="s">
        <v>5474</v>
      </c>
      <c r="BT268" t="str">
        <f>HYPERLINK("https%3A%2F%2Fwww.webofscience.com%2Fwos%2Fwoscc%2Ffull-record%2FWOS:000510087900012","View Full Record in Web of Science")</f>
        <v>View Full Record in Web of Science</v>
      </c>
    </row>
    <row r="269" spans="1:72" x14ac:dyDescent="0.15">
      <c r="A269" t="s">
        <v>72</v>
      </c>
      <c r="B269" t="s">
        <v>5475</v>
      </c>
      <c r="C269" t="s">
        <v>74</v>
      </c>
      <c r="D269" t="s">
        <v>74</v>
      </c>
      <c r="E269" t="s">
        <v>74</v>
      </c>
      <c r="F269" t="s">
        <v>5476</v>
      </c>
      <c r="G269" t="s">
        <v>74</v>
      </c>
      <c r="H269" t="s">
        <v>74</v>
      </c>
      <c r="I269" t="s">
        <v>5477</v>
      </c>
      <c r="J269" t="s">
        <v>5478</v>
      </c>
      <c r="K269" t="s">
        <v>74</v>
      </c>
      <c r="L269" t="s">
        <v>74</v>
      </c>
      <c r="M269" t="s">
        <v>78</v>
      </c>
      <c r="N269" t="s">
        <v>79</v>
      </c>
      <c r="O269" t="s">
        <v>74</v>
      </c>
      <c r="P269" t="s">
        <v>74</v>
      </c>
      <c r="Q269" t="s">
        <v>74</v>
      </c>
      <c r="R269" t="s">
        <v>74</v>
      </c>
      <c r="S269" t="s">
        <v>74</v>
      </c>
      <c r="T269" t="s">
        <v>5479</v>
      </c>
      <c r="U269" t="s">
        <v>5480</v>
      </c>
      <c r="V269" t="s">
        <v>5481</v>
      </c>
      <c r="W269" t="s">
        <v>5482</v>
      </c>
      <c r="X269" t="s">
        <v>5483</v>
      </c>
      <c r="Y269" t="s">
        <v>5484</v>
      </c>
      <c r="Z269" t="s">
        <v>5485</v>
      </c>
      <c r="AA269" t="s">
        <v>5486</v>
      </c>
      <c r="AB269" t="s">
        <v>5487</v>
      </c>
      <c r="AC269" t="s">
        <v>5488</v>
      </c>
      <c r="AD269" t="s">
        <v>5489</v>
      </c>
      <c r="AE269" t="s">
        <v>5490</v>
      </c>
      <c r="AF269" t="s">
        <v>74</v>
      </c>
      <c r="AG269">
        <v>103</v>
      </c>
      <c r="AH269">
        <v>11</v>
      </c>
      <c r="AI269">
        <v>14</v>
      </c>
      <c r="AJ269">
        <v>0</v>
      </c>
      <c r="AK269">
        <v>14</v>
      </c>
      <c r="AL269" t="s">
        <v>121</v>
      </c>
      <c r="AM269" t="s">
        <v>166</v>
      </c>
      <c r="AN269" t="s">
        <v>685</v>
      </c>
      <c r="AO269" t="s">
        <v>5491</v>
      </c>
      <c r="AP269" t="s">
        <v>5492</v>
      </c>
      <c r="AQ269" t="s">
        <v>74</v>
      </c>
      <c r="AR269" t="s">
        <v>5493</v>
      </c>
      <c r="AS269" t="s">
        <v>5494</v>
      </c>
      <c r="AT269" t="s">
        <v>2912</v>
      </c>
      <c r="AU269">
        <v>2020</v>
      </c>
      <c r="AV269">
        <v>27</v>
      </c>
      <c r="AW269">
        <v>1</v>
      </c>
      <c r="AX269" t="s">
        <v>74</v>
      </c>
      <c r="AY269" t="s">
        <v>74</v>
      </c>
      <c r="AZ269" t="s">
        <v>74</v>
      </c>
      <c r="BA269" t="s">
        <v>74</v>
      </c>
      <c r="BB269">
        <v>17</v>
      </c>
      <c r="BC269">
        <v>36</v>
      </c>
      <c r="BD269" t="s">
        <v>74</v>
      </c>
      <c r="BE269" t="s">
        <v>5495</v>
      </c>
      <c r="BF269" t="str">
        <f>HYPERLINK("http://dx.doi.org/10.1007/s10914-018-9449-6","http://dx.doi.org/10.1007/s10914-018-9449-6")</f>
        <v>http://dx.doi.org/10.1007/s10914-018-9449-6</v>
      </c>
      <c r="BG269" t="s">
        <v>74</v>
      </c>
      <c r="BH269" t="s">
        <v>74</v>
      </c>
      <c r="BI269">
        <v>20</v>
      </c>
      <c r="BJ269" t="s">
        <v>5447</v>
      </c>
      <c r="BK269" t="s">
        <v>103</v>
      </c>
      <c r="BL269" t="s">
        <v>5447</v>
      </c>
      <c r="BM269" t="s">
        <v>5496</v>
      </c>
      <c r="BN269" t="s">
        <v>74</v>
      </c>
      <c r="BO269" t="s">
        <v>694</v>
      </c>
      <c r="BP269" t="s">
        <v>74</v>
      </c>
      <c r="BQ269" t="s">
        <v>74</v>
      </c>
      <c r="BR269" t="s">
        <v>106</v>
      </c>
      <c r="BS269" t="s">
        <v>5497</v>
      </c>
      <c r="BT269" t="str">
        <f>HYPERLINK("https%3A%2F%2Fwww.webofscience.com%2Fwos%2Fwoscc%2Ffull-record%2FWOS:000511576200002","View Full Record in Web of Science")</f>
        <v>View Full Record in Web of Science</v>
      </c>
    </row>
    <row r="270" spans="1:72" x14ac:dyDescent="0.15">
      <c r="A270" t="s">
        <v>72</v>
      </c>
      <c r="B270" t="s">
        <v>5498</v>
      </c>
      <c r="C270" t="s">
        <v>74</v>
      </c>
      <c r="D270" t="s">
        <v>74</v>
      </c>
      <c r="E270" t="s">
        <v>74</v>
      </c>
      <c r="F270" t="s">
        <v>5499</v>
      </c>
      <c r="G270" t="s">
        <v>74</v>
      </c>
      <c r="H270" t="s">
        <v>74</v>
      </c>
      <c r="I270" t="s">
        <v>5500</v>
      </c>
      <c r="J270" t="s">
        <v>2180</v>
      </c>
      <c r="K270" t="s">
        <v>74</v>
      </c>
      <c r="L270" t="s">
        <v>74</v>
      </c>
      <c r="M270" t="s">
        <v>78</v>
      </c>
      <c r="N270" t="s">
        <v>79</v>
      </c>
      <c r="O270" t="s">
        <v>74</v>
      </c>
      <c r="P270" t="s">
        <v>74</v>
      </c>
      <c r="Q270" t="s">
        <v>74</v>
      </c>
      <c r="R270" t="s">
        <v>74</v>
      </c>
      <c r="S270" t="s">
        <v>74</v>
      </c>
      <c r="T270" t="s">
        <v>5501</v>
      </c>
      <c r="U270" t="s">
        <v>5502</v>
      </c>
      <c r="V270" t="s">
        <v>5503</v>
      </c>
      <c r="W270" t="s">
        <v>5504</v>
      </c>
      <c r="X270" t="s">
        <v>5505</v>
      </c>
      <c r="Y270" t="s">
        <v>5506</v>
      </c>
      <c r="Z270" t="s">
        <v>5507</v>
      </c>
      <c r="AA270" t="s">
        <v>5508</v>
      </c>
      <c r="AB270" t="s">
        <v>5509</v>
      </c>
      <c r="AC270" t="s">
        <v>5510</v>
      </c>
      <c r="AD270" t="s">
        <v>5511</v>
      </c>
      <c r="AE270" t="s">
        <v>5512</v>
      </c>
      <c r="AF270" t="s">
        <v>74</v>
      </c>
      <c r="AG270">
        <v>66</v>
      </c>
      <c r="AH270">
        <v>6</v>
      </c>
      <c r="AI270">
        <v>6</v>
      </c>
      <c r="AJ270">
        <v>1</v>
      </c>
      <c r="AK270">
        <v>12</v>
      </c>
      <c r="AL270" t="s">
        <v>289</v>
      </c>
      <c r="AM270" t="s">
        <v>290</v>
      </c>
      <c r="AN270" t="s">
        <v>291</v>
      </c>
      <c r="AO270" t="s">
        <v>2193</v>
      </c>
      <c r="AP270" t="s">
        <v>2194</v>
      </c>
      <c r="AQ270" t="s">
        <v>74</v>
      </c>
      <c r="AR270" t="s">
        <v>2195</v>
      </c>
      <c r="AS270" t="s">
        <v>2196</v>
      </c>
      <c r="AT270" t="s">
        <v>4260</v>
      </c>
      <c r="AU270">
        <v>2020</v>
      </c>
      <c r="AV270">
        <v>533</v>
      </c>
      <c r="AW270" t="s">
        <v>74</v>
      </c>
      <c r="AX270" t="s">
        <v>74</v>
      </c>
      <c r="AY270" t="s">
        <v>74</v>
      </c>
      <c r="AZ270" t="s">
        <v>74</v>
      </c>
      <c r="BA270" t="s">
        <v>74</v>
      </c>
      <c r="BB270" t="s">
        <v>74</v>
      </c>
      <c r="BC270" t="s">
        <v>74</v>
      </c>
      <c r="BD270">
        <v>116042</v>
      </c>
      <c r="BE270" t="s">
        <v>5513</v>
      </c>
      <c r="BF270" t="str">
        <f>HYPERLINK("http://dx.doi.org/10.1016/j.epsl.2019.116042","http://dx.doi.org/10.1016/j.epsl.2019.116042")</f>
        <v>http://dx.doi.org/10.1016/j.epsl.2019.116042</v>
      </c>
      <c r="BG270" t="s">
        <v>74</v>
      </c>
      <c r="BH270" t="s">
        <v>74</v>
      </c>
      <c r="BI270">
        <v>12</v>
      </c>
      <c r="BJ270" t="s">
        <v>442</v>
      </c>
      <c r="BK270" t="s">
        <v>103</v>
      </c>
      <c r="BL270" t="s">
        <v>442</v>
      </c>
      <c r="BM270" t="s">
        <v>5149</v>
      </c>
      <c r="BN270" t="s">
        <v>74</v>
      </c>
      <c r="BO270" t="s">
        <v>416</v>
      </c>
      <c r="BP270" t="s">
        <v>74</v>
      </c>
      <c r="BQ270" t="s">
        <v>74</v>
      </c>
      <c r="BR270" t="s">
        <v>106</v>
      </c>
      <c r="BS270" t="s">
        <v>5514</v>
      </c>
      <c r="BT270" t="str">
        <f>HYPERLINK("https%3A%2F%2Fwww.webofscience.com%2Fwos%2Fwoscc%2Ffull-record%2FWOS:000510946200005","View Full Record in Web of Science")</f>
        <v>View Full Record in Web of Science</v>
      </c>
    </row>
    <row r="271" spans="1:72" x14ac:dyDescent="0.15">
      <c r="A271" t="s">
        <v>72</v>
      </c>
      <c r="B271" t="s">
        <v>5515</v>
      </c>
      <c r="C271" t="s">
        <v>74</v>
      </c>
      <c r="D271" t="s">
        <v>74</v>
      </c>
      <c r="E271" t="s">
        <v>74</v>
      </c>
      <c r="F271" t="s">
        <v>5516</v>
      </c>
      <c r="G271" t="s">
        <v>74</v>
      </c>
      <c r="H271" t="s">
        <v>74</v>
      </c>
      <c r="I271" t="s">
        <v>5517</v>
      </c>
      <c r="J271" t="s">
        <v>5518</v>
      </c>
      <c r="K271" t="s">
        <v>74</v>
      </c>
      <c r="L271" t="s">
        <v>74</v>
      </c>
      <c r="M271" t="s">
        <v>78</v>
      </c>
      <c r="N271" t="s">
        <v>79</v>
      </c>
      <c r="O271" t="s">
        <v>74</v>
      </c>
      <c r="P271" t="s">
        <v>74</v>
      </c>
      <c r="Q271" t="s">
        <v>74</v>
      </c>
      <c r="R271" t="s">
        <v>74</v>
      </c>
      <c r="S271" t="s">
        <v>74</v>
      </c>
      <c r="T271" t="s">
        <v>5519</v>
      </c>
      <c r="U271" t="s">
        <v>5520</v>
      </c>
      <c r="V271" t="s">
        <v>5521</v>
      </c>
      <c r="W271" t="s">
        <v>5522</v>
      </c>
      <c r="X271" t="s">
        <v>5523</v>
      </c>
      <c r="Y271" t="s">
        <v>5524</v>
      </c>
      <c r="Z271" t="s">
        <v>5525</v>
      </c>
      <c r="AA271" t="s">
        <v>5526</v>
      </c>
      <c r="AB271" t="s">
        <v>5527</v>
      </c>
      <c r="AC271" t="s">
        <v>5528</v>
      </c>
      <c r="AD271" t="s">
        <v>5529</v>
      </c>
      <c r="AE271" t="s">
        <v>5530</v>
      </c>
      <c r="AF271" t="s">
        <v>74</v>
      </c>
      <c r="AG271">
        <v>51</v>
      </c>
      <c r="AH271">
        <v>4</v>
      </c>
      <c r="AI271">
        <v>4</v>
      </c>
      <c r="AJ271">
        <v>0</v>
      </c>
      <c r="AK271">
        <v>17</v>
      </c>
      <c r="AL271" t="s">
        <v>4959</v>
      </c>
      <c r="AM271" t="s">
        <v>435</v>
      </c>
      <c r="AN271" t="s">
        <v>4960</v>
      </c>
      <c r="AO271" t="s">
        <v>5531</v>
      </c>
      <c r="AP271" t="s">
        <v>5532</v>
      </c>
      <c r="AQ271" t="s">
        <v>74</v>
      </c>
      <c r="AR271" t="s">
        <v>5533</v>
      </c>
      <c r="AS271" t="s">
        <v>5534</v>
      </c>
      <c r="AT271" t="s">
        <v>2912</v>
      </c>
      <c r="AU271">
        <v>2020</v>
      </c>
      <c r="AV271">
        <v>213</v>
      </c>
      <c r="AW271" t="s">
        <v>74</v>
      </c>
      <c r="AX271" t="s">
        <v>74</v>
      </c>
      <c r="AY271" t="s">
        <v>74</v>
      </c>
      <c r="AZ271" t="s">
        <v>74</v>
      </c>
      <c r="BA271" t="s">
        <v>74</v>
      </c>
      <c r="BB271" t="s">
        <v>74</v>
      </c>
      <c r="BC271" t="s">
        <v>74</v>
      </c>
      <c r="BD271">
        <v>106140</v>
      </c>
      <c r="BE271" t="s">
        <v>5535</v>
      </c>
      <c r="BF271" t="str">
        <f>HYPERLINK("http://dx.doi.org/10.1016/j.jenvrad.2019.106140","http://dx.doi.org/10.1016/j.jenvrad.2019.106140")</f>
        <v>http://dx.doi.org/10.1016/j.jenvrad.2019.106140</v>
      </c>
      <c r="BG271" t="s">
        <v>74</v>
      </c>
      <c r="BH271" t="s">
        <v>74</v>
      </c>
      <c r="BI271">
        <v>9</v>
      </c>
      <c r="BJ271" t="s">
        <v>1196</v>
      </c>
      <c r="BK271" t="s">
        <v>103</v>
      </c>
      <c r="BL271" t="s">
        <v>219</v>
      </c>
      <c r="BM271" t="s">
        <v>5536</v>
      </c>
      <c r="BN271">
        <v>31983449</v>
      </c>
      <c r="BO271" t="s">
        <v>74</v>
      </c>
      <c r="BP271" t="s">
        <v>74</v>
      </c>
      <c r="BQ271" t="s">
        <v>74</v>
      </c>
      <c r="BR271" t="s">
        <v>106</v>
      </c>
      <c r="BS271" t="s">
        <v>5537</v>
      </c>
      <c r="BT271" t="str">
        <f>HYPERLINK("https%3A%2F%2Fwww.webofscience.com%2Fwos%2Fwoscc%2Ffull-record%2FWOS:000510953200012","View Full Record in Web of Science")</f>
        <v>View Full Record in Web of Science</v>
      </c>
    </row>
    <row r="272" spans="1:72" x14ac:dyDescent="0.15">
      <c r="A272" t="s">
        <v>72</v>
      </c>
      <c r="B272" t="s">
        <v>5538</v>
      </c>
      <c r="C272" t="s">
        <v>74</v>
      </c>
      <c r="D272" t="s">
        <v>74</v>
      </c>
      <c r="E272" t="s">
        <v>74</v>
      </c>
      <c r="F272" t="s">
        <v>5539</v>
      </c>
      <c r="G272" t="s">
        <v>74</v>
      </c>
      <c r="H272" t="s">
        <v>74</v>
      </c>
      <c r="I272" t="s">
        <v>5540</v>
      </c>
      <c r="J272" t="s">
        <v>575</v>
      </c>
      <c r="K272" t="s">
        <v>74</v>
      </c>
      <c r="L272" t="s">
        <v>74</v>
      </c>
      <c r="M272" t="s">
        <v>78</v>
      </c>
      <c r="N272" t="s">
        <v>79</v>
      </c>
      <c r="O272" t="s">
        <v>74</v>
      </c>
      <c r="P272" t="s">
        <v>74</v>
      </c>
      <c r="Q272" t="s">
        <v>74</v>
      </c>
      <c r="R272" t="s">
        <v>74</v>
      </c>
      <c r="S272" t="s">
        <v>74</v>
      </c>
      <c r="T272" t="s">
        <v>5541</v>
      </c>
      <c r="U272" t="s">
        <v>5542</v>
      </c>
      <c r="V272" t="s">
        <v>5543</v>
      </c>
      <c r="W272" t="s">
        <v>5544</v>
      </c>
      <c r="X272" t="s">
        <v>5545</v>
      </c>
      <c r="Y272" t="s">
        <v>5546</v>
      </c>
      <c r="Z272" t="s">
        <v>5547</v>
      </c>
      <c r="AA272" t="s">
        <v>74</v>
      </c>
      <c r="AB272" t="s">
        <v>5548</v>
      </c>
      <c r="AC272" t="s">
        <v>5549</v>
      </c>
      <c r="AD272" t="s">
        <v>5550</v>
      </c>
      <c r="AE272" t="s">
        <v>5551</v>
      </c>
      <c r="AF272" t="s">
        <v>74</v>
      </c>
      <c r="AG272">
        <v>23</v>
      </c>
      <c r="AH272">
        <v>4</v>
      </c>
      <c r="AI272">
        <v>4</v>
      </c>
      <c r="AJ272">
        <v>1</v>
      </c>
      <c r="AK272">
        <v>10</v>
      </c>
      <c r="AL272" t="s">
        <v>289</v>
      </c>
      <c r="AM272" t="s">
        <v>290</v>
      </c>
      <c r="AN272" t="s">
        <v>291</v>
      </c>
      <c r="AO272" t="s">
        <v>588</v>
      </c>
      <c r="AP272" t="s">
        <v>589</v>
      </c>
      <c r="AQ272" t="s">
        <v>74</v>
      </c>
      <c r="AR272" t="s">
        <v>590</v>
      </c>
      <c r="AS272" t="s">
        <v>591</v>
      </c>
      <c r="AT272" t="s">
        <v>2912</v>
      </c>
      <c r="AU272">
        <v>2020</v>
      </c>
      <c r="AV272">
        <v>223</v>
      </c>
      <c r="AW272" t="s">
        <v>74</v>
      </c>
      <c r="AX272" t="s">
        <v>74</v>
      </c>
      <c r="AY272" t="s">
        <v>74</v>
      </c>
      <c r="AZ272" t="s">
        <v>74</v>
      </c>
      <c r="BA272" t="s">
        <v>74</v>
      </c>
      <c r="BB272" t="s">
        <v>74</v>
      </c>
      <c r="BC272" t="s">
        <v>74</v>
      </c>
      <c r="BD272">
        <v>105436</v>
      </c>
      <c r="BE272" t="s">
        <v>5552</v>
      </c>
      <c r="BF272" t="str">
        <f>HYPERLINK("http://dx.doi.org/10.1016/j.fishres.2019.105436","http://dx.doi.org/10.1016/j.fishres.2019.105436")</f>
        <v>http://dx.doi.org/10.1016/j.fishres.2019.105436</v>
      </c>
      <c r="BG272" t="s">
        <v>74</v>
      </c>
      <c r="BH272" t="s">
        <v>74</v>
      </c>
      <c r="BI272">
        <v>7</v>
      </c>
      <c r="BJ272" t="s">
        <v>593</v>
      </c>
      <c r="BK272" t="s">
        <v>1149</v>
      </c>
      <c r="BL272" t="s">
        <v>593</v>
      </c>
      <c r="BM272" t="s">
        <v>5553</v>
      </c>
      <c r="BN272" t="s">
        <v>74</v>
      </c>
      <c r="BO272" t="s">
        <v>74</v>
      </c>
      <c r="BP272" t="s">
        <v>74</v>
      </c>
      <c r="BQ272" t="s">
        <v>74</v>
      </c>
      <c r="BR272" t="s">
        <v>106</v>
      </c>
      <c r="BS272" t="s">
        <v>5554</v>
      </c>
      <c r="BT272" t="str">
        <f>HYPERLINK("https%3A%2F%2Fwww.webofscience.com%2Fwos%2Fwoscc%2Ffull-record%2FWOS:000509622800005","View Full Record in Web of Science")</f>
        <v>View Full Record in Web of Science</v>
      </c>
    </row>
    <row r="273" spans="1:72" x14ac:dyDescent="0.15">
      <c r="A273" t="s">
        <v>72</v>
      </c>
      <c r="B273" t="s">
        <v>5555</v>
      </c>
      <c r="C273" t="s">
        <v>74</v>
      </c>
      <c r="D273" t="s">
        <v>74</v>
      </c>
      <c r="E273" t="s">
        <v>74</v>
      </c>
      <c r="F273" t="s">
        <v>5556</v>
      </c>
      <c r="G273" t="s">
        <v>74</v>
      </c>
      <c r="H273" t="s">
        <v>74</v>
      </c>
      <c r="I273" t="s">
        <v>5557</v>
      </c>
      <c r="J273" t="s">
        <v>575</v>
      </c>
      <c r="K273" t="s">
        <v>74</v>
      </c>
      <c r="L273" t="s">
        <v>74</v>
      </c>
      <c r="M273" t="s">
        <v>78</v>
      </c>
      <c r="N273" t="s">
        <v>79</v>
      </c>
      <c r="O273" t="s">
        <v>74</v>
      </c>
      <c r="P273" t="s">
        <v>74</v>
      </c>
      <c r="Q273" t="s">
        <v>74</v>
      </c>
      <c r="R273" t="s">
        <v>74</v>
      </c>
      <c r="S273" t="s">
        <v>74</v>
      </c>
      <c r="T273" t="s">
        <v>5558</v>
      </c>
      <c r="U273" t="s">
        <v>5559</v>
      </c>
      <c r="V273" t="s">
        <v>5560</v>
      </c>
      <c r="W273" t="s">
        <v>5561</v>
      </c>
      <c r="X273" t="s">
        <v>5562</v>
      </c>
      <c r="Y273" t="s">
        <v>5563</v>
      </c>
      <c r="Z273" t="s">
        <v>5564</v>
      </c>
      <c r="AA273" t="s">
        <v>5565</v>
      </c>
      <c r="AB273" t="s">
        <v>5566</v>
      </c>
      <c r="AC273" t="s">
        <v>5567</v>
      </c>
      <c r="AD273" t="s">
        <v>5568</v>
      </c>
      <c r="AE273" t="s">
        <v>5569</v>
      </c>
      <c r="AF273" t="s">
        <v>74</v>
      </c>
      <c r="AG273">
        <v>47</v>
      </c>
      <c r="AH273">
        <v>7</v>
      </c>
      <c r="AI273">
        <v>9</v>
      </c>
      <c r="AJ273">
        <v>0</v>
      </c>
      <c r="AK273">
        <v>19</v>
      </c>
      <c r="AL273" t="s">
        <v>289</v>
      </c>
      <c r="AM273" t="s">
        <v>290</v>
      </c>
      <c r="AN273" t="s">
        <v>291</v>
      </c>
      <c r="AO273" t="s">
        <v>588</v>
      </c>
      <c r="AP273" t="s">
        <v>589</v>
      </c>
      <c r="AQ273" t="s">
        <v>74</v>
      </c>
      <c r="AR273" t="s">
        <v>590</v>
      </c>
      <c r="AS273" t="s">
        <v>591</v>
      </c>
      <c r="AT273" t="s">
        <v>2912</v>
      </c>
      <c r="AU273">
        <v>2020</v>
      </c>
      <c r="AV273">
        <v>223</v>
      </c>
      <c r="AW273" t="s">
        <v>74</v>
      </c>
      <c r="AX273" t="s">
        <v>74</v>
      </c>
      <c r="AY273" t="s">
        <v>74</v>
      </c>
      <c r="AZ273" t="s">
        <v>74</v>
      </c>
      <c r="BA273" t="s">
        <v>74</v>
      </c>
      <c r="BB273" t="s">
        <v>74</v>
      </c>
      <c r="BC273" t="s">
        <v>74</v>
      </c>
      <c r="BD273">
        <v>105437</v>
      </c>
      <c r="BE273" t="s">
        <v>5570</v>
      </c>
      <c r="BF273" t="str">
        <f>HYPERLINK("http://dx.doi.org/10.1016/j.fishres.2019.105437","http://dx.doi.org/10.1016/j.fishres.2019.105437")</f>
        <v>http://dx.doi.org/10.1016/j.fishres.2019.105437</v>
      </c>
      <c r="BG273" t="s">
        <v>74</v>
      </c>
      <c r="BH273" t="s">
        <v>74</v>
      </c>
      <c r="BI273">
        <v>10</v>
      </c>
      <c r="BJ273" t="s">
        <v>593</v>
      </c>
      <c r="BK273" t="s">
        <v>103</v>
      </c>
      <c r="BL273" t="s">
        <v>593</v>
      </c>
      <c r="BM273" t="s">
        <v>5553</v>
      </c>
      <c r="BN273" t="s">
        <v>74</v>
      </c>
      <c r="BO273" t="s">
        <v>193</v>
      </c>
      <c r="BP273" t="s">
        <v>74</v>
      </c>
      <c r="BQ273" t="s">
        <v>74</v>
      </c>
      <c r="BR273" t="s">
        <v>106</v>
      </c>
      <c r="BS273" t="s">
        <v>5571</v>
      </c>
      <c r="BT273" t="str">
        <f>HYPERLINK("https%3A%2F%2Fwww.webofscience.com%2Fwos%2Fwoscc%2Ffull-record%2FWOS:000509622800011","View Full Record in Web of Science")</f>
        <v>View Full Record in Web of Science</v>
      </c>
    </row>
    <row r="274" spans="1:72" x14ac:dyDescent="0.15">
      <c r="A274" t="s">
        <v>72</v>
      </c>
      <c r="B274" t="s">
        <v>5572</v>
      </c>
      <c r="C274" t="s">
        <v>74</v>
      </c>
      <c r="D274" t="s">
        <v>74</v>
      </c>
      <c r="E274" t="s">
        <v>74</v>
      </c>
      <c r="F274" t="s">
        <v>5573</v>
      </c>
      <c r="G274" t="s">
        <v>74</v>
      </c>
      <c r="H274" t="s">
        <v>74</v>
      </c>
      <c r="I274" t="s">
        <v>5574</v>
      </c>
      <c r="J274" t="s">
        <v>5575</v>
      </c>
      <c r="K274" t="s">
        <v>74</v>
      </c>
      <c r="L274" t="s">
        <v>74</v>
      </c>
      <c r="M274" t="s">
        <v>78</v>
      </c>
      <c r="N274" t="s">
        <v>79</v>
      </c>
      <c r="O274" t="s">
        <v>74</v>
      </c>
      <c r="P274" t="s">
        <v>74</v>
      </c>
      <c r="Q274" t="s">
        <v>74</v>
      </c>
      <c r="R274" t="s">
        <v>74</v>
      </c>
      <c r="S274" t="s">
        <v>74</v>
      </c>
      <c r="T274" t="s">
        <v>5576</v>
      </c>
      <c r="U274" t="s">
        <v>5577</v>
      </c>
      <c r="V274" t="s">
        <v>5578</v>
      </c>
      <c r="W274" t="s">
        <v>5579</v>
      </c>
      <c r="X274" t="s">
        <v>5580</v>
      </c>
      <c r="Y274" t="s">
        <v>5581</v>
      </c>
      <c r="Z274" t="s">
        <v>5582</v>
      </c>
      <c r="AA274" t="s">
        <v>74</v>
      </c>
      <c r="AB274" t="s">
        <v>74</v>
      </c>
      <c r="AC274" t="s">
        <v>5583</v>
      </c>
      <c r="AD274" t="s">
        <v>5584</v>
      </c>
      <c r="AE274" t="s">
        <v>5585</v>
      </c>
      <c r="AF274" t="s">
        <v>74</v>
      </c>
      <c r="AG274">
        <v>48</v>
      </c>
      <c r="AH274">
        <v>4</v>
      </c>
      <c r="AI274">
        <v>5</v>
      </c>
      <c r="AJ274">
        <v>2</v>
      </c>
      <c r="AK274">
        <v>31</v>
      </c>
      <c r="AL274" t="s">
        <v>5586</v>
      </c>
      <c r="AM274" t="s">
        <v>5587</v>
      </c>
      <c r="AN274" t="s">
        <v>5588</v>
      </c>
      <c r="AO274" t="s">
        <v>5589</v>
      </c>
      <c r="AP274" t="s">
        <v>5590</v>
      </c>
      <c r="AQ274" t="s">
        <v>74</v>
      </c>
      <c r="AR274" t="s">
        <v>5591</v>
      </c>
      <c r="AS274" t="s">
        <v>5592</v>
      </c>
      <c r="AT274" t="s">
        <v>2912</v>
      </c>
      <c r="AU274">
        <v>2020</v>
      </c>
      <c r="AV274">
        <v>167</v>
      </c>
      <c r="AW274" t="s">
        <v>74</v>
      </c>
      <c r="AX274" t="s">
        <v>74</v>
      </c>
      <c r="AY274" t="s">
        <v>74</v>
      </c>
      <c r="AZ274" t="s">
        <v>74</v>
      </c>
      <c r="BA274" t="s">
        <v>74</v>
      </c>
      <c r="BB274" t="s">
        <v>74</v>
      </c>
      <c r="BC274" t="s">
        <v>74</v>
      </c>
      <c r="BD274">
        <v>105518</v>
      </c>
      <c r="BE274" t="s">
        <v>5593</v>
      </c>
      <c r="BF274" t="str">
        <f>HYPERLINK("http://dx.doi.org/10.1016/j.pep.2019.105518","http://dx.doi.org/10.1016/j.pep.2019.105518")</f>
        <v>http://dx.doi.org/10.1016/j.pep.2019.105518</v>
      </c>
      <c r="BG274" t="s">
        <v>74</v>
      </c>
      <c r="BH274" t="s">
        <v>74</v>
      </c>
      <c r="BI274">
        <v>7</v>
      </c>
      <c r="BJ274" t="s">
        <v>5594</v>
      </c>
      <c r="BK274" t="s">
        <v>103</v>
      </c>
      <c r="BL274" t="s">
        <v>5595</v>
      </c>
      <c r="BM274" t="s">
        <v>5596</v>
      </c>
      <c r="BN274">
        <v>31669543</v>
      </c>
      <c r="BO274" t="s">
        <v>74</v>
      </c>
      <c r="BP274" t="s">
        <v>74</v>
      </c>
      <c r="BQ274" t="s">
        <v>74</v>
      </c>
      <c r="BR274" t="s">
        <v>106</v>
      </c>
      <c r="BS274" t="s">
        <v>5597</v>
      </c>
      <c r="BT274" t="str">
        <f>HYPERLINK("https%3A%2F%2Fwww.webofscience.com%2Fwos%2Fwoscc%2Ffull-record%2FWOS:000509423800005","View Full Record in Web of Science")</f>
        <v>View Full Record in Web of Science</v>
      </c>
    </row>
    <row r="275" spans="1:72" x14ac:dyDescent="0.15">
      <c r="A275" t="s">
        <v>72</v>
      </c>
      <c r="B275" t="s">
        <v>5598</v>
      </c>
      <c r="C275" t="s">
        <v>74</v>
      </c>
      <c r="D275" t="s">
        <v>74</v>
      </c>
      <c r="E275" t="s">
        <v>74</v>
      </c>
      <c r="F275" t="s">
        <v>5599</v>
      </c>
      <c r="G275" t="s">
        <v>74</v>
      </c>
      <c r="H275" t="s">
        <v>74</v>
      </c>
      <c r="I275" t="s">
        <v>5600</v>
      </c>
      <c r="J275" t="s">
        <v>5601</v>
      </c>
      <c r="K275" t="s">
        <v>74</v>
      </c>
      <c r="L275" t="s">
        <v>74</v>
      </c>
      <c r="M275" t="s">
        <v>78</v>
      </c>
      <c r="N275" t="s">
        <v>79</v>
      </c>
      <c r="O275" t="s">
        <v>74</v>
      </c>
      <c r="P275" t="s">
        <v>74</v>
      </c>
      <c r="Q275" t="s">
        <v>74</v>
      </c>
      <c r="R275" t="s">
        <v>74</v>
      </c>
      <c r="S275" t="s">
        <v>74</v>
      </c>
      <c r="T275" t="s">
        <v>5602</v>
      </c>
      <c r="U275" t="s">
        <v>5603</v>
      </c>
      <c r="V275" t="s">
        <v>5604</v>
      </c>
      <c r="W275" t="s">
        <v>5605</v>
      </c>
      <c r="X275" t="s">
        <v>5606</v>
      </c>
      <c r="Y275" t="s">
        <v>5607</v>
      </c>
      <c r="Z275" t="s">
        <v>5608</v>
      </c>
      <c r="AA275" t="s">
        <v>5609</v>
      </c>
      <c r="AB275" t="s">
        <v>5610</v>
      </c>
      <c r="AC275" t="s">
        <v>5611</v>
      </c>
      <c r="AD275" t="s">
        <v>5611</v>
      </c>
      <c r="AE275" t="s">
        <v>5612</v>
      </c>
      <c r="AF275" t="s">
        <v>74</v>
      </c>
      <c r="AG275">
        <v>146</v>
      </c>
      <c r="AH275">
        <v>11</v>
      </c>
      <c r="AI275">
        <v>15</v>
      </c>
      <c r="AJ275">
        <v>2</v>
      </c>
      <c r="AK275">
        <v>48</v>
      </c>
      <c r="AL275" t="s">
        <v>289</v>
      </c>
      <c r="AM275" t="s">
        <v>290</v>
      </c>
      <c r="AN275" t="s">
        <v>291</v>
      </c>
      <c r="AO275" t="s">
        <v>5613</v>
      </c>
      <c r="AP275" t="s">
        <v>5614</v>
      </c>
      <c r="AQ275" t="s">
        <v>74</v>
      </c>
      <c r="AR275" t="s">
        <v>5615</v>
      </c>
      <c r="AS275" t="s">
        <v>5616</v>
      </c>
      <c r="AT275" t="s">
        <v>2912</v>
      </c>
      <c r="AU275">
        <v>2020</v>
      </c>
      <c r="AV275">
        <v>110</v>
      </c>
      <c r="AW275" t="s">
        <v>74</v>
      </c>
      <c r="AX275" t="s">
        <v>74</v>
      </c>
      <c r="AY275" t="s">
        <v>74</v>
      </c>
      <c r="AZ275" t="s">
        <v>74</v>
      </c>
      <c r="BA275" t="s">
        <v>74</v>
      </c>
      <c r="BB275" t="s">
        <v>74</v>
      </c>
      <c r="BC275" t="s">
        <v>74</v>
      </c>
      <c r="BD275">
        <v>105868</v>
      </c>
      <c r="BE275" t="s">
        <v>5617</v>
      </c>
      <c r="BF275" t="str">
        <f>HYPERLINK("http://dx.doi.org/10.1016/j.ecolind.2019.105868","http://dx.doi.org/10.1016/j.ecolind.2019.105868")</f>
        <v>http://dx.doi.org/10.1016/j.ecolind.2019.105868</v>
      </c>
      <c r="BG275" t="s">
        <v>74</v>
      </c>
      <c r="BH275" t="s">
        <v>74</v>
      </c>
      <c r="BI275">
        <v>11</v>
      </c>
      <c r="BJ275" t="s">
        <v>5618</v>
      </c>
      <c r="BK275" t="s">
        <v>103</v>
      </c>
      <c r="BL275" t="s">
        <v>131</v>
      </c>
      <c r="BM275" t="s">
        <v>5619</v>
      </c>
      <c r="BN275" t="s">
        <v>74</v>
      </c>
      <c r="BO275" t="s">
        <v>74</v>
      </c>
      <c r="BP275" t="s">
        <v>74</v>
      </c>
      <c r="BQ275" t="s">
        <v>74</v>
      </c>
      <c r="BR275" t="s">
        <v>106</v>
      </c>
      <c r="BS275" t="s">
        <v>5620</v>
      </c>
      <c r="BT275" t="str">
        <f>HYPERLINK("https%3A%2F%2Fwww.webofscience.com%2Fwos%2Fwoscc%2Ffull-record%2FWOS:000507381800032","View Full Record in Web of Science")</f>
        <v>View Full Record in Web of Science</v>
      </c>
    </row>
    <row r="276" spans="1:72" x14ac:dyDescent="0.15">
      <c r="A276" t="s">
        <v>72</v>
      </c>
      <c r="B276" t="s">
        <v>5621</v>
      </c>
      <c r="C276" t="s">
        <v>74</v>
      </c>
      <c r="D276" t="s">
        <v>74</v>
      </c>
      <c r="E276" t="s">
        <v>74</v>
      </c>
      <c r="F276" t="s">
        <v>5622</v>
      </c>
      <c r="G276" t="s">
        <v>74</v>
      </c>
      <c r="H276" t="s">
        <v>74</v>
      </c>
      <c r="I276" t="s">
        <v>5623</v>
      </c>
      <c r="J276" t="s">
        <v>1179</v>
      </c>
      <c r="K276" t="s">
        <v>74</v>
      </c>
      <c r="L276" t="s">
        <v>74</v>
      </c>
      <c r="M276" t="s">
        <v>78</v>
      </c>
      <c r="N276" t="s">
        <v>79</v>
      </c>
      <c r="O276" t="s">
        <v>74</v>
      </c>
      <c r="P276" t="s">
        <v>74</v>
      </c>
      <c r="Q276" t="s">
        <v>74</v>
      </c>
      <c r="R276" t="s">
        <v>74</v>
      </c>
      <c r="S276" t="s">
        <v>74</v>
      </c>
      <c r="T276" t="s">
        <v>5624</v>
      </c>
      <c r="U276" t="s">
        <v>5625</v>
      </c>
      <c r="V276" t="s">
        <v>5626</v>
      </c>
      <c r="W276" t="s">
        <v>5627</v>
      </c>
      <c r="X276" t="s">
        <v>4771</v>
      </c>
      <c r="Y276" t="s">
        <v>5628</v>
      </c>
      <c r="Z276" t="s">
        <v>5629</v>
      </c>
      <c r="AA276" t="s">
        <v>5630</v>
      </c>
      <c r="AB276" t="s">
        <v>5631</v>
      </c>
      <c r="AC276" t="s">
        <v>5632</v>
      </c>
      <c r="AD276" t="s">
        <v>74</v>
      </c>
      <c r="AE276" t="s">
        <v>5633</v>
      </c>
      <c r="AF276" t="s">
        <v>74</v>
      </c>
      <c r="AG276">
        <v>96</v>
      </c>
      <c r="AH276">
        <v>17</v>
      </c>
      <c r="AI276">
        <v>17</v>
      </c>
      <c r="AJ276">
        <v>1</v>
      </c>
      <c r="AK276">
        <v>24</v>
      </c>
      <c r="AL276" t="s">
        <v>289</v>
      </c>
      <c r="AM276" t="s">
        <v>290</v>
      </c>
      <c r="AN276" t="s">
        <v>291</v>
      </c>
      <c r="AO276" t="s">
        <v>1191</v>
      </c>
      <c r="AP276" t="s">
        <v>1192</v>
      </c>
      <c r="AQ276" t="s">
        <v>74</v>
      </c>
      <c r="AR276" t="s">
        <v>1193</v>
      </c>
      <c r="AS276" t="s">
        <v>1194</v>
      </c>
      <c r="AT276" t="s">
        <v>4260</v>
      </c>
      <c r="AU276">
        <v>2020</v>
      </c>
      <c r="AV276">
        <v>706</v>
      </c>
      <c r="AW276" t="s">
        <v>74</v>
      </c>
      <c r="AX276" t="s">
        <v>74</v>
      </c>
      <c r="AY276" t="s">
        <v>74</v>
      </c>
      <c r="AZ276" t="s">
        <v>74</v>
      </c>
      <c r="BA276" t="s">
        <v>74</v>
      </c>
      <c r="BB276" t="s">
        <v>74</v>
      </c>
      <c r="BC276" t="s">
        <v>74</v>
      </c>
      <c r="BD276">
        <v>135822</v>
      </c>
      <c r="BE276" t="s">
        <v>5634</v>
      </c>
      <c r="BF276" t="str">
        <f>HYPERLINK("http://dx.doi.org/10.1016/j.scitotenv.2019.135822","http://dx.doi.org/10.1016/j.scitotenv.2019.135822")</f>
        <v>http://dx.doi.org/10.1016/j.scitotenv.2019.135822</v>
      </c>
      <c r="BG276" t="s">
        <v>74</v>
      </c>
      <c r="BH276" t="s">
        <v>74</v>
      </c>
      <c r="BI276">
        <v>14</v>
      </c>
      <c r="BJ276" t="s">
        <v>1196</v>
      </c>
      <c r="BK276" t="s">
        <v>103</v>
      </c>
      <c r="BL276" t="s">
        <v>219</v>
      </c>
      <c r="BM276" t="s">
        <v>5635</v>
      </c>
      <c r="BN276">
        <v>31846880</v>
      </c>
      <c r="BO276" t="s">
        <v>74</v>
      </c>
      <c r="BP276" t="s">
        <v>74</v>
      </c>
      <c r="BQ276" t="s">
        <v>74</v>
      </c>
      <c r="BR276" t="s">
        <v>106</v>
      </c>
      <c r="BS276" t="s">
        <v>5636</v>
      </c>
      <c r="BT276" t="str">
        <f>HYPERLINK("https%3A%2F%2Fwww.webofscience.com%2Fwos%2Fwoscc%2Ffull-record%2FWOS:000506376300069","View Full Record in Web of Science")</f>
        <v>View Full Record in Web of Science</v>
      </c>
    </row>
    <row r="277" spans="1:72" x14ac:dyDescent="0.15">
      <c r="A277" t="s">
        <v>72</v>
      </c>
      <c r="B277" t="s">
        <v>5637</v>
      </c>
      <c r="C277" t="s">
        <v>74</v>
      </c>
      <c r="D277" t="s">
        <v>74</v>
      </c>
      <c r="E277" t="s">
        <v>74</v>
      </c>
      <c r="F277" t="s">
        <v>5638</v>
      </c>
      <c r="G277" t="s">
        <v>74</v>
      </c>
      <c r="H277" t="s">
        <v>74</v>
      </c>
      <c r="I277" t="s">
        <v>5639</v>
      </c>
      <c r="J277" t="s">
        <v>842</v>
      </c>
      <c r="K277" t="s">
        <v>74</v>
      </c>
      <c r="L277" t="s">
        <v>74</v>
      </c>
      <c r="M277" t="s">
        <v>78</v>
      </c>
      <c r="N277" t="s">
        <v>79</v>
      </c>
      <c r="O277" t="s">
        <v>74</v>
      </c>
      <c r="P277" t="s">
        <v>74</v>
      </c>
      <c r="Q277" t="s">
        <v>74</v>
      </c>
      <c r="R277" t="s">
        <v>74</v>
      </c>
      <c r="S277" t="s">
        <v>74</v>
      </c>
      <c r="T277" t="s">
        <v>74</v>
      </c>
      <c r="U277" t="s">
        <v>5640</v>
      </c>
      <c r="V277" t="s">
        <v>5641</v>
      </c>
      <c r="W277" t="s">
        <v>5642</v>
      </c>
      <c r="X277" t="s">
        <v>5643</v>
      </c>
      <c r="Y277" t="s">
        <v>5644</v>
      </c>
      <c r="Z277" t="s">
        <v>5645</v>
      </c>
      <c r="AA277" t="s">
        <v>5646</v>
      </c>
      <c r="AB277" t="s">
        <v>5647</v>
      </c>
      <c r="AC277" t="s">
        <v>5648</v>
      </c>
      <c r="AD277" t="s">
        <v>5649</v>
      </c>
      <c r="AE277" t="s">
        <v>5650</v>
      </c>
      <c r="AF277" t="s">
        <v>74</v>
      </c>
      <c r="AG277">
        <v>34</v>
      </c>
      <c r="AH277">
        <v>16</v>
      </c>
      <c r="AI277">
        <v>17</v>
      </c>
      <c r="AJ277">
        <v>11</v>
      </c>
      <c r="AK277">
        <v>39</v>
      </c>
      <c r="AL277" t="s">
        <v>855</v>
      </c>
      <c r="AM277" t="s">
        <v>266</v>
      </c>
      <c r="AN277" t="s">
        <v>856</v>
      </c>
      <c r="AO277" t="s">
        <v>857</v>
      </c>
      <c r="AP277" t="s">
        <v>858</v>
      </c>
      <c r="AQ277" t="s">
        <v>74</v>
      </c>
      <c r="AR277" t="s">
        <v>859</v>
      </c>
      <c r="AS277" t="s">
        <v>860</v>
      </c>
      <c r="AT277" t="s">
        <v>5651</v>
      </c>
      <c r="AU277">
        <v>2020</v>
      </c>
      <c r="AV277">
        <v>47</v>
      </c>
      <c r="AW277">
        <v>4</v>
      </c>
      <c r="AX277" t="s">
        <v>74</v>
      </c>
      <c r="AY277" t="s">
        <v>74</v>
      </c>
      <c r="AZ277" t="s">
        <v>74</v>
      </c>
      <c r="BA277" t="s">
        <v>74</v>
      </c>
      <c r="BB277" t="s">
        <v>74</v>
      </c>
      <c r="BC277" t="s">
        <v>74</v>
      </c>
      <c r="BD277" t="s">
        <v>5652</v>
      </c>
      <c r="BE277" t="s">
        <v>5653</v>
      </c>
      <c r="BF277" t="str">
        <f>HYPERLINK("http://dx.doi.org/10.1029/2019GL086563","http://dx.doi.org/10.1029/2019GL086563")</f>
        <v>http://dx.doi.org/10.1029/2019GL086563</v>
      </c>
      <c r="BG277" t="s">
        <v>74</v>
      </c>
      <c r="BH277" t="s">
        <v>74</v>
      </c>
      <c r="BI277">
        <v>11</v>
      </c>
      <c r="BJ277" t="s">
        <v>246</v>
      </c>
      <c r="BK277" t="s">
        <v>103</v>
      </c>
      <c r="BL277" t="s">
        <v>247</v>
      </c>
      <c r="BM277" t="s">
        <v>5654</v>
      </c>
      <c r="BN277" t="s">
        <v>74</v>
      </c>
      <c r="BO277" t="s">
        <v>517</v>
      </c>
      <c r="BP277" t="s">
        <v>74</v>
      </c>
      <c r="BQ277" t="s">
        <v>74</v>
      </c>
      <c r="BR277" t="s">
        <v>106</v>
      </c>
      <c r="BS277" t="s">
        <v>5655</v>
      </c>
      <c r="BT277" t="str">
        <f>HYPERLINK("https%3A%2F%2Fwww.webofscience.com%2Fwos%2Fwoscc%2Ffull-record%2FWOS:000529120100055","View Full Record in Web of Science")</f>
        <v>View Full Record in Web of Science</v>
      </c>
    </row>
    <row r="278" spans="1:72" x14ac:dyDescent="0.15">
      <c r="A278" t="s">
        <v>72</v>
      </c>
      <c r="B278" t="s">
        <v>5656</v>
      </c>
      <c r="C278" t="s">
        <v>74</v>
      </c>
      <c r="D278" t="s">
        <v>74</v>
      </c>
      <c r="E278" t="s">
        <v>74</v>
      </c>
      <c r="F278" t="s">
        <v>5657</v>
      </c>
      <c r="G278" t="s">
        <v>74</v>
      </c>
      <c r="H278" t="s">
        <v>74</v>
      </c>
      <c r="I278" t="s">
        <v>5658</v>
      </c>
      <c r="J278" t="s">
        <v>842</v>
      </c>
      <c r="K278" t="s">
        <v>74</v>
      </c>
      <c r="L278" t="s">
        <v>74</v>
      </c>
      <c r="M278" t="s">
        <v>78</v>
      </c>
      <c r="N278" t="s">
        <v>79</v>
      </c>
      <c r="O278" t="s">
        <v>74</v>
      </c>
      <c r="P278" t="s">
        <v>74</v>
      </c>
      <c r="Q278" t="s">
        <v>74</v>
      </c>
      <c r="R278" t="s">
        <v>74</v>
      </c>
      <c r="S278" t="s">
        <v>74</v>
      </c>
      <c r="T278" t="s">
        <v>74</v>
      </c>
      <c r="U278" t="s">
        <v>5659</v>
      </c>
      <c r="V278" t="s">
        <v>5660</v>
      </c>
      <c r="W278" t="s">
        <v>5661</v>
      </c>
      <c r="X278" t="s">
        <v>5662</v>
      </c>
      <c r="Y278" t="s">
        <v>5663</v>
      </c>
      <c r="Z278" t="s">
        <v>5664</v>
      </c>
      <c r="AA278" t="s">
        <v>5665</v>
      </c>
      <c r="AB278" t="s">
        <v>5666</v>
      </c>
      <c r="AC278" t="s">
        <v>5667</v>
      </c>
      <c r="AD278" t="s">
        <v>5668</v>
      </c>
      <c r="AE278" t="s">
        <v>5669</v>
      </c>
      <c r="AF278" t="s">
        <v>74</v>
      </c>
      <c r="AG278">
        <v>39</v>
      </c>
      <c r="AH278">
        <v>17</v>
      </c>
      <c r="AI278">
        <v>17</v>
      </c>
      <c r="AJ278">
        <v>0</v>
      </c>
      <c r="AK278">
        <v>8</v>
      </c>
      <c r="AL278" t="s">
        <v>855</v>
      </c>
      <c r="AM278" t="s">
        <v>266</v>
      </c>
      <c r="AN278" t="s">
        <v>856</v>
      </c>
      <c r="AO278" t="s">
        <v>857</v>
      </c>
      <c r="AP278" t="s">
        <v>858</v>
      </c>
      <c r="AQ278" t="s">
        <v>74</v>
      </c>
      <c r="AR278" t="s">
        <v>859</v>
      </c>
      <c r="AS278" t="s">
        <v>860</v>
      </c>
      <c r="AT278" t="s">
        <v>5651</v>
      </c>
      <c r="AU278">
        <v>2020</v>
      </c>
      <c r="AV278">
        <v>47</v>
      </c>
      <c r="AW278">
        <v>4</v>
      </c>
      <c r="AX278" t="s">
        <v>74</v>
      </c>
      <c r="AY278" t="s">
        <v>74</v>
      </c>
      <c r="AZ278" t="s">
        <v>74</v>
      </c>
      <c r="BA278" t="s">
        <v>74</v>
      </c>
      <c r="BB278" t="s">
        <v>74</v>
      </c>
      <c r="BC278" t="s">
        <v>74</v>
      </c>
      <c r="BD278" t="s">
        <v>5670</v>
      </c>
      <c r="BE278" t="s">
        <v>5671</v>
      </c>
      <c r="BF278" t="str">
        <f>HYPERLINK("http://dx.doi.org/10.1029/2020GL087014","http://dx.doi.org/10.1029/2020GL087014")</f>
        <v>http://dx.doi.org/10.1029/2020GL087014</v>
      </c>
      <c r="BG278" t="s">
        <v>74</v>
      </c>
      <c r="BH278" t="s">
        <v>74</v>
      </c>
      <c r="BI278">
        <v>9</v>
      </c>
      <c r="BJ278" t="s">
        <v>246</v>
      </c>
      <c r="BK278" t="s">
        <v>103</v>
      </c>
      <c r="BL278" t="s">
        <v>247</v>
      </c>
      <c r="BM278" t="s">
        <v>5654</v>
      </c>
      <c r="BN278" t="s">
        <v>74</v>
      </c>
      <c r="BO278" t="s">
        <v>5672</v>
      </c>
      <c r="BP278" t="s">
        <v>74</v>
      </c>
      <c r="BQ278" t="s">
        <v>74</v>
      </c>
      <c r="BR278" t="s">
        <v>106</v>
      </c>
      <c r="BS278" t="s">
        <v>5673</v>
      </c>
      <c r="BT278" t="str">
        <f>HYPERLINK("https%3A%2F%2Fwww.webofscience.com%2Fwos%2Fwoscc%2Ffull-record%2FWOS:000529120100090","View Full Record in Web of Science")</f>
        <v>View Full Record in Web of Science</v>
      </c>
    </row>
    <row r="279" spans="1:72" x14ac:dyDescent="0.15">
      <c r="A279" t="s">
        <v>72</v>
      </c>
      <c r="B279" t="s">
        <v>5674</v>
      </c>
      <c r="C279" t="s">
        <v>74</v>
      </c>
      <c r="D279" t="s">
        <v>74</v>
      </c>
      <c r="E279" t="s">
        <v>74</v>
      </c>
      <c r="F279" t="s">
        <v>5675</v>
      </c>
      <c r="G279" t="s">
        <v>74</v>
      </c>
      <c r="H279" t="s">
        <v>74</v>
      </c>
      <c r="I279" t="s">
        <v>5676</v>
      </c>
      <c r="J279" t="s">
        <v>842</v>
      </c>
      <c r="K279" t="s">
        <v>74</v>
      </c>
      <c r="L279" t="s">
        <v>74</v>
      </c>
      <c r="M279" t="s">
        <v>78</v>
      </c>
      <c r="N279" t="s">
        <v>79</v>
      </c>
      <c r="O279" t="s">
        <v>74</v>
      </c>
      <c r="P279" t="s">
        <v>74</v>
      </c>
      <c r="Q279" t="s">
        <v>74</v>
      </c>
      <c r="R279" t="s">
        <v>74</v>
      </c>
      <c r="S279" t="s">
        <v>74</v>
      </c>
      <c r="T279" t="s">
        <v>74</v>
      </c>
      <c r="U279" t="s">
        <v>5677</v>
      </c>
      <c r="V279" t="s">
        <v>5678</v>
      </c>
      <c r="W279" t="s">
        <v>5679</v>
      </c>
      <c r="X279" t="s">
        <v>5680</v>
      </c>
      <c r="Y279" t="s">
        <v>5681</v>
      </c>
      <c r="Z279" t="s">
        <v>5682</v>
      </c>
      <c r="AA279" t="s">
        <v>5683</v>
      </c>
      <c r="AB279" t="s">
        <v>5684</v>
      </c>
      <c r="AC279" t="s">
        <v>5685</v>
      </c>
      <c r="AD279" t="s">
        <v>5686</v>
      </c>
      <c r="AE279" t="s">
        <v>74</v>
      </c>
      <c r="AF279" t="s">
        <v>74</v>
      </c>
      <c r="AG279">
        <v>49</v>
      </c>
      <c r="AH279">
        <v>28</v>
      </c>
      <c r="AI279">
        <v>34</v>
      </c>
      <c r="AJ279">
        <v>1</v>
      </c>
      <c r="AK279">
        <v>9</v>
      </c>
      <c r="AL279" t="s">
        <v>855</v>
      </c>
      <c r="AM279" t="s">
        <v>266</v>
      </c>
      <c r="AN279" t="s">
        <v>856</v>
      </c>
      <c r="AO279" t="s">
        <v>857</v>
      </c>
      <c r="AP279" t="s">
        <v>858</v>
      </c>
      <c r="AQ279" t="s">
        <v>74</v>
      </c>
      <c r="AR279" t="s">
        <v>859</v>
      </c>
      <c r="AS279" t="s">
        <v>860</v>
      </c>
      <c r="AT279" t="s">
        <v>5651</v>
      </c>
      <c r="AU279">
        <v>2020</v>
      </c>
      <c r="AV279">
        <v>47</v>
      </c>
      <c r="AW279">
        <v>4</v>
      </c>
      <c r="AX279" t="s">
        <v>74</v>
      </c>
      <c r="AY279" t="s">
        <v>74</v>
      </c>
      <c r="AZ279" t="s">
        <v>74</v>
      </c>
      <c r="BA279" t="s">
        <v>74</v>
      </c>
      <c r="BB279" t="s">
        <v>74</v>
      </c>
      <c r="BC279" t="s">
        <v>74</v>
      </c>
      <c r="BD279" t="s">
        <v>5687</v>
      </c>
      <c r="BE279" t="s">
        <v>5688</v>
      </c>
      <c r="BF279" t="str">
        <f>HYPERLINK("http://dx.doi.org/10.1029/2019GL085591","http://dx.doi.org/10.1029/2019GL085591")</f>
        <v>http://dx.doi.org/10.1029/2019GL085591</v>
      </c>
      <c r="BG279" t="s">
        <v>74</v>
      </c>
      <c r="BH279" t="s">
        <v>74</v>
      </c>
      <c r="BI279">
        <v>9</v>
      </c>
      <c r="BJ279" t="s">
        <v>246</v>
      </c>
      <c r="BK279" t="s">
        <v>103</v>
      </c>
      <c r="BL279" t="s">
        <v>247</v>
      </c>
      <c r="BM279" t="s">
        <v>5654</v>
      </c>
      <c r="BN279" t="s">
        <v>74</v>
      </c>
      <c r="BO279" t="s">
        <v>175</v>
      </c>
      <c r="BP279" t="s">
        <v>74</v>
      </c>
      <c r="BQ279" t="s">
        <v>74</v>
      </c>
      <c r="BR279" t="s">
        <v>106</v>
      </c>
      <c r="BS279" t="s">
        <v>5689</v>
      </c>
      <c r="BT279" t="str">
        <f>HYPERLINK("https%3A%2F%2Fwww.webofscience.com%2Fwos%2Fwoscc%2Ffull-record%2FWOS:000529120100023","View Full Record in Web of Science")</f>
        <v>View Full Record in Web of Science</v>
      </c>
    </row>
    <row r="280" spans="1:72" x14ac:dyDescent="0.15">
      <c r="A280" t="s">
        <v>72</v>
      </c>
      <c r="B280" t="s">
        <v>5690</v>
      </c>
      <c r="C280" t="s">
        <v>74</v>
      </c>
      <c r="D280" t="s">
        <v>74</v>
      </c>
      <c r="E280" t="s">
        <v>74</v>
      </c>
      <c r="F280" t="s">
        <v>5691</v>
      </c>
      <c r="G280" t="s">
        <v>74</v>
      </c>
      <c r="H280" t="s">
        <v>74</v>
      </c>
      <c r="I280" t="s">
        <v>5692</v>
      </c>
      <c r="J280" t="s">
        <v>842</v>
      </c>
      <c r="K280" t="s">
        <v>74</v>
      </c>
      <c r="L280" t="s">
        <v>74</v>
      </c>
      <c r="M280" t="s">
        <v>78</v>
      </c>
      <c r="N280" t="s">
        <v>79</v>
      </c>
      <c r="O280" t="s">
        <v>74</v>
      </c>
      <c r="P280" t="s">
        <v>74</v>
      </c>
      <c r="Q280" t="s">
        <v>74</v>
      </c>
      <c r="R280" t="s">
        <v>74</v>
      </c>
      <c r="S280" t="s">
        <v>74</v>
      </c>
      <c r="T280" t="s">
        <v>74</v>
      </c>
      <c r="U280" t="s">
        <v>5693</v>
      </c>
      <c r="V280" t="s">
        <v>5694</v>
      </c>
      <c r="W280" t="s">
        <v>5695</v>
      </c>
      <c r="X280" t="s">
        <v>5696</v>
      </c>
      <c r="Y280" t="s">
        <v>5697</v>
      </c>
      <c r="Z280" t="s">
        <v>5698</v>
      </c>
      <c r="AA280" t="s">
        <v>5699</v>
      </c>
      <c r="AB280" t="s">
        <v>5700</v>
      </c>
      <c r="AC280" t="s">
        <v>5701</v>
      </c>
      <c r="AD280" t="s">
        <v>5702</v>
      </c>
      <c r="AE280" t="s">
        <v>5703</v>
      </c>
      <c r="AF280" t="s">
        <v>74</v>
      </c>
      <c r="AG280">
        <v>43</v>
      </c>
      <c r="AH280">
        <v>10</v>
      </c>
      <c r="AI280">
        <v>11</v>
      </c>
      <c r="AJ280">
        <v>1</v>
      </c>
      <c r="AK280">
        <v>11</v>
      </c>
      <c r="AL280" t="s">
        <v>855</v>
      </c>
      <c r="AM280" t="s">
        <v>266</v>
      </c>
      <c r="AN280" t="s">
        <v>856</v>
      </c>
      <c r="AO280" t="s">
        <v>857</v>
      </c>
      <c r="AP280" t="s">
        <v>858</v>
      </c>
      <c r="AQ280" t="s">
        <v>74</v>
      </c>
      <c r="AR280" t="s">
        <v>859</v>
      </c>
      <c r="AS280" t="s">
        <v>860</v>
      </c>
      <c r="AT280" t="s">
        <v>5651</v>
      </c>
      <c r="AU280">
        <v>2020</v>
      </c>
      <c r="AV280">
        <v>47</v>
      </c>
      <c r="AW280">
        <v>4</v>
      </c>
      <c r="AX280" t="s">
        <v>74</v>
      </c>
      <c r="AY280" t="s">
        <v>74</v>
      </c>
      <c r="AZ280" t="s">
        <v>74</v>
      </c>
      <c r="BA280" t="s">
        <v>74</v>
      </c>
      <c r="BB280" t="s">
        <v>74</v>
      </c>
      <c r="BC280" t="s">
        <v>74</v>
      </c>
      <c r="BD280" t="s">
        <v>5704</v>
      </c>
      <c r="BE280" t="s">
        <v>5705</v>
      </c>
      <c r="BF280" t="str">
        <f>HYPERLINK("http://dx.doi.org/10.1029/2019GL085667","http://dx.doi.org/10.1029/2019GL085667")</f>
        <v>http://dx.doi.org/10.1029/2019GL085667</v>
      </c>
      <c r="BG280" t="s">
        <v>74</v>
      </c>
      <c r="BH280" t="s">
        <v>74</v>
      </c>
      <c r="BI280">
        <v>9</v>
      </c>
      <c r="BJ280" t="s">
        <v>246</v>
      </c>
      <c r="BK280" t="s">
        <v>103</v>
      </c>
      <c r="BL280" t="s">
        <v>247</v>
      </c>
      <c r="BM280" t="s">
        <v>5654</v>
      </c>
      <c r="BN280" t="s">
        <v>74</v>
      </c>
      <c r="BO280" t="s">
        <v>74</v>
      </c>
      <c r="BP280" t="s">
        <v>74</v>
      </c>
      <c r="BQ280" t="s">
        <v>74</v>
      </c>
      <c r="BR280" t="s">
        <v>106</v>
      </c>
      <c r="BS280" t="s">
        <v>5706</v>
      </c>
      <c r="BT280" t="str">
        <f>HYPERLINK("https%3A%2F%2Fwww.webofscience.com%2Fwos%2Fwoscc%2Ffull-record%2FWOS:000529120100044","View Full Record in Web of Science")</f>
        <v>View Full Record in Web of Science</v>
      </c>
    </row>
    <row r="281" spans="1:72" x14ac:dyDescent="0.15">
      <c r="A281" t="s">
        <v>72</v>
      </c>
      <c r="B281" t="s">
        <v>5707</v>
      </c>
      <c r="C281" t="s">
        <v>74</v>
      </c>
      <c r="D281" t="s">
        <v>74</v>
      </c>
      <c r="E281" t="s">
        <v>74</v>
      </c>
      <c r="F281" t="s">
        <v>5708</v>
      </c>
      <c r="G281" t="s">
        <v>74</v>
      </c>
      <c r="H281" t="s">
        <v>74</v>
      </c>
      <c r="I281" t="s">
        <v>5709</v>
      </c>
      <c r="J281" t="s">
        <v>645</v>
      </c>
      <c r="K281" t="s">
        <v>74</v>
      </c>
      <c r="L281" t="s">
        <v>74</v>
      </c>
      <c r="M281" t="s">
        <v>78</v>
      </c>
      <c r="N281" t="s">
        <v>79</v>
      </c>
      <c r="O281" t="s">
        <v>74</v>
      </c>
      <c r="P281" t="s">
        <v>74</v>
      </c>
      <c r="Q281" t="s">
        <v>74</v>
      </c>
      <c r="R281" t="s">
        <v>74</v>
      </c>
      <c r="S281" t="s">
        <v>74</v>
      </c>
      <c r="T281" t="s">
        <v>5710</v>
      </c>
      <c r="U281" t="s">
        <v>5711</v>
      </c>
      <c r="V281" t="s">
        <v>5712</v>
      </c>
      <c r="W281" t="s">
        <v>5713</v>
      </c>
      <c r="X281" t="s">
        <v>5714</v>
      </c>
      <c r="Y281" t="s">
        <v>5715</v>
      </c>
      <c r="Z281" t="s">
        <v>5716</v>
      </c>
      <c r="AA281" t="s">
        <v>5717</v>
      </c>
      <c r="AB281" t="s">
        <v>5718</v>
      </c>
      <c r="AC281" t="s">
        <v>5719</v>
      </c>
      <c r="AD281" t="s">
        <v>5720</v>
      </c>
      <c r="AE281" t="s">
        <v>5721</v>
      </c>
      <c r="AF281" t="s">
        <v>74</v>
      </c>
      <c r="AG281">
        <v>115</v>
      </c>
      <c r="AH281">
        <v>14</v>
      </c>
      <c r="AI281">
        <v>14</v>
      </c>
      <c r="AJ281">
        <v>6</v>
      </c>
      <c r="AK281">
        <v>11</v>
      </c>
      <c r="AL281" t="s">
        <v>658</v>
      </c>
      <c r="AM281" t="s">
        <v>659</v>
      </c>
      <c r="AN281" t="s">
        <v>660</v>
      </c>
      <c r="AO281" t="s">
        <v>74</v>
      </c>
      <c r="AP281" t="s">
        <v>661</v>
      </c>
      <c r="AQ281" t="s">
        <v>74</v>
      </c>
      <c r="AR281" t="s">
        <v>662</v>
      </c>
      <c r="AS281" t="s">
        <v>663</v>
      </c>
      <c r="AT281" t="s">
        <v>5651</v>
      </c>
      <c r="AU281">
        <v>2020</v>
      </c>
      <c r="AV281">
        <v>11</v>
      </c>
      <c r="AW281" t="s">
        <v>74</v>
      </c>
      <c r="AX281" t="s">
        <v>74</v>
      </c>
      <c r="AY281" t="s">
        <v>74</v>
      </c>
      <c r="AZ281" t="s">
        <v>74</v>
      </c>
      <c r="BA281" t="s">
        <v>74</v>
      </c>
      <c r="BB281" t="s">
        <v>74</v>
      </c>
      <c r="BC281" t="s">
        <v>74</v>
      </c>
      <c r="BD281">
        <v>308</v>
      </c>
      <c r="BE281" t="s">
        <v>5722</v>
      </c>
      <c r="BF281" t="str">
        <f>HYPERLINK("http://dx.doi.org/10.3389/fmicb.2020.00308","http://dx.doi.org/10.3389/fmicb.2020.00308")</f>
        <v>http://dx.doi.org/10.3389/fmicb.2020.00308</v>
      </c>
      <c r="BG281" t="s">
        <v>74</v>
      </c>
      <c r="BH281" t="s">
        <v>74</v>
      </c>
      <c r="BI281">
        <v>18</v>
      </c>
      <c r="BJ281" t="s">
        <v>273</v>
      </c>
      <c r="BK281" t="s">
        <v>103</v>
      </c>
      <c r="BL281" t="s">
        <v>273</v>
      </c>
      <c r="BM281" t="s">
        <v>5723</v>
      </c>
      <c r="BN281">
        <v>32184772</v>
      </c>
      <c r="BO281" t="s">
        <v>1359</v>
      </c>
      <c r="BP281" t="s">
        <v>74</v>
      </c>
      <c r="BQ281" t="s">
        <v>74</v>
      </c>
      <c r="BR281" t="s">
        <v>106</v>
      </c>
      <c r="BS281" t="s">
        <v>5724</v>
      </c>
      <c r="BT281" t="str">
        <f>HYPERLINK("https%3A%2F%2Fwww.webofscience.com%2Fwos%2Fwoscc%2Ffull-record%2FWOS:000525165000001","View Full Record in Web of Science")</f>
        <v>View Full Record in Web of Science</v>
      </c>
    </row>
    <row r="282" spans="1:72" x14ac:dyDescent="0.15">
      <c r="A282" t="s">
        <v>72</v>
      </c>
      <c r="B282" t="s">
        <v>5725</v>
      </c>
      <c r="C282" t="s">
        <v>74</v>
      </c>
      <c r="D282" t="s">
        <v>74</v>
      </c>
      <c r="E282" t="s">
        <v>74</v>
      </c>
      <c r="F282" t="s">
        <v>5726</v>
      </c>
      <c r="G282" t="s">
        <v>74</v>
      </c>
      <c r="H282" t="s">
        <v>74</v>
      </c>
      <c r="I282" t="s">
        <v>5727</v>
      </c>
      <c r="J282" t="s">
        <v>5728</v>
      </c>
      <c r="K282" t="s">
        <v>74</v>
      </c>
      <c r="L282" t="s">
        <v>74</v>
      </c>
      <c r="M282" t="s">
        <v>78</v>
      </c>
      <c r="N282" t="s">
        <v>79</v>
      </c>
      <c r="O282" t="s">
        <v>74</v>
      </c>
      <c r="P282" t="s">
        <v>74</v>
      </c>
      <c r="Q282" t="s">
        <v>74</v>
      </c>
      <c r="R282" t="s">
        <v>74</v>
      </c>
      <c r="S282" t="s">
        <v>74</v>
      </c>
      <c r="T282" t="s">
        <v>74</v>
      </c>
      <c r="U282" t="s">
        <v>5729</v>
      </c>
      <c r="V282" t="s">
        <v>5730</v>
      </c>
      <c r="W282" t="s">
        <v>5731</v>
      </c>
      <c r="X282" t="s">
        <v>5732</v>
      </c>
      <c r="Y282" t="s">
        <v>5733</v>
      </c>
      <c r="Z282" t="s">
        <v>5734</v>
      </c>
      <c r="AA282" t="s">
        <v>5735</v>
      </c>
      <c r="AB282" t="s">
        <v>5736</v>
      </c>
      <c r="AC282" t="s">
        <v>5737</v>
      </c>
      <c r="AD282" t="s">
        <v>5738</v>
      </c>
      <c r="AE282" t="s">
        <v>5739</v>
      </c>
      <c r="AF282" t="s">
        <v>74</v>
      </c>
      <c r="AG282">
        <v>39</v>
      </c>
      <c r="AH282">
        <v>63</v>
      </c>
      <c r="AI282">
        <v>68</v>
      </c>
      <c r="AJ282">
        <v>16</v>
      </c>
      <c r="AK282">
        <v>117</v>
      </c>
      <c r="AL282" t="s">
        <v>211</v>
      </c>
      <c r="AM282" t="s">
        <v>212</v>
      </c>
      <c r="AN282" t="s">
        <v>213</v>
      </c>
      <c r="AO282" t="s">
        <v>5740</v>
      </c>
      <c r="AP282" t="s">
        <v>74</v>
      </c>
      <c r="AQ282" t="s">
        <v>74</v>
      </c>
      <c r="AR282" t="s">
        <v>5741</v>
      </c>
      <c r="AS282" t="s">
        <v>5742</v>
      </c>
      <c r="AT282" t="s">
        <v>733</v>
      </c>
      <c r="AU282">
        <v>2020</v>
      </c>
      <c r="AV282">
        <v>12</v>
      </c>
      <c r="AW282">
        <v>3</v>
      </c>
      <c r="AX282" t="s">
        <v>74</v>
      </c>
      <c r="AY282" t="s">
        <v>74</v>
      </c>
      <c r="AZ282" t="s">
        <v>74</v>
      </c>
      <c r="BA282" t="s">
        <v>74</v>
      </c>
      <c r="BB282">
        <v>277</v>
      </c>
      <c r="BC282">
        <v>287</v>
      </c>
      <c r="BD282" t="s">
        <v>74</v>
      </c>
      <c r="BE282" t="s">
        <v>5743</v>
      </c>
      <c r="BF282" t="str">
        <f>HYPERLINK("http://dx.doi.org/10.1111/1758-2229.12829","http://dx.doi.org/10.1111/1758-2229.12829")</f>
        <v>http://dx.doi.org/10.1111/1758-2229.12829</v>
      </c>
      <c r="BG282" t="s">
        <v>74</v>
      </c>
      <c r="BH282" t="s">
        <v>5744</v>
      </c>
      <c r="BI282">
        <v>11</v>
      </c>
      <c r="BJ282" t="s">
        <v>5745</v>
      </c>
      <c r="BK282" t="s">
        <v>103</v>
      </c>
      <c r="BL282" t="s">
        <v>5746</v>
      </c>
      <c r="BM282" t="s">
        <v>5747</v>
      </c>
      <c r="BN282">
        <v>32090489</v>
      </c>
      <c r="BO282" t="s">
        <v>193</v>
      </c>
      <c r="BP282" t="s">
        <v>74</v>
      </c>
      <c r="BQ282" t="s">
        <v>74</v>
      </c>
      <c r="BR282" t="s">
        <v>106</v>
      </c>
      <c r="BS282" t="s">
        <v>5748</v>
      </c>
      <c r="BT282" t="str">
        <f>HYPERLINK("https%3A%2F%2Fwww.webofscience.com%2Fwos%2Fwoscc%2Ffull-record%2FWOS:000516863300001","View Full Record in Web of Science")</f>
        <v>View Full Record in Web of Science</v>
      </c>
    </row>
    <row r="283" spans="1:72" x14ac:dyDescent="0.15">
      <c r="A283" t="s">
        <v>72</v>
      </c>
      <c r="B283" t="s">
        <v>5749</v>
      </c>
      <c r="C283" t="s">
        <v>74</v>
      </c>
      <c r="D283" t="s">
        <v>74</v>
      </c>
      <c r="E283" t="s">
        <v>74</v>
      </c>
      <c r="F283" t="s">
        <v>5750</v>
      </c>
      <c r="G283" t="s">
        <v>74</v>
      </c>
      <c r="H283" t="s">
        <v>74</v>
      </c>
      <c r="I283" t="s">
        <v>5751</v>
      </c>
      <c r="J283" t="s">
        <v>672</v>
      </c>
      <c r="K283" t="s">
        <v>74</v>
      </c>
      <c r="L283" t="s">
        <v>74</v>
      </c>
      <c r="M283" t="s">
        <v>78</v>
      </c>
      <c r="N283" t="s">
        <v>79</v>
      </c>
      <c r="O283" t="s">
        <v>74</v>
      </c>
      <c r="P283" t="s">
        <v>74</v>
      </c>
      <c r="Q283" t="s">
        <v>74</v>
      </c>
      <c r="R283" t="s">
        <v>74</v>
      </c>
      <c r="S283" t="s">
        <v>74</v>
      </c>
      <c r="T283" t="s">
        <v>5752</v>
      </c>
      <c r="U283" t="s">
        <v>5753</v>
      </c>
      <c r="V283" t="s">
        <v>5754</v>
      </c>
      <c r="W283" t="s">
        <v>5755</v>
      </c>
      <c r="X283" t="s">
        <v>5756</v>
      </c>
      <c r="Y283" t="s">
        <v>5757</v>
      </c>
      <c r="Z283" t="s">
        <v>5758</v>
      </c>
      <c r="AA283" t="s">
        <v>5759</v>
      </c>
      <c r="AB283" t="s">
        <v>5760</v>
      </c>
      <c r="AC283" t="s">
        <v>5761</v>
      </c>
      <c r="AD283" t="s">
        <v>5762</v>
      </c>
      <c r="AE283" t="s">
        <v>5763</v>
      </c>
      <c r="AF283" t="s">
        <v>74</v>
      </c>
      <c r="AG283">
        <v>104</v>
      </c>
      <c r="AH283">
        <v>5</v>
      </c>
      <c r="AI283">
        <v>5</v>
      </c>
      <c r="AJ283">
        <v>2</v>
      </c>
      <c r="AK283">
        <v>10</v>
      </c>
      <c r="AL283" t="s">
        <v>121</v>
      </c>
      <c r="AM283" t="s">
        <v>166</v>
      </c>
      <c r="AN283" t="s">
        <v>685</v>
      </c>
      <c r="AO283" t="s">
        <v>686</v>
      </c>
      <c r="AP283" t="s">
        <v>687</v>
      </c>
      <c r="AQ283" t="s">
        <v>74</v>
      </c>
      <c r="AR283" t="s">
        <v>688</v>
      </c>
      <c r="AS283" t="s">
        <v>689</v>
      </c>
      <c r="AT283" t="s">
        <v>128</v>
      </c>
      <c r="AU283">
        <v>2020</v>
      </c>
      <c r="AV283">
        <v>43</v>
      </c>
      <c r="AW283">
        <v>4</v>
      </c>
      <c r="AX283" t="s">
        <v>74</v>
      </c>
      <c r="AY283" t="s">
        <v>74</v>
      </c>
      <c r="AZ283" t="s">
        <v>74</v>
      </c>
      <c r="BA283" t="s">
        <v>74</v>
      </c>
      <c r="BB283">
        <v>319</v>
      </c>
      <c r="BC283">
        <v>342</v>
      </c>
      <c r="BD283" t="s">
        <v>74</v>
      </c>
      <c r="BE283" t="s">
        <v>5764</v>
      </c>
      <c r="BF283" t="str">
        <f>HYPERLINK("http://dx.doi.org/10.1007/s00300-020-02636-z","http://dx.doi.org/10.1007/s00300-020-02636-z")</f>
        <v>http://dx.doi.org/10.1007/s00300-020-02636-z</v>
      </c>
      <c r="BG283" t="s">
        <v>74</v>
      </c>
      <c r="BH283" t="s">
        <v>5744</v>
      </c>
      <c r="BI283">
        <v>24</v>
      </c>
      <c r="BJ283" t="s">
        <v>130</v>
      </c>
      <c r="BK283" t="s">
        <v>103</v>
      </c>
      <c r="BL283" t="s">
        <v>131</v>
      </c>
      <c r="BM283" t="s">
        <v>2770</v>
      </c>
      <c r="BN283" t="s">
        <v>74</v>
      </c>
      <c r="BO283" t="s">
        <v>148</v>
      </c>
      <c r="BP283" t="s">
        <v>74</v>
      </c>
      <c r="BQ283" t="s">
        <v>74</v>
      </c>
      <c r="BR283" t="s">
        <v>106</v>
      </c>
      <c r="BS283" t="s">
        <v>5765</v>
      </c>
      <c r="BT283" t="str">
        <f>HYPERLINK("https%3A%2F%2Fwww.webofscience.com%2Fwos%2Fwoscc%2Ffull-record%2FWOS:000517023800001","View Full Record in Web of Science")</f>
        <v>View Full Record in Web of Science</v>
      </c>
    </row>
    <row r="284" spans="1:72" x14ac:dyDescent="0.15">
      <c r="A284" t="s">
        <v>72</v>
      </c>
      <c r="B284" t="s">
        <v>5766</v>
      </c>
      <c r="C284" t="s">
        <v>74</v>
      </c>
      <c r="D284" t="s">
        <v>74</v>
      </c>
      <c r="E284" t="s">
        <v>74</v>
      </c>
      <c r="F284" t="s">
        <v>5767</v>
      </c>
      <c r="G284" t="s">
        <v>74</v>
      </c>
      <c r="H284" t="s">
        <v>74</v>
      </c>
      <c r="I284" t="s">
        <v>5768</v>
      </c>
      <c r="J284" t="s">
        <v>888</v>
      </c>
      <c r="K284" t="s">
        <v>74</v>
      </c>
      <c r="L284" t="s">
        <v>74</v>
      </c>
      <c r="M284" t="s">
        <v>78</v>
      </c>
      <c r="N284" t="s">
        <v>79</v>
      </c>
      <c r="O284" t="s">
        <v>74</v>
      </c>
      <c r="P284" t="s">
        <v>74</v>
      </c>
      <c r="Q284" t="s">
        <v>74</v>
      </c>
      <c r="R284" t="s">
        <v>74</v>
      </c>
      <c r="S284" t="s">
        <v>74</v>
      </c>
      <c r="T284" t="s">
        <v>74</v>
      </c>
      <c r="U284" t="s">
        <v>5769</v>
      </c>
      <c r="V284" t="s">
        <v>5770</v>
      </c>
      <c r="W284" t="s">
        <v>5771</v>
      </c>
      <c r="X284" t="s">
        <v>5772</v>
      </c>
      <c r="Y284" t="s">
        <v>5773</v>
      </c>
      <c r="Z284" t="s">
        <v>5774</v>
      </c>
      <c r="AA284" t="s">
        <v>5775</v>
      </c>
      <c r="AB284" t="s">
        <v>5776</v>
      </c>
      <c r="AC284" t="s">
        <v>5777</v>
      </c>
      <c r="AD284" t="s">
        <v>5778</v>
      </c>
      <c r="AE284" t="s">
        <v>5779</v>
      </c>
      <c r="AF284" t="s">
        <v>74</v>
      </c>
      <c r="AG284">
        <v>81</v>
      </c>
      <c r="AH284">
        <v>20</v>
      </c>
      <c r="AI284">
        <v>21</v>
      </c>
      <c r="AJ284">
        <v>3</v>
      </c>
      <c r="AK284">
        <v>25</v>
      </c>
      <c r="AL284" t="s">
        <v>855</v>
      </c>
      <c r="AM284" t="s">
        <v>266</v>
      </c>
      <c r="AN284" t="s">
        <v>856</v>
      </c>
      <c r="AO284" t="s">
        <v>900</v>
      </c>
      <c r="AP284" t="s">
        <v>901</v>
      </c>
      <c r="AQ284" t="s">
        <v>74</v>
      </c>
      <c r="AR284" t="s">
        <v>902</v>
      </c>
      <c r="AS284" t="s">
        <v>903</v>
      </c>
      <c r="AT284" t="s">
        <v>5780</v>
      </c>
      <c r="AU284">
        <v>2020</v>
      </c>
      <c r="AV284">
        <v>125</v>
      </c>
      <c r="AW284">
        <v>4</v>
      </c>
      <c r="AX284" t="s">
        <v>74</v>
      </c>
      <c r="AY284" t="s">
        <v>74</v>
      </c>
      <c r="AZ284" t="s">
        <v>74</v>
      </c>
      <c r="BA284" t="s">
        <v>74</v>
      </c>
      <c r="BB284" t="s">
        <v>74</v>
      </c>
      <c r="BC284" t="s">
        <v>74</v>
      </c>
      <c r="BD284" t="s">
        <v>5781</v>
      </c>
      <c r="BE284" t="s">
        <v>5782</v>
      </c>
      <c r="BF284" t="str">
        <f>HYPERLINK("http://dx.doi.org/10.1029/2019JD032026","http://dx.doi.org/10.1029/2019JD032026")</f>
        <v>http://dx.doi.org/10.1029/2019JD032026</v>
      </c>
      <c r="BG284" t="s">
        <v>74</v>
      </c>
      <c r="BH284" t="s">
        <v>74</v>
      </c>
      <c r="BI284">
        <v>19</v>
      </c>
      <c r="BJ284" t="s">
        <v>907</v>
      </c>
      <c r="BK284" t="s">
        <v>103</v>
      </c>
      <c r="BL284" t="s">
        <v>907</v>
      </c>
      <c r="BM284" t="s">
        <v>5783</v>
      </c>
      <c r="BN284" t="s">
        <v>74</v>
      </c>
      <c r="BO284" t="s">
        <v>2488</v>
      </c>
      <c r="BP284" t="s">
        <v>74</v>
      </c>
      <c r="BQ284" t="s">
        <v>74</v>
      </c>
      <c r="BR284" t="s">
        <v>106</v>
      </c>
      <c r="BS284" t="s">
        <v>5784</v>
      </c>
      <c r="BT284" t="str">
        <f>HYPERLINK("https%3A%2F%2Fwww.webofscience.com%2Fwos%2Fwoscc%2Ffull-record%2FWOS:000519227000010","View Full Record in Web of Science")</f>
        <v>View Full Record in Web of Science</v>
      </c>
    </row>
    <row r="285" spans="1:72" x14ac:dyDescent="0.15">
      <c r="A285" t="s">
        <v>72</v>
      </c>
      <c r="B285" t="s">
        <v>5785</v>
      </c>
      <c r="C285" t="s">
        <v>74</v>
      </c>
      <c r="D285" t="s">
        <v>74</v>
      </c>
      <c r="E285" t="s">
        <v>74</v>
      </c>
      <c r="F285" t="s">
        <v>5786</v>
      </c>
      <c r="G285" t="s">
        <v>74</v>
      </c>
      <c r="H285" t="s">
        <v>74</v>
      </c>
      <c r="I285" t="s">
        <v>5787</v>
      </c>
      <c r="J285" t="s">
        <v>672</v>
      </c>
      <c r="K285" t="s">
        <v>74</v>
      </c>
      <c r="L285" t="s">
        <v>74</v>
      </c>
      <c r="M285" t="s">
        <v>78</v>
      </c>
      <c r="N285" t="s">
        <v>79</v>
      </c>
      <c r="O285" t="s">
        <v>74</v>
      </c>
      <c r="P285" t="s">
        <v>74</v>
      </c>
      <c r="Q285" t="s">
        <v>74</v>
      </c>
      <c r="R285" t="s">
        <v>74</v>
      </c>
      <c r="S285" t="s">
        <v>74</v>
      </c>
      <c r="T285" t="s">
        <v>5788</v>
      </c>
      <c r="U285" t="s">
        <v>5789</v>
      </c>
      <c r="V285" t="s">
        <v>5790</v>
      </c>
      <c r="W285" t="s">
        <v>5791</v>
      </c>
      <c r="X285" t="s">
        <v>5792</v>
      </c>
      <c r="Y285" t="s">
        <v>5793</v>
      </c>
      <c r="Z285" t="s">
        <v>5794</v>
      </c>
      <c r="AA285" t="s">
        <v>74</v>
      </c>
      <c r="AB285" t="s">
        <v>74</v>
      </c>
      <c r="AC285" t="s">
        <v>5795</v>
      </c>
      <c r="AD285" t="s">
        <v>5796</v>
      </c>
      <c r="AE285" t="s">
        <v>5797</v>
      </c>
      <c r="AF285" t="s">
        <v>74</v>
      </c>
      <c r="AG285">
        <v>35</v>
      </c>
      <c r="AH285">
        <v>8</v>
      </c>
      <c r="AI285">
        <v>8</v>
      </c>
      <c r="AJ285">
        <v>0</v>
      </c>
      <c r="AK285">
        <v>9</v>
      </c>
      <c r="AL285" t="s">
        <v>121</v>
      </c>
      <c r="AM285" t="s">
        <v>166</v>
      </c>
      <c r="AN285" t="s">
        <v>685</v>
      </c>
      <c r="AO285" t="s">
        <v>686</v>
      </c>
      <c r="AP285" t="s">
        <v>687</v>
      </c>
      <c r="AQ285" t="s">
        <v>74</v>
      </c>
      <c r="AR285" t="s">
        <v>688</v>
      </c>
      <c r="AS285" t="s">
        <v>689</v>
      </c>
      <c r="AT285" t="s">
        <v>2912</v>
      </c>
      <c r="AU285">
        <v>2020</v>
      </c>
      <c r="AV285">
        <v>43</v>
      </c>
      <c r="AW285">
        <v>3</v>
      </c>
      <c r="AX285" t="s">
        <v>74</v>
      </c>
      <c r="AY285" t="s">
        <v>74</v>
      </c>
      <c r="AZ285" t="s">
        <v>74</v>
      </c>
      <c r="BA285" t="s">
        <v>74</v>
      </c>
      <c r="BB285">
        <v>251</v>
      </c>
      <c r="BC285">
        <v>262</v>
      </c>
      <c r="BD285" t="s">
        <v>74</v>
      </c>
      <c r="BE285" t="s">
        <v>5798</v>
      </c>
      <c r="BF285" t="str">
        <f>HYPERLINK("http://dx.doi.org/10.1007/s00300-020-02627-0","http://dx.doi.org/10.1007/s00300-020-02627-0")</f>
        <v>http://dx.doi.org/10.1007/s00300-020-02627-0</v>
      </c>
      <c r="BG285" t="s">
        <v>74</v>
      </c>
      <c r="BH285" t="s">
        <v>5744</v>
      </c>
      <c r="BI285">
        <v>12</v>
      </c>
      <c r="BJ285" t="s">
        <v>130</v>
      </c>
      <c r="BK285" t="s">
        <v>103</v>
      </c>
      <c r="BL285" t="s">
        <v>131</v>
      </c>
      <c r="BM285" t="s">
        <v>5799</v>
      </c>
      <c r="BN285" t="s">
        <v>74</v>
      </c>
      <c r="BO285" t="s">
        <v>74</v>
      </c>
      <c r="BP285" t="s">
        <v>74</v>
      </c>
      <c r="BQ285" t="s">
        <v>74</v>
      </c>
      <c r="BR285" t="s">
        <v>106</v>
      </c>
      <c r="BS285" t="s">
        <v>5800</v>
      </c>
      <c r="BT285" t="str">
        <f>HYPERLINK("https%3A%2F%2Fwww.webofscience.com%2Fwos%2Fwoscc%2Ffull-record%2FWOS:000516956500003","View Full Record in Web of Science")</f>
        <v>View Full Record in Web of Science</v>
      </c>
    </row>
    <row r="286" spans="1:72" x14ac:dyDescent="0.15">
      <c r="A286" t="s">
        <v>72</v>
      </c>
      <c r="B286" t="s">
        <v>5801</v>
      </c>
      <c r="C286" t="s">
        <v>74</v>
      </c>
      <c r="D286" t="s">
        <v>74</v>
      </c>
      <c r="E286" t="s">
        <v>74</v>
      </c>
      <c r="F286" t="s">
        <v>5802</v>
      </c>
      <c r="G286" t="s">
        <v>74</v>
      </c>
      <c r="H286" t="s">
        <v>74</v>
      </c>
      <c r="I286" t="s">
        <v>5803</v>
      </c>
      <c r="J286" t="s">
        <v>5804</v>
      </c>
      <c r="K286" t="s">
        <v>74</v>
      </c>
      <c r="L286" t="s">
        <v>74</v>
      </c>
      <c r="M286" t="s">
        <v>78</v>
      </c>
      <c r="N286" t="s">
        <v>79</v>
      </c>
      <c r="O286" t="s">
        <v>74</v>
      </c>
      <c r="P286" t="s">
        <v>74</v>
      </c>
      <c r="Q286" t="s">
        <v>74</v>
      </c>
      <c r="R286" t="s">
        <v>74</v>
      </c>
      <c r="S286" t="s">
        <v>74</v>
      </c>
      <c r="T286" t="s">
        <v>5805</v>
      </c>
      <c r="U286" t="s">
        <v>5806</v>
      </c>
      <c r="V286" t="s">
        <v>5807</v>
      </c>
      <c r="W286" t="s">
        <v>5808</v>
      </c>
      <c r="X286" t="s">
        <v>5809</v>
      </c>
      <c r="Y286" t="s">
        <v>5810</v>
      </c>
      <c r="Z286" t="s">
        <v>5811</v>
      </c>
      <c r="AA286" t="s">
        <v>5812</v>
      </c>
      <c r="AB286" t="s">
        <v>5813</v>
      </c>
      <c r="AC286" t="s">
        <v>5814</v>
      </c>
      <c r="AD286" t="s">
        <v>5815</v>
      </c>
      <c r="AE286" t="s">
        <v>5816</v>
      </c>
      <c r="AF286" t="s">
        <v>74</v>
      </c>
      <c r="AG286">
        <v>90</v>
      </c>
      <c r="AH286">
        <v>5</v>
      </c>
      <c r="AI286">
        <v>5</v>
      </c>
      <c r="AJ286">
        <v>0</v>
      </c>
      <c r="AK286">
        <v>9</v>
      </c>
      <c r="AL286" t="s">
        <v>211</v>
      </c>
      <c r="AM286" t="s">
        <v>212</v>
      </c>
      <c r="AN286" t="s">
        <v>213</v>
      </c>
      <c r="AO286" t="s">
        <v>5817</v>
      </c>
      <c r="AP286" t="s">
        <v>5818</v>
      </c>
      <c r="AQ286" t="s">
        <v>74</v>
      </c>
      <c r="AR286" t="s">
        <v>5819</v>
      </c>
      <c r="AS286" t="s">
        <v>5820</v>
      </c>
      <c r="AT286" t="s">
        <v>690</v>
      </c>
      <c r="AU286">
        <v>2020</v>
      </c>
      <c r="AV286">
        <v>35</v>
      </c>
      <c r="AW286">
        <v>4</v>
      </c>
      <c r="AX286" t="s">
        <v>74</v>
      </c>
      <c r="AY286" t="s">
        <v>74</v>
      </c>
      <c r="AZ286" t="s">
        <v>74</v>
      </c>
      <c r="BA286" t="s">
        <v>74</v>
      </c>
      <c r="BB286">
        <v>493</v>
      </c>
      <c r="BC286">
        <v>504</v>
      </c>
      <c r="BD286" t="s">
        <v>74</v>
      </c>
      <c r="BE286" t="s">
        <v>5821</v>
      </c>
      <c r="BF286" t="str">
        <f>HYPERLINK("http://dx.doi.org/10.1002/jqs.3190","http://dx.doi.org/10.1002/jqs.3190")</f>
        <v>http://dx.doi.org/10.1002/jqs.3190</v>
      </c>
      <c r="BG286" t="s">
        <v>74</v>
      </c>
      <c r="BH286" t="s">
        <v>5744</v>
      </c>
      <c r="BI286">
        <v>12</v>
      </c>
      <c r="BJ286" t="s">
        <v>1307</v>
      </c>
      <c r="BK286" t="s">
        <v>103</v>
      </c>
      <c r="BL286" t="s">
        <v>1308</v>
      </c>
      <c r="BM286" t="s">
        <v>5822</v>
      </c>
      <c r="BN286" t="s">
        <v>74</v>
      </c>
      <c r="BO286" t="s">
        <v>74</v>
      </c>
      <c r="BP286" t="s">
        <v>74</v>
      </c>
      <c r="BQ286" t="s">
        <v>74</v>
      </c>
      <c r="BR286" t="s">
        <v>106</v>
      </c>
      <c r="BS286" t="s">
        <v>5823</v>
      </c>
      <c r="BT286" t="str">
        <f>HYPERLINK("https%3A%2F%2Fwww.webofscience.com%2Fwos%2Fwoscc%2Ffull-record%2FWOS:000515813000001","View Full Record in Web of Science")</f>
        <v>View Full Record in Web of Science</v>
      </c>
    </row>
    <row r="287" spans="1:72" x14ac:dyDescent="0.15">
      <c r="A287" t="s">
        <v>72</v>
      </c>
      <c r="B287" t="s">
        <v>5824</v>
      </c>
      <c r="C287" t="s">
        <v>74</v>
      </c>
      <c r="D287" t="s">
        <v>74</v>
      </c>
      <c r="E287" t="s">
        <v>74</v>
      </c>
      <c r="F287" t="s">
        <v>5825</v>
      </c>
      <c r="G287" t="s">
        <v>74</v>
      </c>
      <c r="H287" t="s">
        <v>74</v>
      </c>
      <c r="I287" t="s">
        <v>5826</v>
      </c>
      <c r="J287" t="s">
        <v>645</v>
      </c>
      <c r="K287" t="s">
        <v>74</v>
      </c>
      <c r="L287" t="s">
        <v>74</v>
      </c>
      <c r="M287" t="s">
        <v>78</v>
      </c>
      <c r="N287" t="s">
        <v>79</v>
      </c>
      <c r="O287" t="s">
        <v>74</v>
      </c>
      <c r="P287" t="s">
        <v>74</v>
      </c>
      <c r="Q287" t="s">
        <v>74</v>
      </c>
      <c r="R287" t="s">
        <v>74</v>
      </c>
      <c r="S287" t="s">
        <v>74</v>
      </c>
      <c r="T287" t="s">
        <v>5827</v>
      </c>
      <c r="U287" t="s">
        <v>5828</v>
      </c>
      <c r="V287" t="s">
        <v>5829</v>
      </c>
      <c r="W287" t="s">
        <v>5830</v>
      </c>
      <c r="X287" t="s">
        <v>5831</v>
      </c>
      <c r="Y287" t="s">
        <v>5832</v>
      </c>
      <c r="Z287" t="s">
        <v>5833</v>
      </c>
      <c r="AA287" t="s">
        <v>5834</v>
      </c>
      <c r="AB287" t="s">
        <v>74</v>
      </c>
      <c r="AC287" t="s">
        <v>5835</v>
      </c>
      <c r="AD287" t="s">
        <v>5836</v>
      </c>
      <c r="AE287" t="s">
        <v>5837</v>
      </c>
      <c r="AF287" t="s">
        <v>74</v>
      </c>
      <c r="AG287">
        <v>84</v>
      </c>
      <c r="AH287">
        <v>20</v>
      </c>
      <c r="AI287">
        <v>21</v>
      </c>
      <c r="AJ287">
        <v>0</v>
      </c>
      <c r="AK287">
        <v>18</v>
      </c>
      <c r="AL287" t="s">
        <v>658</v>
      </c>
      <c r="AM287" t="s">
        <v>659</v>
      </c>
      <c r="AN287" t="s">
        <v>660</v>
      </c>
      <c r="AO287" t="s">
        <v>74</v>
      </c>
      <c r="AP287" t="s">
        <v>661</v>
      </c>
      <c r="AQ287" t="s">
        <v>74</v>
      </c>
      <c r="AR287" t="s">
        <v>662</v>
      </c>
      <c r="AS287" t="s">
        <v>663</v>
      </c>
      <c r="AT287" t="s">
        <v>5838</v>
      </c>
      <c r="AU287">
        <v>2020</v>
      </c>
      <c r="AV287">
        <v>11</v>
      </c>
      <c r="AW287" t="s">
        <v>74</v>
      </c>
      <c r="AX287" t="s">
        <v>74</v>
      </c>
      <c r="AY287" t="s">
        <v>74</v>
      </c>
      <c r="AZ287" t="s">
        <v>74</v>
      </c>
      <c r="BA287" t="s">
        <v>74</v>
      </c>
      <c r="BB287" t="s">
        <v>74</v>
      </c>
      <c r="BC287" t="s">
        <v>74</v>
      </c>
      <c r="BD287">
        <v>268</v>
      </c>
      <c r="BE287" t="s">
        <v>5839</v>
      </c>
      <c r="BF287" t="str">
        <f>HYPERLINK("http://dx.doi.org/10.3389/fmicb.2020.00268","http://dx.doi.org/10.3389/fmicb.2020.00268")</f>
        <v>http://dx.doi.org/10.3389/fmicb.2020.00268</v>
      </c>
      <c r="BG287" t="s">
        <v>74</v>
      </c>
      <c r="BH287" t="s">
        <v>74</v>
      </c>
      <c r="BI287">
        <v>13</v>
      </c>
      <c r="BJ287" t="s">
        <v>273</v>
      </c>
      <c r="BK287" t="s">
        <v>103</v>
      </c>
      <c r="BL287" t="s">
        <v>273</v>
      </c>
      <c r="BM287" t="s">
        <v>5840</v>
      </c>
      <c r="BN287">
        <v>32161575</v>
      </c>
      <c r="BO287" t="s">
        <v>276</v>
      </c>
      <c r="BP287" t="s">
        <v>74</v>
      </c>
      <c r="BQ287" t="s">
        <v>74</v>
      </c>
      <c r="BR287" t="s">
        <v>106</v>
      </c>
      <c r="BS287" t="s">
        <v>5841</v>
      </c>
      <c r="BT287" t="str">
        <f>HYPERLINK("https%3A%2F%2Fwww.webofscience.com%2Fwos%2Fwoscc%2Ffull-record%2FWOS:000524605600001","View Full Record in Web of Science")</f>
        <v>View Full Record in Web of Science</v>
      </c>
    </row>
    <row r="288" spans="1:72" x14ac:dyDescent="0.15">
      <c r="A288" t="s">
        <v>72</v>
      </c>
      <c r="B288" t="s">
        <v>5842</v>
      </c>
      <c r="C288" t="s">
        <v>74</v>
      </c>
      <c r="D288" t="s">
        <v>74</v>
      </c>
      <c r="E288" t="s">
        <v>74</v>
      </c>
      <c r="F288" t="s">
        <v>5843</v>
      </c>
      <c r="G288" t="s">
        <v>74</v>
      </c>
      <c r="H288" t="s">
        <v>74</v>
      </c>
      <c r="I288" t="s">
        <v>5844</v>
      </c>
      <c r="J288" t="s">
        <v>2801</v>
      </c>
      <c r="K288" t="s">
        <v>74</v>
      </c>
      <c r="L288" t="s">
        <v>74</v>
      </c>
      <c r="M288" t="s">
        <v>78</v>
      </c>
      <c r="N288" t="s">
        <v>79</v>
      </c>
      <c r="O288" t="s">
        <v>74</v>
      </c>
      <c r="P288" t="s">
        <v>74</v>
      </c>
      <c r="Q288" t="s">
        <v>74</v>
      </c>
      <c r="R288" t="s">
        <v>74</v>
      </c>
      <c r="S288" t="s">
        <v>74</v>
      </c>
      <c r="T288" t="s">
        <v>5845</v>
      </c>
      <c r="U288" t="s">
        <v>5846</v>
      </c>
      <c r="V288" t="s">
        <v>5847</v>
      </c>
      <c r="W288" t="s">
        <v>5848</v>
      </c>
      <c r="X288" t="s">
        <v>5849</v>
      </c>
      <c r="Y288" t="s">
        <v>5850</v>
      </c>
      <c r="Z288" t="s">
        <v>5851</v>
      </c>
      <c r="AA288" t="s">
        <v>5852</v>
      </c>
      <c r="AB288" t="s">
        <v>5853</v>
      </c>
      <c r="AC288" t="s">
        <v>5854</v>
      </c>
      <c r="AD288" t="s">
        <v>5855</v>
      </c>
      <c r="AE288" t="s">
        <v>5856</v>
      </c>
      <c r="AF288" t="s">
        <v>74</v>
      </c>
      <c r="AG288">
        <v>108</v>
      </c>
      <c r="AH288">
        <v>43</v>
      </c>
      <c r="AI288">
        <v>52</v>
      </c>
      <c r="AJ288">
        <v>0</v>
      </c>
      <c r="AK288">
        <v>37</v>
      </c>
      <c r="AL288" t="s">
        <v>2814</v>
      </c>
      <c r="AM288" t="s">
        <v>266</v>
      </c>
      <c r="AN288" t="s">
        <v>2815</v>
      </c>
      <c r="AO288" t="s">
        <v>2816</v>
      </c>
      <c r="AP288" t="s">
        <v>74</v>
      </c>
      <c r="AQ288" t="s">
        <v>74</v>
      </c>
      <c r="AR288" t="s">
        <v>2817</v>
      </c>
      <c r="AS288" t="s">
        <v>2818</v>
      </c>
      <c r="AT288" t="s">
        <v>5838</v>
      </c>
      <c r="AU288">
        <v>2020</v>
      </c>
      <c r="AV288">
        <v>117</v>
      </c>
      <c r="AW288">
        <v>8</v>
      </c>
      <c r="AX288" t="s">
        <v>74</v>
      </c>
      <c r="AY288" t="s">
        <v>74</v>
      </c>
      <c r="AZ288" t="s">
        <v>74</v>
      </c>
      <c r="BA288" t="s">
        <v>74</v>
      </c>
      <c r="BB288">
        <v>3996</v>
      </c>
      <c r="BC288">
        <v>4006</v>
      </c>
      <c r="BD288" t="s">
        <v>74</v>
      </c>
      <c r="BE288" t="s">
        <v>5857</v>
      </c>
      <c r="BF288" t="str">
        <f>HYPERLINK("http://dx.doi.org/10.1073/pnas.1902469117","http://dx.doi.org/10.1073/pnas.1902469117")</f>
        <v>http://dx.doi.org/10.1073/pnas.1902469117</v>
      </c>
      <c r="BG288" t="s">
        <v>74</v>
      </c>
      <c r="BH288" t="s">
        <v>74</v>
      </c>
      <c r="BI288">
        <v>11</v>
      </c>
      <c r="BJ288" t="s">
        <v>322</v>
      </c>
      <c r="BK288" t="s">
        <v>103</v>
      </c>
      <c r="BL288" t="s">
        <v>323</v>
      </c>
      <c r="BM288" t="s">
        <v>5858</v>
      </c>
      <c r="BN288">
        <v>32047039</v>
      </c>
      <c r="BO288" t="s">
        <v>5859</v>
      </c>
      <c r="BP288" t="s">
        <v>74</v>
      </c>
      <c r="BQ288" t="s">
        <v>74</v>
      </c>
      <c r="BR288" t="s">
        <v>106</v>
      </c>
      <c r="BS288" t="s">
        <v>5860</v>
      </c>
      <c r="BT288" t="str">
        <f>HYPERLINK("https%3A%2F%2Fwww.webofscience.com%2Fwos%2Fwoscc%2Ffull-record%2FWOS:000516771500022","View Full Record in Web of Science")</f>
        <v>View Full Record in Web of Science</v>
      </c>
    </row>
    <row r="289" spans="1:72" x14ac:dyDescent="0.15">
      <c r="A289" t="s">
        <v>72</v>
      </c>
      <c r="B289" t="s">
        <v>5861</v>
      </c>
      <c r="C289" t="s">
        <v>74</v>
      </c>
      <c r="D289" t="s">
        <v>74</v>
      </c>
      <c r="E289" t="s">
        <v>74</v>
      </c>
      <c r="F289" t="s">
        <v>5862</v>
      </c>
      <c r="G289" t="s">
        <v>74</v>
      </c>
      <c r="H289" t="s">
        <v>74</v>
      </c>
      <c r="I289" t="s">
        <v>5863</v>
      </c>
      <c r="J289" t="s">
        <v>5864</v>
      </c>
      <c r="K289" t="s">
        <v>74</v>
      </c>
      <c r="L289" t="s">
        <v>74</v>
      </c>
      <c r="M289" t="s">
        <v>78</v>
      </c>
      <c r="N289" t="s">
        <v>79</v>
      </c>
      <c r="O289" t="s">
        <v>74</v>
      </c>
      <c r="P289" t="s">
        <v>74</v>
      </c>
      <c r="Q289" t="s">
        <v>74</v>
      </c>
      <c r="R289" t="s">
        <v>74</v>
      </c>
      <c r="S289" t="s">
        <v>74</v>
      </c>
      <c r="T289" t="s">
        <v>5865</v>
      </c>
      <c r="U289" t="s">
        <v>5866</v>
      </c>
      <c r="V289" t="s">
        <v>5867</v>
      </c>
      <c r="W289" t="s">
        <v>5868</v>
      </c>
      <c r="X289" t="s">
        <v>5869</v>
      </c>
      <c r="Y289" t="s">
        <v>5870</v>
      </c>
      <c r="Z289" t="s">
        <v>5871</v>
      </c>
      <c r="AA289" t="s">
        <v>5872</v>
      </c>
      <c r="AB289" t="s">
        <v>5873</v>
      </c>
      <c r="AC289" t="s">
        <v>5874</v>
      </c>
      <c r="AD289" t="s">
        <v>5874</v>
      </c>
      <c r="AE289" t="s">
        <v>5875</v>
      </c>
      <c r="AF289" t="s">
        <v>74</v>
      </c>
      <c r="AG289">
        <v>103</v>
      </c>
      <c r="AH289">
        <v>6</v>
      </c>
      <c r="AI289">
        <v>6</v>
      </c>
      <c r="AJ289">
        <v>3</v>
      </c>
      <c r="AK289">
        <v>31</v>
      </c>
      <c r="AL289" t="s">
        <v>5876</v>
      </c>
      <c r="AM289" t="s">
        <v>545</v>
      </c>
      <c r="AN289" t="s">
        <v>5877</v>
      </c>
      <c r="AO289" t="s">
        <v>5878</v>
      </c>
      <c r="AP289" t="s">
        <v>74</v>
      </c>
      <c r="AQ289" t="s">
        <v>74</v>
      </c>
      <c r="AR289" t="s">
        <v>5864</v>
      </c>
      <c r="AS289" t="s">
        <v>5879</v>
      </c>
      <c r="AT289" t="s">
        <v>5838</v>
      </c>
      <c r="AU289">
        <v>2020</v>
      </c>
      <c r="AV289">
        <v>8</v>
      </c>
      <c r="AW289" t="s">
        <v>74</v>
      </c>
      <c r="AX289" t="s">
        <v>74</v>
      </c>
      <c r="AY289" t="s">
        <v>74</v>
      </c>
      <c r="AZ289" t="s">
        <v>74</v>
      </c>
      <c r="BA289" t="s">
        <v>74</v>
      </c>
      <c r="BB289" t="s">
        <v>74</v>
      </c>
      <c r="BC289" t="s">
        <v>74</v>
      </c>
      <c r="BD289" t="s">
        <v>5880</v>
      </c>
      <c r="BE289" t="s">
        <v>5881</v>
      </c>
      <c r="BF289" t="str">
        <f>HYPERLINK("http://dx.doi.org/10.7717/peerj.8171","http://dx.doi.org/10.7717/peerj.8171")</f>
        <v>http://dx.doi.org/10.7717/peerj.8171</v>
      </c>
      <c r="BG289" t="s">
        <v>74</v>
      </c>
      <c r="BH289" t="s">
        <v>74</v>
      </c>
      <c r="BI289">
        <v>22</v>
      </c>
      <c r="BJ289" t="s">
        <v>322</v>
      </c>
      <c r="BK289" t="s">
        <v>1149</v>
      </c>
      <c r="BL289" t="s">
        <v>323</v>
      </c>
      <c r="BM289" t="s">
        <v>5882</v>
      </c>
      <c r="BN289">
        <v>32140297</v>
      </c>
      <c r="BO289" t="s">
        <v>1518</v>
      </c>
      <c r="BP289" t="s">
        <v>74</v>
      </c>
      <c r="BQ289" t="s">
        <v>74</v>
      </c>
      <c r="BR289" t="s">
        <v>106</v>
      </c>
      <c r="BS289" t="s">
        <v>5883</v>
      </c>
      <c r="BT289" t="str">
        <f>HYPERLINK("https%3A%2F%2Fwww.webofscience.com%2Fwos%2Fwoscc%2Ffull-record%2FWOS:000515577500001","View Full Record in Web of Science")</f>
        <v>View Full Record in Web of Science</v>
      </c>
    </row>
    <row r="290" spans="1:72" x14ac:dyDescent="0.15">
      <c r="A290" t="s">
        <v>72</v>
      </c>
      <c r="B290" t="s">
        <v>5884</v>
      </c>
      <c r="C290" t="s">
        <v>74</v>
      </c>
      <c r="D290" t="s">
        <v>74</v>
      </c>
      <c r="E290" t="s">
        <v>74</v>
      </c>
      <c r="F290" t="s">
        <v>5885</v>
      </c>
      <c r="G290" t="s">
        <v>74</v>
      </c>
      <c r="H290" t="s">
        <v>74</v>
      </c>
      <c r="I290" t="s">
        <v>5886</v>
      </c>
      <c r="J290" t="s">
        <v>5887</v>
      </c>
      <c r="K290" t="s">
        <v>74</v>
      </c>
      <c r="L290" t="s">
        <v>74</v>
      </c>
      <c r="M290" t="s">
        <v>78</v>
      </c>
      <c r="N290" t="s">
        <v>79</v>
      </c>
      <c r="O290" t="s">
        <v>74</v>
      </c>
      <c r="P290" t="s">
        <v>74</v>
      </c>
      <c r="Q290" t="s">
        <v>74</v>
      </c>
      <c r="R290" t="s">
        <v>74</v>
      </c>
      <c r="S290" t="s">
        <v>74</v>
      </c>
      <c r="T290" t="s">
        <v>5888</v>
      </c>
      <c r="U290" t="s">
        <v>5889</v>
      </c>
      <c r="V290" t="s">
        <v>5890</v>
      </c>
      <c r="W290" t="s">
        <v>5891</v>
      </c>
      <c r="X290" t="s">
        <v>5892</v>
      </c>
      <c r="Y290" t="s">
        <v>5893</v>
      </c>
      <c r="Z290" t="s">
        <v>5894</v>
      </c>
      <c r="AA290" t="s">
        <v>74</v>
      </c>
      <c r="AB290" t="s">
        <v>5895</v>
      </c>
      <c r="AC290" t="s">
        <v>5896</v>
      </c>
      <c r="AD290" t="s">
        <v>5896</v>
      </c>
      <c r="AE290" t="s">
        <v>5896</v>
      </c>
      <c r="AF290" t="s">
        <v>74</v>
      </c>
      <c r="AG290">
        <v>69</v>
      </c>
      <c r="AH290">
        <v>14</v>
      </c>
      <c r="AI290">
        <v>16</v>
      </c>
      <c r="AJ290">
        <v>0</v>
      </c>
      <c r="AK290">
        <v>20</v>
      </c>
      <c r="AL290" t="s">
        <v>211</v>
      </c>
      <c r="AM290" t="s">
        <v>212</v>
      </c>
      <c r="AN290" t="s">
        <v>213</v>
      </c>
      <c r="AO290" t="s">
        <v>5897</v>
      </c>
      <c r="AP290" t="s">
        <v>5898</v>
      </c>
      <c r="AQ290" t="s">
        <v>74</v>
      </c>
      <c r="AR290" t="s">
        <v>5899</v>
      </c>
      <c r="AS290" t="s">
        <v>5900</v>
      </c>
      <c r="AT290" t="s">
        <v>733</v>
      </c>
      <c r="AU290">
        <v>2020</v>
      </c>
      <c r="AV290">
        <v>51</v>
      </c>
      <c r="AW290">
        <v>6</v>
      </c>
      <c r="AX290" t="s">
        <v>74</v>
      </c>
      <c r="AY290" t="s">
        <v>74</v>
      </c>
      <c r="AZ290" t="s">
        <v>74</v>
      </c>
      <c r="BA290" t="s">
        <v>74</v>
      </c>
      <c r="BB290">
        <v>2291</v>
      </c>
      <c r="BC290">
        <v>2302</v>
      </c>
      <c r="BD290" t="s">
        <v>74</v>
      </c>
      <c r="BE290" t="s">
        <v>5901</v>
      </c>
      <c r="BF290" t="str">
        <f>HYPERLINK("http://dx.doi.org/10.1111/are.14573","http://dx.doi.org/10.1111/are.14573")</f>
        <v>http://dx.doi.org/10.1111/are.14573</v>
      </c>
      <c r="BG290" t="s">
        <v>74</v>
      </c>
      <c r="BH290" t="s">
        <v>5744</v>
      </c>
      <c r="BI290">
        <v>12</v>
      </c>
      <c r="BJ290" t="s">
        <v>593</v>
      </c>
      <c r="BK290" t="s">
        <v>103</v>
      </c>
      <c r="BL290" t="s">
        <v>593</v>
      </c>
      <c r="BM290" t="s">
        <v>5902</v>
      </c>
      <c r="BN290" t="s">
        <v>74</v>
      </c>
      <c r="BO290" t="s">
        <v>2592</v>
      </c>
      <c r="BP290" t="s">
        <v>74</v>
      </c>
      <c r="BQ290" t="s">
        <v>74</v>
      </c>
      <c r="BR290" t="s">
        <v>106</v>
      </c>
      <c r="BS290" t="s">
        <v>5903</v>
      </c>
      <c r="BT290" t="str">
        <f>HYPERLINK("https%3A%2F%2Fwww.webofscience.com%2Fwos%2Fwoscc%2Ffull-record%2FWOS:000515408400001","View Full Record in Web of Science")</f>
        <v>View Full Record in Web of Science</v>
      </c>
    </row>
    <row r="291" spans="1:72" x14ac:dyDescent="0.15">
      <c r="A291" t="s">
        <v>72</v>
      </c>
      <c r="B291" t="s">
        <v>5904</v>
      </c>
      <c r="C291" t="s">
        <v>74</v>
      </c>
      <c r="D291" t="s">
        <v>74</v>
      </c>
      <c r="E291" t="s">
        <v>74</v>
      </c>
      <c r="F291" t="s">
        <v>5905</v>
      </c>
      <c r="G291" t="s">
        <v>74</v>
      </c>
      <c r="H291" t="s">
        <v>74</v>
      </c>
      <c r="I291" t="s">
        <v>5906</v>
      </c>
      <c r="J291" t="s">
        <v>5907</v>
      </c>
      <c r="K291" t="s">
        <v>74</v>
      </c>
      <c r="L291" t="s">
        <v>74</v>
      </c>
      <c r="M291" t="s">
        <v>78</v>
      </c>
      <c r="N291" t="s">
        <v>79</v>
      </c>
      <c r="O291" t="s">
        <v>74</v>
      </c>
      <c r="P291" t="s">
        <v>74</v>
      </c>
      <c r="Q291" t="s">
        <v>74</v>
      </c>
      <c r="R291" t="s">
        <v>74</v>
      </c>
      <c r="S291" t="s">
        <v>74</v>
      </c>
      <c r="T291" t="s">
        <v>5908</v>
      </c>
      <c r="U291" t="s">
        <v>74</v>
      </c>
      <c r="V291" t="s">
        <v>5909</v>
      </c>
      <c r="W291" t="s">
        <v>5910</v>
      </c>
      <c r="X291" t="s">
        <v>5911</v>
      </c>
      <c r="Y291" t="s">
        <v>5912</v>
      </c>
      <c r="Z291" t="s">
        <v>5913</v>
      </c>
      <c r="AA291" t="s">
        <v>5914</v>
      </c>
      <c r="AB291" t="s">
        <v>5915</v>
      </c>
      <c r="AC291" t="s">
        <v>5916</v>
      </c>
      <c r="AD291" t="s">
        <v>5917</v>
      </c>
      <c r="AE291" t="s">
        <v>5918</v>
      </c>
      <c r="AF291" t="s">
        <v>74</v>
      </c>
      <c r="AG291">
        <v>10</v>
      </c>
      <c r="AH291">
        <v>7</v>
      </c>
      <c r="AI291">
        <v>9</v>
      </c>
      <c r="AJ291">
        <v>0</v>
      </c>
      <c r="AK291">
        <v>3</v>
      </c>
      <c r="AL291" t="s">
        <v>5919</v>
      </c>
      <c r="AM291" t="s">
        <v>166</v>
      </c>
      <c r="AN291" t="s">
        <v>5920</v>
      </c>
      <c r="AO291" t="s">
        <v>5921</v>
      </c>
      <c r="AP291" t="s">
        <v>5922</v>
      </c>
      <c r="AQ291" t="s">
        <v>74</v>
      </c>
      <c r="AR291" t="s">
        <v>5923</v>
      </c>
      <c r="AS291" t="s">
        <v>5924</v>
      </c>
      <c r="AT291" t="s">
        <v>690</v>
      </c>
      <c r="AU291">
        <v>2020</v>
      </c>
      <c r="AV291">
        <v>199</v>
      </c>
      <c r="AW291" t="s">
        <v>4623</v>
      </c>
      <c r="AX291" t="s">
        <v>74</v>
      </c>
      <c r="AY291" t="s">
        <v>74</v>
      </c>
      <c r="AZ291" t="s">
        <v>342</v>
      </c>
      <c r="BA291" t="s">
        <v>74</v>
      </c>
      <c r="BB291">
        <v>824</v>
      </c>
      <c r="BC291">
        <v>832</v>
      </c>
      <c r="BD291" t="s">
        <v>74</v>
      </c>
      <c r="BE291" t="s">
        <v>5925</v>
      </c>
      <c r="BF291" t="str">
        <f>HYPERLINK("http://dx.doi.org/10.1007/s10909-020-02392-8","http://dx.doi.org/10.1007/s10909-020-02392-8")</f>
        <v>http://dx.doi.org/10.1007/s10909-020-02392-8</v>
      </c>
      <c r="BG291" t="s">
        <v>74</v>
      </c>
      <c r="BH291" t="s">
        <v>5744</v>
      </c>
      <c r="BI291">
        <v>9</v>
      </c>
      <c r="BJ291" t="s">
        <v>5926</v>
      </c>
      <c r="BK291" t="s">
        <v>103</v>
      </c>
      <c r="BL291" t="s">
        <v>5927</v>
      </c>
      <c r="BM291" t="s">
        <v>5928</v>
      </c>
      <c r="BN291" t="s">
        <v>74</v>
      </c>
      <c r="BO291" t="s">
        <v>5929</v>
      </c>
      <c r="BP291" t="s">
        <v>74</v>
      </c>
      <c r="BQ291" t="s">
        <v>74</v>
      </c>
      <c r="BR291" t="s">
        <v>106</v>
      </c>
      <c r="BS291" t="s">
        <v>5930</v>
      </c>
      <c r="BT291" t="str">
        <f>HYPERLINK("https%3A%2F%2Fwww.webofscience.com%2Fwos%2Fwoscc%2Ffull-record%2FWOS:000516400800006","View Full Record in Web of Science")</f>
        <v>View Full Record in Web of Science</v>
      </c>
    </row>
    <row r="292" spans="1:72" x14ac:dyDescent="0.15">
      <c r="A292" t="s">
        <v>72</v>
      </c>
      <c r="B292" t="s">
        <v>5931</v>
      </c>
      <c r="C292" t="s">
        <v>74</v>
      </c>
      <c r="D292" t="s">
        <v>74</v>
      </c>
      <c r="E292" t="s">
        <v>74</v>
      </c>
      <c r="F292" t="s">
        <v>5932</v>
      </c>
      <c r="G292" t="s">
        <v>74</v>
      </c>
      <c r="H292" t="s">
        <v>74</v>
      </c>
      <c r="I292" t="s">
        <v>5933</v>
      </c>
      <c r="J292" t="s">
        <v>5907</v>
      </c>
      <c r="K292" t="s">
        <v>74</v>
      </c>
      <c r="L292" t="s">
        <v>74</v>
      </c>
      <c r="M292" t="s">
        <v>78</v>
      </c>
      <c r="N292" t="s">
        <v>79</v>
      </c>
      <c r="O292" t="s">
        <v>74</v>
      </c>
      <c r="P292" t="s">
        <v>74</v>
      </c>
      <c r="Q292" t="s">
        <v>74</v>
      </c>
      <c r="R292" t="s">
        <v>74</v>
      </c>
      <c r="S292" t="s">
        <v>74</v>
      </c>
      <c r="T292" t="s">
        <v>5934</v>
      </c>
      <c r="U292" t="s">
        <v>74</v>
      </c>
      <c r="V292" t="s">
        <v>5935</v>
      </c>
      <c r="W292" t="s">
        <v>5936</v>
      </c>
      <c r="X292" t="s">
        <v>5937</v>
      </c>
      <c r="Y292" t="s">
        <v>5938</v>
      </c>
      <c r="Z292" t="s">
        <v>5939</v>
      </c>
      <c r="AA292" t="s">
        <v>5940</v>
      </c>
      <c r="AB292" t="s">
        <v>5941</v>
      </c>
      <c r="AC292" t="s">
        <v>5942</v>
      </c>
      <c r="AD292" t="s">
        <v>5943</v>
      </c>
      <c r="AE292" t="s">
        <v>5944</v>
      </c>
      <c r="AF292" t="s">
        <v>74</v>
      </c>
      <c r="AG292">
        <v>6</v>
      </c>
      <c r="AH292">
        <v>6</v>
      </c>
      <c r="AI292">
        <v>10</v>
      </c>
      <c r="AJ292">
        <v>1</v>
      </c>
      <c r="AK292">
        <v>7</v>
      </c>
      <c r="AL292" t="s">
        <v>5919</v>
      </c>
      <c r="AM292" t="s">
        <v>166</v>
      </c>
      <c r="AN292" t="s">
        <v>5920</v>
      </c>
      <c r="AO292" t="s">
        <v>5921</v>
      </c>
      <c r="AP292" t="s">
        <v>5922</v>
      </c>
      <c r="AQ292" t="s">
        <v>74</v>
      </c>
      <c r="AR292" t="s">
        <v>5923</v>
      </c>
      <c r="AS292" t="s">
        <v>5924</v>
      </c>
      <c r="AT292" t="s">
        <v>690</v>
      </c>
      <c r="AU292">
        <v>2020</v>
      </c>
      <c r="AV292">
        <v>199</v>
      </c>
      <c r="AW292" t="s">
        <v>4623</v>
      </c>
      <c r="AX292" t="s">
        <v>74</v>
      </c>
      <c r="AY292" t="s">
        <v>74</v>
      </c>
      <c r="AZ292" t="s">
        <v>342</v>
      </c>
      <c r="BA292" t="s">
        <v>74</v>
      </c>
      <c r="BB292">
        <v>968</v>
      </c>
      <c r="BC292">
        <v>975</v>
      </c>
      <c r="BD292" t="s">
        <v>74</v>
      </c>
      <c r="BE292" t="s">
        <v>5945</v>
      </c>
      <c r="BF292" t="str">
        <f>HYPERLINK("http://dx.doi.org/10.1007/s10909-020-02411-8","http://dx.doi.org/10.1007/s10909-020-02411-8")</f>
        <v>http://dx.doi.org/10.1007/s10909-020-02411-8</v>
      </c>
      <c r="BG292" t="s">
        <v>74</v>
      </c>
      <c r="BH292" t="s">
        <v>5744</v>
      </c>
      <c r="BI292">
        <v>8</v>
      </c>
      <c r="BJ292" t="s">
        <v>5926</v>
      </c>
      <c r="BK292" t="s">
        <v>103</v>
      </c>
      <c r="BL292" t="s">
        <v>5927</v>
      </c>
      <c r="BM292" t="s">
        <v>5928</v>
      </c>
      <c r="BN292" t="s">
        <v>74</v>
      </c>
      <c r="BO292" t="s">
        <v>5946</v>
      </c>
      <c r="BP292" t="s">
        <v>74</v>
      </c>
      <c r="BQ292" t="s">
        <v>74</v>
      </c>
      <c r="BR292" t="s">
        <v>106</v>
      </c>
      <c r="BS292" t="s">
        <v>5947</v>
      </c>
      <c r="BT292" t="str">
        <f>HYPERLINK("https%3A%2F%2Fwww.webofscience.com%2Fwos%2Fwoscc%2Ffull-record%2FWOS:000516400800011","View Full Record in Web of Science")</f>
        <v>View Full Record in Web of Science</v>
      </c>
    </row>
    <row r="293" spans="1:72" x14ac:dyDescent="0.15">
      <c r="A293" t="s">
        <v>72</v>
      </c>
      <c r="B293" t="s">
        <v>5948</v>
      </c>
      <c r="C293" t="s">
        <v>74</v>
      </c>
      <c r="D293" t="s">
        <v>74</v>
      </c>
      <c r="E293" t="s">
        <v>74</v>
      </c>
      <c r="F293" t="s">
        <v>5949</v>
      </c>
      <c r="G293" t="s">
        <v>74</v>
      </c>
      <c r="H293" t="s">
        <v>74</v>
      </c>
      <c r="I293" t="s">
        <v>5950</v>
      </c>
      <c r="J293" t="s">
        <v>5907</v>
      </c>
      <c r="K293" t="s">
        <v>74</v>
      </c>
      <c r="L293" t="s">
        <v>74</v>
      </c>
      <c r="M293" t="s">
        <v>78</v>
      </c>
      <c r="N293" t="s">
        <v>79</v>
      </c>
      <c r="O293" t="s">
        <v>74</v>
      </c>
      <c r="P293" t="s">
        <v>74</v>
      </c>
      <c r="Q293" t="s">
        <v>74</v>
      </c>
      <c r="R293" t="s">
        <v>74</v>
      </c>
      <c r="S293" t="s">
        <v>74</v>
      </c>
      <c r="T293" t="s">
        <v>5951</v>
      </c>
      <c r="U293" t="s">
        <v>74</v>
      </c>
      <c r="V293" t="s">
        <v>5952</v>
      </c>
      <c r="W293" t="s">
        <v>5953</v>
      </c>
      <c r="X293" t="s">
        <v>5954</v>
      </c>
      <c r="Y293" t="s">
        <v>5955</v>
      </c>
      <c r="Z293" t="s">
        <v>5956</v>
      </c>
      <c r="AA293" t="s">
        <v>5957</v>
      </c>
      <c r="AB293" t="s">
        <v>5958</v>
      </c>
      <c r="AC293" t="s">
        <v>5959</v>
      </c>
      <c r="AD293" t="s">
        <v>5960</v>
      </c>
      <c r="AE293" t="s">
        <v>5961</v>
      </c>
      <c r="AF293" t="s">
        <v>74</v>
      </c>
      <c r="AG293">
        <v>8</v>
      </c>
      <c r="AH293">
        <v>3</v>
      </c>
      <c r="AI293">
        <v>3</v>
      </c>
      <c r="AJ293">
        <v>0</v>
      </c>
      <c r="AK293">
        <v>6</v>
      </c>
      <c r="AL293" t="s">
        <v>5919</v>
      </c>
      <c r="AM293" t="s">
        <v>166</v>
      </c>
      <c r="AN293" t="s">
        <v>5920</v>
      </c>
      <c r="AO293" t="s">
        <v>5921</v>
      </c>
      <c r="AP293" t="s">
        <v>5922</v>
      </c>
      <c r="AQ293" t="s">
        <v>74</v>
      </c>
      <c r="AR293" t="s">
        <v>5923</v>
      </c>
      <c r="AS293" t="s">
        <v>5924</v>
      </c>
      <c r="AT293" t="s">
        <v>690</v>
      </c>
      <c r="AU293">
        <v>2020</v>
      </c>
      <c r="AV293">
        <v>199</v>
      </c>
      <c r="AW293" t="s">
        <v>4623</v>
      </c>
      <c r="AX293" t="s">
        <v>74</v>
      </c>
      <c r="AY293" t="s">
        <v>74</v>
      </c>
      <c r="AZ293" t="s">
        <v>342</v>
      </c>
      <c r="BA293" t="s">
        <v>74</v>
      </c>
      <c r="BB293">
        <v>1118</v>
      </c>
      <c r="BC293">
        <v>1126</v>
      </c>
      <c r="BD293" t="s">
        <v>74</v>
      </c>
      <c r="BE293" t="s">
        <v>5962</v>
      </c>
      <c r="BF293" t="str">
        <f>HYPERLINK("http://dx.doi.org/10.1007/s10909-019-02299-z","http://dx.doi.org/10.1007/s10909-019-02299-z")</f>
        <v>http://dx.doi.org/10.1007/s10909-019-02299-z</v>
      </c>
      <c r="BG293" t="s">
        <v>74</v>
      </c>
      <c r="BH293" t="s">
        <v>5744</v>
      </c>
      <c r="BI293">
        <v>9</v>
      </c>
      <c r="BJ293" t="s">
        <v>5926</v>
      </c>
      <c r="BK293" t="s">
        <v>103</v>
      </c>
      <c r="BL293" t="s">
        <v>5927</v>
      </c>
      <c r="BM293" t="s">
        <v>5928</v>
      </c>
      <c r="BN293" t="s">
        <v>74</v>
      </c>
      <c r="BO293" t="s">
        <v>5929</v>
      </c>
      <c r="BP293" t="s">
        <v>74</v>
      </c>
      <c r="BQ293" t="s">
        <v>74</v>
      </c>
      <c r="BR293" t="s">
        <v>106</v>
      </c>
      <c r="BS293" t="s">
        <v>5963</v>
      </c>
      <c r="BT293" t="str">
        <f>HYPERLINK("https%3A%2F%2Fwww.webofscience.com%2Fwos%2Fwoscc%2Ffull-record%2FWOS:000516400800007","View Full Record in Web of Science")</f>
        <v>View Full Record in Web of Science</v>
      </c>
    </row>
    <row r="294" spans="1:72" x14ac:dyDescent="0.15">
      <c r="A294" t="s">
        <v>72</v>
      </c>
      <c r="B294" t="s">
        <v>5964</v>
      </c>
      <c r="C294" t="s">
        <v>74</v>
      </c>
      <c r="D294" t="s">
        <v>74</v>
      </c>
      <c r="E294" t="s">
        <v>74</v>
      </c>
      <c r="F294" t="s">
        <v>5965</v>
      </c>
      <c r="G294" t="s">
        <v>74</v>
      </c>
      <c r="H294" t="s">
        <v>74</v>
      </c>
      <c r="I294" t="s">
        <v>5966</v>
      </c>
      <c r="J294" t="s">
        <v>5967</v>
      </c>
      <c r="K294" t="s">
        <v>74</v>
      </c>
      <c r="L294" t="s">
        <v>74</v>
      </c>
      <c r="M294" t="s">
        <v>78</v>
      </c>
      <c r="N294" t="s">
        <v>1434</v>
      </c>
      <c r="O294" t="s">
        <v>74</v>
      </c>
      <c r="P294" t="s">
        <v>74</v>
      </c>
      <c r="Q294" t="s">
        <v>74</v>
      </c>
      <c r="R294" t="s">
        <v>74</v>
      </c>
      <c r="S294" t="s">
        <v>74</v>
      </c>
      <c r="T294" t="s">
        <v>74</v>
      </c>
      <c r="U294" t="s">
        <v>5968</v>
      </c>
      <c r="V294" t="s">
        <v>5969</v>
      </c>
      <c r="W294" t="s">
        <v>5970</v>
      </c>
      <c r="X294" t="s">
        <v>5971</v>
      </c>
      <c r="Y294" t="s">
        <v>5972</v>
      </c>
      <c r="Z294" t="s">
        <v>5973</v>
      </c>
      <c r="AA294" t="s">
        <v>5974</v>
      </c>
      <c r="AB294" t="s">
        <v>5975</v>
      </c>
      <c r="AC294" t="s">
        <v>5976</v>
      </c>
      <c r="AD294" t="s">
        <v>5977</v>
      </c>
      <c r="AE294" t="s">
        <v>5978</v>
      </c>
      <c r="AF294" t="s">
        <v>74</v>
      </c>
      <c r="AG294">
        <v>97</v>
      </c>
      <c r="AH294">
        <v>99</v>
      </c>
      <c r="AI294">
        <v>108</v>
      </c>
      <c r="AJ294">
        <v>8</v>
      </c>
      <c r="AK294">
        <v>66</v>
      </c>
      <c r="AL294" t="s">
        <v>753</v>
      </c>
      <c r="AM294" t="s">
        <v>545</v>
      </c>
      <c r="AN294" t="s">
        <v>1097</v>
      </c>
      <c r="AO294" t="s">
        <v>5979</v>
      </c>
      <c r="AP294" t="s">
        <v>5980</v>
      </c>
      <c r="AQ294" t="s">
        <v>74</v>
      </c>
      <c r="AR294" t="s">
        <v>5981</v>
      </c>
      <c r="AS294" t="s">
        <v>5982</v>
      </c>
      <c r="AT294" t="s">
        <v>2912</v>
      </c>
      <c r="AU294">
        <v>2020</v>
      </c>
      <c r="AV294">
        <v>10</v>
      </c>
      <c r="AW294">
        <v>3</v>
      </c>
      <c r="AX294" t="s">
        <v>74</v>
      </c>
      <c r="AY294" t="s">
        <v>74</v>
      </c>
      <c r="AZ294" t="s">
        <v>74</v>
      </c>
      <c r="BA294" t="s">
        <v>74</v>
      </c>
      <c r="BB294">
        <v>209</v>
      </c>
      <c r="BC294">
        <v>219</v>
      </c>
      <c r="BD294" t="s">
        <v>74</v>
      </c>
      <c r="BE294" t="s">
        <v>5983</v>
      </c>
      <c r="BF294" t="str">
        <f>HYPERLINK("http://dx.doi.org/10.1038/s41558-020-0705-4","http://dx.doi.org/10.1038/s41558-020-0705-4")</f>
        <v>http://dx.doi.org/10.1038/s41558-020-0705-4</v>
      </c>
      <c r="BG294" t="s">
        <v>74</v>
      </c>
      <c r="BH294" t="s">
        <v>5744</v>
      </c>
      <c r="BI294">
        <v>11</v>
      </c>
      <c r="BJ294" t="s">
        <v>5984</v>
      </c>
      <c r="BK294" t="s">
        <v>1149</v>
      </c>
      <c r="BL294" t="s">
        <v>985</v>
      </c>
      <c r="BM294" t="s">
        <v>5985</v>
      </c>
      <c r="BN294" t="s">
        <v>74</v>
      </c>
      <c r="BO294" t="s">
        <v>193</v>
      </c>
      <c r="BP294" t="s">
        <v>74</v>
      </c>
      <c r="BQ294" t="s">
        <v>74</v>
      </c>
      <c r="BR294" t="s">
        <v>106</v>
      </c>
      <c r="BS294" t="s">
        <v>5986</v>
      </c>
      <c r="BT294" t="str">
        <f>HYPERLINK("https%3A%2F%2Fwww.webofscience.com%2Fwos%2Fwoscc%2Ffull-record%2FWOS:000515477200003","View Full Record in Web of Science")</f>
        <v>View Full Record in Web of Science</v>
      </c>
    </row>
    <row r="295" spans="1:72" x14ac:dyDescent="0.15">
      <c r="A295" t="s">
        <v>72</v>
      </c>
      <c r="B295" t="s">
        <v>5987</v>
      </c>
      <c r="C295" t="s">
        <v>74</v>
      </c>
      <c r="D295" t="s">
        <v>74</v>
      </c>
      <c r="E295" t="s">
        <v>74</v>
      </c>
      <c r="F295" t="s">
        <v>5988</v>
      </c>
      <c r="G295" t="s">
        <v>74</v>
      </c>
      <c r="H295" t="s">
        <v>74</v>
      </c>
      <c r="I295" t="s">
        <v>5989</v>
      </c>
      <c r="J295" t="s">
        <v>5990</v>
      </c>
      <c r="K295" t="s">
        <v>74</v>
      </c>
      <c r="L295" t="s">
        <v>74</v>
      </c>
      <c r="M295" t="s">
        <v>78</v>
      </c>
      <c r="N295" t="s">
        <v>79</v>
      </c>
      <c r="O295" t="s">
        <v>74</v>
      </c>
      <c r="P295" t="s">
        <v>74</v>
      </c>
      <c r="Q295" t="s">
        <v>74</v>
      </c>
      <c r="R295" t="s">
        <v>74</v>
      </c>
      <c r="S295" t="s">
        <v>74</v>
      </c>
      <c r="T295" t="s">
        <v>5991</v>
      </c>
      <c r="U295" t="s">
        <v>5992</v>
      </c>
      <c r="V295" t="s">
        <v>5993</v>
      </c>
      <c r="W295" t="s">
        <v>5994</v>
      </c>
      <c r="X295" t="s">
        <v>5995</v>
      </c>
      <c r="Y295" t="s">
        <v>5996</v>
      </c>
      <c r="Z295" t="s">
        <v>5997</v>
      </c>
      <c r="AA295" t="s">
        <v>5998</v>
      </c>
      <c r="AB295" t="s">
        <v>5999</v>
      </c>
      <c r="AC295" t="s">
        <v>6000</v>
      </c>
      <c r="AD295" t="s">
        <v>6001</v>
      </c>
      <c r="AE295" t="s">
        <v>6002</v>
      </c>
      <c r="AF295" t="s">
        <v>74</v>
      </c>
      <c r="AG295">
        <v>89</v>
      </c>
      <c r="AH295">
        <v>19</v>
      </c>
      <c r="AI295">
        <v>20</v>
      </c>
      <c r="AJ295">
        <v>0</v>
      </c>
      <c r="AK295">
        <v>48</v>
      </c>
      <c r="AL295" t="s">
        <v>211</v>
      </c>
      <c r="AM295" t="s">
        <v>212</v>
      </c>
      <c r="AN295" t="s">
        <v>213</v>
      </c>
      <c r="AO295" t="s">
        <v>6003</v>
      </c>
      <c r="AP295" t="s">
        <v>6004</v>
      </c>
      <c r="AQ295" t="s">
        <v>74</v>
      </c>
      <c r="AR295" t="s">
        <v>6005</v>
      </c>
      <c r="AS295" t="s">
        <v>6006</v>
      </c>
      <c r="AT295" t="s">
        <v>733</v>
      </c>
      <c r="AU295">
        <v>2020</v>
      </c>
      <c r="AV295">
        <v>43</v>
      </c>
      <c r="AW295">
        <v>6</v>
      </c>
      <c r="AX295" t="s">
        <v>74</v>
      </c>
      <c r="AY295" t="s">
        <v>74</v>
      </c>
      <c r="AZ295" t="s">
        <v>74</v>
      </c>
      <c r="BA295" t="s">
        <v>74</v>
      </c>
      <c r="BB295">
        <v>1376</v>
      </c>
      <c r="BC295">
        <v>1393</v>
      </c>
      <c r="BD295" t="s">
        <v>74</v>
      </c>
      <c r="BE295" t="s">
        <v>6007</v>
      </c>
      <c r="BF295" t="str">
        <f>HYPERLINK("http://dx.doi.org/10.1111/pce.13737","http://dx.doi.org/10.1111/pce.13737")</f>
        <v>http://dx.doi.org/10.1111/pce.13737</v>
      </c>
      <c r="BG295" t="s">
        <v>74</v>
      </c>
      <c r="BH295" t="s">
        <v>5744</v>
      </c>
      <c r="BI295">
        <v>18</v>
      </c>
      <c r="BJ295" t="s">
        <v>6008</v>
      </c>
      <c r="BK295" t="s">
        <v>103</v>
      </c>
      <c r="BL295" t="s">
        <v>6008</v>
      </c>
      <c r="BM295" t="s">
        <v>6009</v>
      </c>
      <c r="BN295">
        <v>32012308</v>
      </c>
      <c r="BO295" t="s">
        <v>74</v>
      </c>
      <c r="BP295" t="s">
        <v>74</v>
      </c>
      <c r="BQ295" t="s">
        <v>74</v>
      </c>
      <c r="BR295" t="s">
        <v>106</v>
      </c>
      <c r="BS295" t="s">
        <v>6010</v>
      </c>
      <c r="BT295" t="str">
        <f>HYPERLINK("https%3A%2F%2Fwww.webofscience.com%2Fwos%2Fwoscc%2Ffull-record%2FWOS:000515311300001","View Full Record in Web of Science")</f>
        <v>View Full Record in Web of Science</v>
      </c>
    </row>
    <row r="296" spans="1:72" x14ac:dyDescent="0.15">
      <c r="A296" t="s">
        <v>72</v>
      </c>
      <c r="B296" t="s">
        <v>6011</v>
      </c>
      <c r="C296" t="s">
        <v>74</v>
      </c>
      <c r="D296" t="s">
        <v>74</v>
      </c>
      <c r="E296" t="s">
        <v>74</v>
      </c>
      <c r="F296" t="s">
        <v>6012</v>
      </c>
      <c r="G296" t="s">
        <v>74</v>
      </c>
      <c r="H296" t="s">
        <v>74</v>
      </c>
      <c r="I296" t="s">
        <v>6013</v>
      </c>
      <c r="J296" t="s">
        <v>940</v>
      </c>
      <c r="K296" t="s">
        <v>74</v>
      </c>
      <c r="L296" t="s">
        <v>74</v>
      </c>
      <c r="M296" t="s">
        <v>78</v>
      </c>
      <c r="N296" t="s">
        <v>79</v>
      </c>
      <c r="O296" t="s">
        <v>74</v>
      </c>
      <c r="P296" t="s">
        <v>74</v>
      </c>
      <c r="Q296" t="s">
        <v>74</v>
      </c>
      <c r="R296" t="s">
        <v>74</v>
      </c>
      <c r="S296" t="s">
        <v>74</v>
      </c>
      <c r="T296" t="s">
        <v>74</v>
      </c>
      <c r="U296" t="s">
        <v>6014</v>
      </c>
      <c r="V296" t="s">
        <v>6015</v>
      </c>
      <c r="W296" t="s">
        <v>6016</v>
      </c>
      <c r="X296" t="s">
        <v>6017</v>
      </c>
      <c r="Y296" t="s">
        <v>6018</v>
      </c>
      <c r="Z296" t="s">
        <v>6019</v>
      </c>
      <c r="AA296" t="s">
        <v>6020</v>
      </c>
      <c r="AB296" t="s">
        <v>6021</v>
      </c>
      <c r="AC296" t="s">
        <v>6022</v>
      </c>
      <c r="AD296" t="s">
        <v>6023</v>
      </c>
      <c r="AE296" t="s">
        <v>6024</v>
      </c>
      <c r="AF296" t="s">
        <v>74</v>
      </c>
      <c r="AG296">
        <v>115</v>
      </c>
      <c r="AH296">
        <v>20</v>
      </c>
      <c r="AI296">
        <v>23</v>
      </c>
      <c r="AJ296">
        <v>2</v>
      </c>
      <c r="AK296">
        <v>13</v>
      </c>
      <c r="AL296" t="s">
        <v>951</v>
      </c>
      <c r="AM296" t="s">
        <v>952</v>
      </c>
      <c r="AN296" t="s">
        <v>953</v>
      </c>
      <c r="AO296" t="s">
        <v>954</v>
      </c>
      <c r="AP296" t="s">
        <v>74</v>
      </c>
      <c r="AQ296" t="s">
        <v>74</v>
      </c>
      <c r="AR296" t="s">
        <v>955</v>
      </c>
      <c r="AS296" t="s">
        <v>956</v>
      </c>
      <c r="AT296" t="s">
        <v>6025</v>
      </c>
      <c r="AU296">
        <v>2020</v>
      </c>
      <c r="AV296">
        <v>10</v>
      </c>
      <c r="AW296">
        <v>1</v>
      </c>
      <c r="AX296" t="s">
        <v>74</v>
      </c>
      <c r="AY296" t="s">
        <v>74</v>
      </c>
      <c r="AZ296" t="s">
        <v>74</v>
      </c>
      <c r="BA296" t="s">
        <v>74</v>
      </c>
      <c r="BB296" t="s">
        <v>74</v>
      </c>
      <c r="BC296" t="s">
        <v>74</v>
      </c>
      <c r="BD296">
        <v>3238</v>
      </c>
      <c r="BE296" t="s">
        <v>6026</v>
      </c>
      <c r="BF296" t="str">
        <f>HYPERLINK("http://dx.doi.org/10.1038/s41598-020-59992-3","http://dx.doi.org/10.1038/s41598-020-59992-3")</f>
        <v>http://dx.doi.org/10.1038/s41598-020-59992-3</v>
      </c>
      <c r="BG296" t="s">
        <v>74</v>
      </c>
      <c r="BH296" t="s">
        <v>74</v>
      </c>
      <c r="BI296">
        <v>15</v>
      </c>
      <c r="BJ296" t="s">
        <v>322</v>
      </c>
      <c r="BK296" t="s">
        <v>103</v>
      </c>
      <c r="BL296" t="s">
        <v>323</v>
      </c>
      <c r="BM296" t="s">
        <v>6027</v>
      </c>
      <c r="BN296">
        <v>32094418</v>
      </c>
      <c r="BO296" t="s">
        <v>6028</v>
      </c>
      <c r="BP296" t="s">
        <v>74</v>
      </c>
      <c r="BQ296" t="s">
        <v>74</v>
      </c>
      <c r="BR296" t="s">
        <v>106</v>
      </c>
      <c r="BS296" t="s">
        <v>6029</v>
      </c>
      <c r="BT296" t="str">
        <f>HYPERLINK("https%3A%2F%2Fwww.webofscience.com%2Fwos%2Fwoscc%2Ffull-record%2FWOS:000563268400013","View Full Record in Web of Science")</f>
        <v>View Full Record in Web of Science</v>
      </c>
    </row>
    <row r="297" spans="1:72" x14ac:dyDescent="0.15">
      <c r="A297" t="s">
        <v>72</v>
      </c>
      <c r="B297" t="s">
        <v>6030</v>
      </c>
      <c r="C297" t="s">
        <v>74</v>
      </c>
      <c r="D297" t="s">
        <v>74</v>
      </c>
      <c r="E297" t="s">
        <v>74</v>
      </c>
      <c r="F297" t="s">
        <v>6031</v>
      </c>
      <c r="G297" t="s">
        <v>74</v>
      </c>
      <c r="H297" t="s">
        <v>74</v>
      </c>
      <c r="I297" t="s">
        <v>6032</v>
      </c>
      <c r="J297" t="s">
        <v>672</v>
      </c>
      <c r="K297" t="s">
        <v>74</v>
      </c>
      <c r="L297" t="s">
        <v>74</v>
      </c>
      <c r="M297" t="s">
        <v>78</v>
      </c>
      <c r="N297" t="s">
        <v>79</v>
      </c>
      <c r="O297" t="s">
        <v>74</v>
      </c>
      <c r="P297" t="s">
        <v>74</v>
      </c>
      <c r="Q297" t="s">
        <v>74</v>
      </c>
      <c r="R297" t="s">
        <v>74</v>
      </c>
      <c r="S297" t="s">
        <v>74</v>
      </c>
      <c r="T297" t="s">
        <v>6033</v>
      </c>
      <c r="U297" t="s">
        <v>6034</v>
      </c>
      <c r="V297" t="s">
        <v>6035</v>
      </c>
      <c r="W297" t="s">
        <v>6036</v>
      </c>
      <c r="X297" t="s">
        <v>6037</v>
      </c>
      <c r="Y297" t="s">
        <v>6038</v>
      </c>
      <c r="Z297" t="s">
        <v>6039</v>
      </c>
      <c r="AA297" t="s">
        <v>6040</v>
      </c>
      <c r="AB297" t="s">
        <v>6041</v>
      </c>
      <c r="AC297" t="s">
        <v>6042</v>
      </c>
      <c r="AD297" t="s">
        <v>6043</v>
      </c>
      <c r="AE297" t="s">
        <v>6044</v>
      </c>
      <c r="AF297" t="s">
        <v>74</v>
      </c>
      <c r="AG297">
        <v>78</v>
      </c>
      <c r="AH297">
        <v>6</v>
      </c>
      <c r="AI297">
        <v>6</v>
      </c>
      <c r="AJ297">
        <v>0</v>
      </c>
      <c r="AK297">
        <v>17</v>
      </c>
      <c r="AL297" t="s">
        <v>121</v>
      </c>
      <c r="AM297" t="s">
        <v>166</v>
      </c>
      <c r="AN297" t="s">
        <v>685</v>
      </c>
      <c r="AO297" t="s">
        <v>686</v>
      </c>
      <c r="AP297" t="s">
        <v>687</v>
      </c>
      <c r="AQ297" t="s">
        <v>74</v>
      </c>
      <c r="AR297" t="s">
        <v>688</v>
      </c>
      <c r="AS297" t="s">
        <v>689</v>
      </c>
      <c r="AT297" t="s">
        <v>2912</v>
      </c>
      <c r="AU297">
        <v>2020</v>
      </c>
      <c r="AV297">
        <v>43</v>
      </c>
      <c r="AW297">
        <v>3</v>
      </c>
      <c r="AX297" t="s">
        <v>74</v>
      </c>
      <c r="AY297" t="s">
        <v>74</v>
      </c>
      <c r="AZ297" t="s">
        <v>74</v>
      </c>
      <c r="BA297" t="s">
        <v>74</v>
      </c>
      <c r="BB297">
        <v>263</v>
      </c>
      <c r="BC297">
        <v>277</v>
      </c>
      <c r="BD297" t="s">
        <v>74</v>
      </c>
      <c r="BE297" t="s">
        <v>6045</v>
      </c>
      <c r="BF297" t="str">
        <f>HYPERLINK("http://dx.doi.org/10.1007/s00300-020-02628-z","http://dx.doi.org/10.1007/s00300-020-02628-z")</f>
        <v>http://dx.doi.org/10.1007/s00300-020-02628-z</v>
      </c>
      <c r="BG297" t="s">
        <v>74</v>
      </c>
      <c r="BH297" t="s">
        <v>5744</v>
      </c>
      <c r="BI297">
        <v>15</v>
      </c>
      <c r="BJ297" t="s">
        <v>130</v>
      </c>
      <c r="BK297" t="s">
        <v>103</v>
      </c>
      <c r="BL297" t="s">
        <v>131</v>
      </c>
      <c r="BM297" t="s">
        <v>5799</v>
      </c>
      <c r="BN297" t="s">
        <v>74</v>
      </c>
      <c r="BO297" t="s">
        <v>6046</v>
      </c>
      <c r="BP297" t="s">
        <v>74</v>
      </c>
      <c r="BQ297" t="s">
        <v>74</v>
      </c>
      <c r="BR297" t="s">
        <v>106</v>
      </c>
      <c r="BS297" t="s">
        <v>6047</v>
      </c>
      <c r="BT297" t="str">
        <f>HYPERLINK("https%3A%2F%2Fwww.webofscience.com%2Fwos%2Fwoscc%2Ffull-record%2FWOS:000516432100001","View Full Record in Web of Science")</f>
        <v>View Full Record in Web of Science</v>
      </c>
    </row>
    <row r="298" spans="1:72" x14ac:dyDescent="0.15">
      <c r="A298" t="s">
        <v>72</v>
      </c>
      <c r="B298" t="s">
        <v>6048</v>
      </c>
      <c r="C298" t="s">
        <v>74</v>
      </c>
      <c r="D298" t="s">
        <v>74</v>
      </c>
      <c r="E298" t="s">
        <v>74</v>
      </c>
      <c r="F298" t="s">
        <v>6049</v>
      </c>
      <c r="G298" t="s">
        <v>74</v>
      </c>
      <c r="H298" t="s">
        <v>74</v>
      </c>
      <c r="I298" t="s">
        <v>6050</v>
      </c>
      <c r="J298" t="s">
        <v>6051</v>
      </c>
      <c r="K298" t="s">
        <v>74</v>
      </c>
      <c r="L298" t="s">
        <v>74</v>
      </c>
      <c r="M298" t="s">
        <v>78</v>
      </c>
      <c r="N298" t="s">
        <v>79</v>
      </c>
      <c r="O298" t="s">
        <v>74</v>
      </c>
      <c r="P298" t="s">
        <v>74</v>
      </c>
      <c r="Q298" t="s">
        <v>74</v>
      </c>
      <c r="R298" t="s">
        <v>74</v>
      </c>
      <c r="S298" t="s">
        <v>74</v>
      </c>
      <c r="T298" t="s">
        <v>6052</v>
      </c>
      <c r="U298" t="s">
        <v>6053</v>
      </c>
      <c r="V298" t="s">
        <v>6054</v>
      </c>
      <c r="W298" t="s">
        <v>6055</v>
      </c>
      <c r="X298" t="s">
        <v>6056</v>
      </c>
      <c r="Y298" t="s">
        <v>6057</v>
      </c>
      <c r="Z298" t="s">
        <v>6058</v>
      </c>
      <c r="AA298" t="s">
        <v>6059</v>
      </c>
      <c r="AB298" t="s">
        <v>6060</v>
      </c>
      <c r="AC298" t="s">
        <v>6061</v>
      </c>
      <c r="AD298" t="s">
        <v>2364</v>
      </c>
      <c r="AE298" t="s">
        <v>6062</v>
      </c>
      <c r="AF298" t="s">
        <v>74</v>
      </c>
      <c r="AG298">
        <v>58</v>
      </c>
      <c r="AH298">
        <v>22</v>
      </c>
      <c r="AI298">
        <v>22</v>
      </c>
      <c r="AJ298">
        <v>2</v>
      </c>
      <c r="AK298">
        <v>8</v>
      </c>
      <c r="AL298" t="s">
        <v>211</v>
      </c>
      <c r="AM298" t="s">
        <v>212</v>
      </c>
      <c r="AN298" t="s">
        <v>213</v>
      </c>
      <c r="AO298" t="s">
        <v>6063</v>
      </c>
      <c r="AP298" t="s">
        <v>6064</v>
      </c>
      <c r="AQ298" t="s">
        <v>74</v>
      </c>
      <c r="AR298" t="s">
        <v>6065</v>
      </c>
      <c r="AS298" t="s">
        <v>6066</v>
      </c>
      <c r="AT298" t="s">
        <v>128</v>
      </c>
      <c r="AU298">
        <v>2020</v>
      </c>
      <c r="AV298">
        <v>146</v>
      </c>
      <c r="AW298">
        <v>729</v>
      </c>
      <c r="AX298" t="s">
        <v>74</v>
      </c>
      <c r="AY298" t="s">
        <v>74</v>
      </c>
      <c r="AZ298" t="s">
        <v>74</v>
      </c>
      <c r="BA298" t="s">
        <v>74</v>
      </c>
      <c r="BB298">
        <v>1575</v>
      </c>
      <c r="BC298">
        <v>1589</v>
      </c>
      <c r="BD298" t="s">
        <v>74</v>
      </c>
      <c r="BE298" t="s">
        <v>6067</v>
      </c>
      <c r="BF298" t="str">
        <f>HYPERLINK("http://dx.doi.org/10.1002/qj.3753","http://dx.doi.org/10.1002/qj.3753")</f>
        <v>http://dx.doi.org/10.1002/qj.3753</v>
      </c>
      <c r="BG298" t="s">
        <v>74</v>
      </c>
      <c r="BH298" t="s">
        <v>5744</v>
      </c>
      <c r="BI298">
        <v>15</v>
      </c>
      <c r="BJ298" t="s">
        <v>907</v>
      </c>
      <c r="BK298" t="s">
        <v>103</v>
      </c>
      <c r="BL298" t="s">
        <v>907</v>
      </c>
      <c r="BM298" t="s">
        <v>6068</v>
      </c>
      <c r="BN298" t="s">
        <v>74</v>
      </c>
      <c r="BO298" t="s">
        <v>175</v>
      </c>
      <c r="BP298" t="s">
        <v>74</v>
      </c>
      <c r="BQ298" t="s">
        <v>74</v>
      </c>
      <c r="BR298" t="s">
        <v>106</v>
      </c>
      <c r="BS298" t="s">
        <v>6069</v>
      </c>
      <c r="BT298" t="str">
        <f>HYPERLINK("https%3A%2F%2Fwww.webofscience.com%2Fwos%2Fwoscc%2Ffull-record%2FWOS:000515061100001","View Full Record in Web of Science")</f>
        <v>View Full Record in Web of Science</v>
      </c>
    </row>
    <row r="299" spans="1:72" x14ac:dyDescent="0.15">
      <c r="A299" t="s">
        <v>72</v>
      </c>
      <c r="B299" t="s">
        <v>6070</v>
      </c>
      <c r="C299" t="s">
        <v>74</v>
      </c>
      <c r="D299" t="s">
        <v>74</v>
      </c>
      <c r="E299" t="s">
        <v>74</v>
      </c>
      <c r="F299" t="s">
        <v>6071</v>
      </c>
      <c r="G299" t="s">
        <v>74</v>
      </c>
      <c r="H299" t="s">
        <v>74</v>
      </c>
      <c r="I299" t="s">
        <v>6072</v>
      </c>
      <c r="J299" t="s">
        <v>1986</v>
      </c>
      <c r="K299" t="s">
        <v>74</v>
      </c>
      <c r="L299" t="s">
        <v>74</v>
      </c>
      <c r="M299" t="s">
        <v>78</v>
      </c>
      <c r="N299" t="s">
        <v>79</v>
      </c>
      <c r="O299" t="s">
        <v>74</v>
      </c>
      <c r="P299" t="s">
        <v>74</v>
      </c>
      <c r="Q299" t="s">
        <v>74</v>
      </c>
      <c r="R299" t="s">
        <v>74</v>
      </c>
      <c r="S299" t="s">
        <v>74</v>
      </c>
      <c r="T299" t="s">
        <v>6073</v>
      </c>
      <c r="U299" t="s">
        <v>6074</v>
      </c>
      <c r="V299" t="s">
        <v>6075</v>
      </c>
      <c r="W299" t="s">
        <v>6076</v>
      </c>
      <c r="X299" t="s">
        <v>6077</v>
      </c>
      <c r="Y299" t="s">
        <v>6078</v>
      </c>
      <c r="Z299" t="s">
        <v>6079</v>
      </c>
      <c r="AA299" t="s">
        <v>6080</v>
      </c>
      <c r="AB299" t="s">
        <v>6081</v>
      </c>
      <c r="AC299" t="s">
        <v>6082</v>
      </c>
      <c r="AD299" t="s">
        <v>6083</v>
      </c>
      <c r="AE299" t="s">
        <v>6084</v>
      </c>
      <c r="AF299" t="s">
        <v>74</v>
      </c>
      <c r="AG299">
        <v>76</v>
      </c>
      <c r="AH299">
        <v>41</v>
      </c>
      <c r="AI299">
        <v>41</v>
      </c>
      <c r="AJ299">
        <v>2</v>
      </c>
      <c r="AK299">
        <v>24</v>
      </c>
      <c r="AL299" t="s">
        <v>211</v>
      </c>
      <c r="AM299" t="s">
        <v>212</v>
      </c>
      <c r="AN299" t="s">
        <v>213</v>
      </c>
      <c r="AO299" t="s">
        <v>1998</v>
      </c>
      <c r="AP299" t="s">
        <v>1999</v>
      </c>
      <c r="AQ299" t="s">
        <v>74</v>
      </c>
      <c r="AR299" t="s">
        <v>2000</v>
      </c>
      <c r="AS299" t="s">
        <v>2001</v>
      </c>
      <c r="AT299" t="s">
        <v>1147</v>
      </c>
      <c r="AU299">
        <v>2020</v>
      </c>
      <c r="AV299">
        <v>40</v>
      </c>
      <c r="AW299">
        <v>12</v>
      </c>
      <c r="AX299" t="s">
        <v>74</v>
      </c>
      <c r="AY299" t="s">
        <v>74</v>
      </c>
      <c r="AZ299" t="s">
        <v>74</v>
      </c>
      <c r="BA299" t="s">
        <v>74</v>
      </c>
      <c r="BB299">
        <v>5246</v>
      </c>
      <c r="BC299">
        <v>5265</v>
      </c>
      <c r="BD299" t="s">
        <v>74</v>
      </c>
      <c r="BE299" t="s">
        <v>6085</v>
      </c>
      <c r="BF299" t="str">
        <f>HYPERLINK("http://dx.doi.org/10.1002/joc.6517","http://dx.doi.org/10.1002/joc.6517")</f>
        <v>http://dx.doi.org/10.1002/joc.6517</v>
      </c>
      <c r="BG299" t="s">
        <v>74</v>
      </c>
      <c r="BH299" t="s">
        <v>5744</v>
      </c>
      <c r="BI299">
        <v>20</v>
      </c>
      <c r="BJ299" t="s">
        <v>907</v>
      </c>
      <c r="BK299" t="s">
        <v>103</v>
      </c>
      <c r="BL299" t="s">
        <v>907</v>
      </c>
      <c r="BM299" t="s">
        <v>6086</v>
      </c>
      <c r="BN299" t="s">
        <v>74</v>
      </c>
      <c r="BO299" t="s">
        <v>6087</v>
      </c>
      <c r="BP299" t="s">
        <v>74</v>
      </c>
      <c r="BQ299" t="s">
        <v>74</v>
      </c>
      <c r="BR299" t="s">
        <v>106</v>
      </c>
      <c r="BS299" t="s">
        <v>6088</v>
      </c>
      <c r="BT299" t="str">
        <f>HYPERLINK("https%3A%2F%2Fwww.webofscience.com%2Fwos%2Fwoscc%2Ffull-record%2FWOS:000514939300001","View Full Record in Web of Science")</f>
        <v>View Full Record in Web of Science</v>
      </c>
    </row>
    <row r="300" spans="1:72" x14ac:dyDescent="0.15">
      <c r="A300" t="s">
        <v>72</v>
      </c>
      <c r="B300" t="s">
        <v>6089</v>
      </c>
      <c r="C300" t="s">
        <v>74</v>
      </c>
      <c r="D300" t="s">
        <v>74</v>
      </c>
      <c r="E300" t="s">
        <v>74</v>
      </c>
      <c r="F300" t="s">
        <v>6090</v>
      </c>
      <c r="G300" t="s">
        <v>74</v>
      </c>
      <c r="H300" t="s">
        <v>74</v>
      </c>
      <c r="I300" t="s">
        <v>6091</v>
      </c>
      <c r="J300" t="s">
        <v>766</v>
      </c>
      <c r="K300" t="s">
        <v>74</v>
      </c>
      <c r="L300" t="s">
        <v>74</v>
      </c>
      <c r="M300" t="s">
        <v>78</v>
      </c>
      <c r="N300" t="s">
        <v>1911</v>
      </c>
      <c r="O300" t="s">
        <v>74</v>
      </c>
      <c r="P300" t="s">
        <v>74</v>
      </c>
      <c r="Q300" t="s">
        <v>74</v>
      </c>
      <c r="R300" t="s">
        <v>74</v>
      </c>
      <c r="S300" t="s">
        <v>74</v>
      </c>
      <c r="T300" t="s">
        <v>74</v>
      </c>
      <c r="U300" t="s">
        <v>74</v>
      </c>
      <c r="V300" t="s">
        <v>6092</v>
      </c>
      <c r="W300" t="s">
        <v>6093</v>
      </c>
      <c r="X300" t="s">
        <v>6094</v>
      </c>
      <c r="Y300" t="s">
        <v>6095</v>
      </c>
      <c r="Z300" t="s">
        <v>6096</v>
      </c>
      <c r="AA300" t="s">
        <v>6097</v>
      </c>
      <c r="AB300" t="s">
        <v>6098</v>
      </c>
      <c r="AC300" t="s">
        <v>74</v>
      </c>
      <c r="AD300" t="s">
        <v>74</v>
      </c>
      <c r="AE300" t="s">
        <v>74</v>
      </c>
      <c r="AF300" t="s">
        <v>74</v>
      </c>
      <c r="AG300">
        <v>12</v>
      </c>
      <c r="AH300">
        <v>4</v>
      </c>
      <c r="AI300">
        <v>4</v>
      </c>
      <c r="AJ300">
        <v>0</v>
      </c>
      <c r="AK300">
        <v>19</v>
      </c>
      <c r="AL300" t="s">
        <v>211</v>
      </c>
      <c r="AM300" t="s">
        <v>212</v>
      </c>
      <c r="AN300" t="s">
        <v>213</v>
      </c>
      <c r="AO300" t="s">
        <v>779</v>
      </c>
      <c r="AP300" t="s">
        <v>780</v>
      </c>
      <c r="AQ300" t="s">
        <v>74</v>
      </c>
      <c r="AR300" t="s">
        <v>781</v>
      </c>
      <c r="AS300" t="s">
        <v>782</v>
      </c>
      <c r="AT300" t="s">
        <v>128</v>
      </c>
      <c r="AU300">
        <v>2020</v>
      </c>
      <c r="AV300">
        <v>26</v>
      </c>
      <c r="AW300">
        <v>4</v>
      </c>
      <c r="AX300" t="s">
        <v>74</v>
      </c>
      <c r="AY300" t="s">
        <v>74</v>
      </c>
      <c r="AZ300" t="s">
        <v>74</v>
      </c>
      <c r="BA300" t="s">
        <v>74</v>
      </c>
      <c r="BB300">
        <v>1942</v>
      </c>
      <c r="BC300">
        <v>1943</v>
      </c>
      <c r="BD300" t="s">
        <v>74</v>
      </c>
      <c r="BE300" t="s">
        <v>6099</v>
      </c>
      <c r="BF300" t="str">
        <f>HYPERLINK("http://dx.doi.org/10.1111/gcb.15013","http://dx.doi.org/10.1111/gcb.15013")</f>
        <v>http://dx.doi.org/10.1111/gcb.15013</v>
      </c>
      <c r="BG300" t="s">
        <v>74</v>
      </c>
      <c r="BH300" t="s">
        <v>5744</v>
      </c>
      <c r="BI300">
        <v>2</v>
      </c>
      <c r="BJ300" t="s">
        <v>784</v>
      </c>
      <c r="BK300" t="s">
        <v>103</v>
      </c>
      <c r="BL300" t="s">
        <v>131</v>
      </c>
      <c r="BM300" t="s">
        <v>6100</v>
      </c>
      <c r="BN300">
        <v>31981270</v>
      </c>
      <c r="BO300" t="s">
        <v>517</v>
      </c>
      <c r="BP300" t="s">
        <v>74</v>
      </c>
      <c r="BQ300" t="s">
        <v>74</v>
      </c>
      <c r="BR300" t="s">
        <v>106</v>
      </c>
      <c r="BS300" t="s">
        <v>6101</v>
      </c>
      <c r="BT300" t="str">
        <f>HYPERLINK("https%3A%2F%2Fwww.webofscience.com%2Fwos%2Fwoscc%2Ffull-record%2FWOS:000514656800001","View Full Record in Web of Science")</f>
        <v>View Full Record in Web of Science</v>
      </c>
    </row>
    <row r="301" spans="1:72" x14ac:dyDescent="0.15">
      <c r="A301" t="s">
        <v>72</v>
      </c>
      <c r="B301" t="s">
        <v>6102</v>
      </c>
      <c r="C301" t="s">
        <v>74</v>
      </c>
      <c r="D301" t="s">
        <v>74</v>
      </c>
      <c r="E301" t="s">
        <v>74</v>
      </c>
      <c r="F301" t="s">
        <v>6103</v>
      </c>
      <c r="G301" t="s">
        <v>74</v>
      </c>
      <c r="H301" t="s">
        <v>74</v>
      </c>
      <c r="I301" t="s">
        <v>6104</v>
      </c>
      <c r="J301" t="s">
        <v>6105</v>
      </c>
      <c r="K301" t="s">
        <v>74</v>
      </c>
      <c r="L301" t="s">
        <v>74</v>
      </c>
      <c r="M301" t="s">
        <v>78</v>
      </c>
      <c r="N301" t="s">
        <v>79</v>
      </c>
      <c r="O301" t="s">
        <v>74</v>
      </c>
      <c r="P301" t="s">
        <v>74</v>
      </c>
      <c r="Q301" t="s">
        <v>74</v>
      </c>
      <c r="R301" t="s">
        <v>74</v>
      </c>
      <c r="S301" t="s">
        <v>74</v>
      </c>
      <c r="T301" t="s">
        <v>74</v>
      </c>
      <c r="U301" t="s">
        <v>6106</v>
      </c>
      <c r="V301" t="s">
        <v>6107</v>
      </c>
      <c r="W301" t="s">
        <v>6108</v>
      </c>
      <c r="X301" t="s">
        <v>6109</v>
      </c>
      <c r="Y301" t="s">
        <v>6110</v>
      </c>
      <c r="Z301" t="s">
        <v>6111</v>
      </c>
      <c r="AA301" t="s">
        <v>6112</v>
      </c>
      <c r="AB301" t="s">
        <v>6113</v>
      </c>
      <c r="AC301" t="s">
        <v>6114</v>
      </c>
      <c r="AD301" t="s">
        <v>6115</v>
      </c>
      <c r="AE301" t="s">
        <v>6116</v>
      </c>
      <c r="AF301" t="s">
        <v>74</v>
      </c>
      <c r="AG301">
        <v>19</v>
      </c>
      <c r="AH301">
        <v>1</v>
      </c>
      <c r="AI301">
        <v>1</v>
      </c>
      <c r="AJ301">
        <v>0</v>
      </c>
      <c r="AK301">
        <v>4</v>
      </c>
      <c r="AL301" t="s">
        <v>121</v>
      </c>
      <c r="AM301" t="s">
        <v>166</v>
      </c>
      <c r="AN301" t="s">
        <v>685</v>
      </c>
      <c r="AO301" t="s">
        <v>6117</v>
      </c>
      <c r="AP301" t="s">
        <v>6118</v>
      </c>
      <c r="AQ301" t="s">
        <v>74</v>
      </c>
      <c r="AR301" t="s">
        <v>6119</v>
      </c>
      <c r="AS301" t="s">
        <v>6120</v>
      </c>
      <c r="AT301" t="s">
        <v>6121</v>
      </c>
      <c r="AU301">
        <v>2020</v>
      </c>
      <c r="AV301">
        <v>61</v>
      </c>
      <c r="AW301">
        <v>3</v>
      </c>
      <c r="AX301" t="s">
        <v>74</v>
      </c>
      <c r="AY301" t="s">
        <v>74</v>
      </c>
      <c r="AZ301" t="s">
        <v>74</v>
      </c>
      <c r="BA301" t="s">
        <v>74</v>
      </c>
      <c r="BB301" t="s">
        <v>74</v>
      </c>
      <c r="BC301" t="s">
        <v>74</v>
      </c>
      <c r="BD301" t="s">
        <v>74</v>
      </c>
      <c r="BE301" t="s">
        <v>6122</v>
      </c>
      <c r="BF301" t="str">
        <f>HYPERLINK("http://dx.doi.org/10.1007/s00348-020-2906-z","http://dx.doi.org/10.1007/s00348-020-2906-z")</f>
        <v>http://dx.doi.org/10.1007/s00348-020-2906-z</v>
      </c>
      <c r="BG301" t="s">
        <v>74</v>
      </c>
      <c r="BH301" t="s">
        <v>74</v>
      </c>
      <c r="BI301">
        <v>14</v>
      </c>
      <c r="BJ301" t="s">
        <v>6123</v>
      </c>
      <c r="BK301" t="s">
        <v>103</v>
      </c>
      <c r="BL301" t="s">
        <v>6124</v>
      </c>
      <c r="BM301" t="s">
        <v>6125</v>
      </c>
      <c r="BN301" t="s">
        <v>74</v>
      </c>
      <c r="BO301" t="s">
        <v>193</v>
      </c>
      <c r="BP301" t="s">
        <v>74</v>
      </c>
      <c r="BQ301" t="s">
        <v>74</v>
      </c>
      <c r="BR301" t="s">
        <v>106</v>
      </c>
      <c r="BS301" t="s">
        <v>6126</v>
      </c>
      <c r="BT301" t="str">
        <f>HYPERLINK("https%3A%2F%2Fwww.webofscience.com%2Fwos%2Fwoscc%2Ffull-record%2FWOS:000518032400004","View Full Record in Web of Science")</f>
        <v>View Full Record in Web of Science</v>
      </c>
    </row>
    <row r="302" spans="1:72" x14ac:dyDescent="0.15">
      <c r="A302" t="s">
        <v>72</v>
      </c>
      <c r="B302" t="s">
        <v>6127</v>
      </c>
      <c r="C302" t="s">
        <v>74</v>
      </c>
      <c r="D302" t="s">
        <v>74</v>
      </c>
      <c r="E302" t="s">
        <v>74</v>
      </c>
      <c r="F302" t="s">
        <v>6128</v>
      </c>
      <c r="G302" t="s">
        <v>74</v>
      </c>
      <c r="H302" t="s">
        <v>74</v>
      </c>
      <c r="I302" t="s">
        <v>6129</v>
      </c>
      <c r="J302" t="s">
        <v>1390</v>
      </c>
      <c r="K302" t="s">
        <v>74</v>
      </c>
      <c r="L302" t="s">
        <v>74</v>
      </c>
      <c r="M302" t="s">
        <v>78</v>
      </c>
      <c r="N302" t="s">
        <v>79</v>
      </c>
      <c r="O302" t="s">
        <v>74</v>
      </c>
      <c r="P302" t="s">
        <v>74</v>
      </c>
      <c r="Q302" t="s">
        <v>74</v>
      </c>
      <c r="R302" t="s">
        <v>74</v>
      </c>
      <c r="S302" t="s">
        <v>74</v>
      </c>
      <c r="T302" t="s">
        <v>74</v>
      </c>
      <c r="U302" t="s">
        <v>6130</v>
      </c>
      <c r="V302" t="s">
        <v>6131</v>
      </c>
      <c r="W302" t="s">
        <v>6132</v>
      </c>
      <c r="X302" t="s">
        <v>6133</v>
      </c>
      <c r="Y302" t="s">
        <v>6134</v>
      </c>
      <c r="Z302" t="s">
        <v>6135</v>
      </c>
      <c r="AA302" t="s">
        <v>6136</v>
      </c>
      <c r="AB302" t="s">
        <v>6137</v>
      </c>
      <c r="AC302" t="s">
        <v>6138</v>
      </c>
      <c r="AD302" t="s">
        <v>6139</v>
      </c>
      <c r="AE302" t="s">
        <v>6140</v>
      </c>
      <c r="AF302" t="s">
        <v>74</v>
      </c>
      <c r="AG302">
        <v>147</v>
      </c>
      <c r="AH302">
        <v>22</v>
      </c>
      <c r="AI302">
        <v>22</v>
      </c>
      <c r="AJ302">
        <v>0</v>
      </c>
      <c r="AK302">
        <v>12</v>
      </c>
      <c r="AL302" t="s">
        <v>976</v>
      </c>
      <c r="AM302" t="s">
        <v>977</v>
      </c>
      <c r="AN302" t="s">
        <v>978</v>
      </c>
      <c r="AO302" t="s">
        <v>1399</v>
      </c>
      <c r="AP302" t="s">
        <v>1400</v>
      </c>
      <c r="AQ302" t="s">
        <v>74</v>
      </c>
      <c r="AR302" t="s">
        <v>1390</v>
      </c>
      <c r="AS302" t="s">
        <v>1401</v>
      </c>
      <c r="AT302" t="s">
        <v>6121</v>
      </c>
      <c r="AU302">
        <v>2020</v>
      </c>
      <c r="AV302">
        <v>17</v>
      </c>
      <c r="AW302">
        <v>4</v>
      </c>
      <c r="AX302" t="s">
        <v>74</v>
      </c>
      <c r="AY302" t="s">
        <v>74</v>
      </c>
      <c r="AZ302" t="s">
        <v>74</v>
      </c>
      <c r="BA302" t="s">
        <v>74</v>
      </c>
      <c r="BB302">
        <v>917</v>
      </c>
      <c r="BC302">
        <v>943</v>
      </c>
      <c r="BD302" t="s">
        <v>74</v>
      </c>
      <c r="BE302" t="s">
        <v>6141</v>
      </c>
      <c r="BF302" t="str">
        <f>HYPERLINK("http://dx.doi.org/10.5194/bg-17-917-2020","http://dx.doi.org/10.5194/bg-17-917-2020")</f>
        <v>http://dx.doi.org/10.5194/bg-17-917-2020</v>
      </c>
      <c r="BG302" t="s">
        <v>74</v>
      </c>
      <c r="BH302" t="s">
        <v>74</v>
      </c>
      <c r="BI302">
        <v>27</v>
      </c>
      <c r="BJ302" t="s">
        <v>1404</v>
      </c>
      <c r="BK302" t="s">
        <v>103</v>
      </c>
      <c r="BL302" t="s">
        <v>1405</v>
      </c>
      <c r="BM302" t="s">
        <v>6142</v>
      </c>
      <c r="BN302" t="s">
        <v>74</v>
      </c>
      <c r="BO302" t="s">
        <v>6143</v>
      </c>
      <c r="BP302" t="s">
        <v>74</v>
      </c>
      <c r="BQ302" t="s">
        <v>74</v>
      </c>
      <c r="BR302" t="s">
        <v>106</v>
      </c>
      <c r="BS302" t="s">
        <v>6144</v>
      </c>
      <c r="BT302" t="str">
        <f>HYPERLINK("https%3A%2F%2Fwww.webofscience.com%2Fwos%2Fwoscc%2Ffull-record%2FWOS:000516719200003","View Full Record in Web of Science")</f>
        <v>View Full Record in Web of Science</v>
      </c>
    </row>
    <row r="303" spans="1:72" x14ac:dyDescent="0.15">
      <c r="A303" t="s">
        <v>72</v>
      </c>
      <c r="B303" t="s">
        <v>6145</v>
      </c>
      <c r="C303" t="s">
        <v>74</v>
      </c>
      <c r="D303" t="s">
        <v>74</v>
      </c>
      <c r="E303" t="s">
        <v>74</v>
      </c>
      <c r="F303" t="s">
        <v>6146</v>
      </c>
      <c r="G303" t="s">
        <v>74</v>
      </c>
      <c r="H303" t="s">
        <v>74</v>
      </c>
      <c r="I303" t="s">
        <v>6147</v>
      </c>
      <c r="J303" t="s">
        <v>6148</v>
      </c>
      <c r="K303" t="s">
        <v>74</v>
      </c>
      <c r="L303" t="s">
        <v>74</v>
      </c>
      <c r="M303" t="s">
        <v>78</v>
      </c>
      <c r="N303" t="s">
        <v>79</v>
      </c>
      <c r="O303" t="s">
        <v>74</v>
      </c>
      <c r="P303" t="s">
        <v>74</v>
      </c>
      <c r="Q303" t="s">
        <v>74</v>
      </c>
      <c r="R303" t="s">
        <v>74</v>
      </c>
      <c r="S303" t="s">
        <v>74</v>
      </c>
      <c r="T303" t="s">
        <v>74</v>
      </c>
      <c r="U303" t="s">
        <v>6149</v>
      </c>
      <c r="V303" t="s">
        <v>74</v>
      </c>
      <c r="W303" t="s">
        <v>6150</v>
      </c>
      <c r="X303" t="s">
        <v>6151</v>
      </c>
      <c r="Y303" t="s">
        <v>6152</v>
      </c>
      <c r="Z303" t="s">
        <v>6153</v>
      </c>
      <c r="AA303" t="s">
        <v>6154</v>
      </c>
      <c r="AB303" t="s">
        <v>6155</v>
      </c>
      <c r="AC303" t="s">
        <v>74</v>
      </c>
      <c r="AD303" t="s">
        <v>74</v>
      </c>
      <c r="AE303" t="s">
        <v>74</v>
      </c>
      <c r="AF303" t="s">
        <v>74</v>
      </c>
      <c r="AG303">
        <v>37</v>
      </c>
      <c r="AH303">
        <v>17</v>
      </c>
      <c r="AI303">
        <v>17</v>
      </c>
      <c r="AJ303">
        <v>0</v>
      </c>
      <c r="AK303">
        <v>5</v>
      </c>
      <c r="AL303" t="s">
        <v>211</v>
      </c>
      <c r="AM303" t="s">
        <v>212</v>
      </c>
      <c r="AN303" t="s">
        <v>213</v>
      </c>
      <c r="AO303" t="s">
        <v>6156</v>
      </c>
      <c r="AP303" t="s">
        <v>6157</v>
      </c>
      <c r="AQ303" t="s">
        <v>74</v>
      </c>
      <c r="AR303" t="s">
        <v>6158</v>
      </c>
      <c r="AS303" t="s">
        <v>6159</v>
      </c>
      <c r="AT303" t="s">
        <v>2002</v>
      </c>
      <c r="AU303">
        <v>2020</v>
      </c>
      <c r="AV303">
        <v>36</v>
      </c>
      <c r="AW303">
        <v>3</v>
      </c>
      <c r="AX303" t="s">
        <v>74</v>
      </c>
      <c r="AY303" t="s">
        <v>74</v>
      </c>
      <c r="AZ303" t="s">
        <v>74</v>
      </c>
      <c r="BA303" t="s">
        <v>74</v>
      </c>
      <c r="BB303">
        <v>1015</v>
      </c>
      <c r="BC303">
        <v>1021</v>
      </c>
      <c r="BD303" t="s">
        <v>74</v>
      </c>
      <c r="BE303" t="s">
        <v>6160</v>
      </c>
      <c r="BF303" t="str">
        <f>HYPERLINK("http://dx.doi.org/10.1111/mms.12677","http://dx.doi.org/10.1111/mms.12677")</f>
        <v>http://dx.doi.org/10.1111/mms.12677</v>
      </c>
      <c r="BG303" t="s">
        <v>74</v>
      </c>
      <c r="BH303" t="s">
        <v>5744</v>
      </c>
      <c r="BI303">
        <v>7</v>
      </c>
      <c r="BJ303" t="s">
        <v>6161</v>
      </c>
      <c r="BK303" t="s">
        <v>103</v>
      </c>
      <c r="BL303" t="s">
        <v>6161</v>
      </c>
      <c r="BM303" t="s">
        <v>6162</v>
      </c>
      <c r="BN303" t="s">
        <v>74</v>
      </c>
      <c r="BO303" t="s">
        <v>74</v>
      </c>
      <c r="BP303" t="s">
        <v>74</v>
      </c>
      <c r="BQ303" t="s">
        <v>74</v>
      </c>
      <c r="BR303" t="s">
        <v>106</v>
      </c>
      <c r="BS303" t="s">
        <v>6163</v>
      </c>
      <c r="BT303" t="str">
        <f>HYPERLINK("https%3A%2F%2Fwww.webofscience.com%2Fwos%2Fwoscc%2Ffull-record%2FWOS:000514711100001","View Full Record in Web of Science")</f>
        <v>View Full Record in Web of Science</v>
      </c>
    </row>
    <row r="304" spans="1:72" x14ac:dyDescent="0.15">
      <c r="A304" t="s">
        <v>72</v>
      </c>
      <c r="B304" t="s">
        <v>6164</v>
      </c>
      <c r="C304" t="s">
        <v>74</v>
      </c>
      <c r="D304" t="s">
        <v>74</v>
      </c>
      <c r="E304" t="s">
        <v>74</v>
      </c>
      <c r="F304" t="s">
        <v>6165</v>
      </c>
      <c r="G304" t="s">
        <v>74</v>
      </c>
      <c r="H304" t="s">
        <v>74</v>
      </c>
      <c r="I304" t="s">
        <v>6166</v>
      </c>
      <c r="J304" t="s">
        <v>6167</v>
      </c>
      <c r="K304" t="s">
        <v>74</v>
      </c>
      <c r="L304" t="s">
        <v>74</v>
      </c>
      <c r="M304" t="s">
        <v>78</v>
      </c>
      <c r="N304" t="s">
        <v>79</v>
      </c>
      <c r="O304" t="s">
        <v>74</v>
      </c>
      <c r="P304" t="s">
        <v>74</v>
      </c>
      <c r="Q304" t="s">
        <v>74</v>
      </c>
      <c r="R304" t="s">
        <v>74</v>
      </c>
      <c r="S304" t="s">
        <v>74</v>
      </c>
      <c r="T304" t="s">
        <v>74</v>
      </c>
      <c r="U304" t="s">
        <v>6168</v>
      </c>
      <c r="V304" t="s">
        <v>6169</v>
      </c>
      <c r="W304" t="s">
        <v>6170</v>
      </c>
      <c r="X304" t="s">
        <v>6171</v>
      </c>
      <c r="Y304" t="s">
        <v>6172</v>
      </c>
      <c r="Z304" t="s">
        <v>6173</v>
      </c>
      <c r="AA304" t="s">
        <v>6174</v>
      </c>
      <c r="AB304" t="s">
        <v>6175</v>
      </c>
      <c r="AC304" t="s">
        <v>6176</v>
      </c>
      <c r="AD304" t="s">
        <v>6177</v>
      </c>
      <c r="AE304" t="s">
        <v>6178</v>
      </c>
      <c r="AF304" t="s">
        <v>74</v>
      </c>
      <c r="AG304">
        <v>77</v>
      </c>
      <c r="AH304">
        <v>61</v>
      </c>
      <c r="AI304">
        <v>63</v>
      </c>
      <c r="AJ304">
        <v>11</v>
      </c>
      <c r="AK304">
        <v>41</v>
      </c>
      <c r="AL304" t="s">
        <v>6179</v>
      </c>
      <c r="AM304" t="s">
        <v>3234</v>
      </c>
      <c r="AN304" t="s">
        <v>6180</v>
      </c>
      <c r="AO304" t="s">
        <v>6181</v>
      </c>
      <c r="AP304" t="s">
        <v>6182</v>
      </c>
      <c r="AQ304" t="s">
        <v>74</v>
      </c>
      <c r="AR304" t="s">
        <v>6167</v>
      </c>
      <c r="AS304" t="s">
        <v>6183</v>
      </c>
      <c r="AT304" t="s">
        <v>6121</v>
      </c>
      <c r="AU304">
        <v>2020</v>
      </c>
      <c r="AV304">
        <v>2</v>
      </c>
      <c r="AW304">
        <v>2</v>
      </c>
      <c r="AX304" t="s">
        <v>74</v>
      </c>
      <c r="AY304" t="s">
        <v>74</v>
      </c>
      <c r="AZ304" t="s">
        <v>74</v>
      </c>
      <c r="BA304" t="s">
        <v>74</v>
      </c>
      <c r="BB304">
        <v>160</v>
      </c>
      <c r="BC304">
        <v>172</v>
      </c>
      <c r="BD304" t="s">
        <v>74</v>
      </c>
      <c r="BE304" t="s">
        <v>6184</v>
      </c>
      <c r="BF304" t="str">
        <f>HYPERLINK("http://dx.doi.org/10.1016/j.oneear.2020.01.008","http://dx.doi.org/10.1016/j.oneear.2020.01.008")</f>
        <v>http://dx.doi.org/10.1016/j.oneear.2020.01.008</v>
      </c>
      <c r="BG304" t="s">
        <v>74</v>
      </c>
      <c r="BH304" t="s">
        <v>74</v>
      </c>
      <c r="BI304">
        <v>13</v>
      </c>
      <c r="BJ304" t="s">
        <v>6185</v>
      </c>
      <c r="BK304" t="s">
        <v>1149</v>
      </c>
      <c r="BL304" t="s">
        <v>6186</v>
      </c>
      <c r="BM304" t="s">
        <v>6187</v>
      </c>
      <c r="BN304" t="s">
        <v>74</v>
      </c>
      <c r="BO304" t="s">
        <v>5672</v>
      </c>
      <c r="BP304" t="s">
        <v>74</v>
      </c>
      <c r="BQ304" t="s">
        <v>74</v>
      </c>
      <c r="BR304" t="s">
        <v>106</v>
      </c>
      <c r="BS304" t="s">
        <v>6188</v>
      </c>
      <c r="BT304" t="str">
        <f>HYPERLINK("https%3A%2F%2Fwww.webofscience.com%2Fwos%2Fwoscc%2Ffull-record%2FWOS:000645243500009","View Full Record in Web of Science")</f>
        <v>View Full Record in Web of Science</v>
      </c>
    </row>
    <row r="305" spans="1:72" x14ac:dyDescent="0.15">
      <c r="A305" t="s">
        <v>72</v>
      </c>
      <c r="B305" t="s">
        <v>6189</v>
      </c>
      <c r="C305" t="s">
        <v>74</v>
      </c>
      <c r="D305" t="s">
        <v>74</v>
      </c>
      <c r="E305" t="s">
        <v>74</v>
      </c>
      <c r="F305" t="s">
        <v>6190</v>
      </c>
      <c r="G305" t="s">
        <v>74</v>
      </c>
      <c r="H305" t="s">
        <v>74</v>
      </c>
      <c r="I305" t="s">
        <v>6191</v>
      </c>
      <c r="J305" t="s">
        <v>1547</v>
      </c>
      <c r="K305" t="s">
        <v>74</v>
      </c>
      <c r="L305" t="s">
        <v>74</v>
      </c>
      <c r="M305" t="s">
        <v>78</v>
      </c>
      <c r="N305" t="s">
        <v>79</v>
      </c>
      <c r="O305" t="s">
        <v>74</v>
      </c>
      <c r="P305" t="s">
        <v>74</v>
      </c>
      <c r="Q305" t="s">
        <v>74</v>
      </c>
      <c r="R305" t="s">
        <v>74</v>
      </c>
      <c r="S305" t="s">
        <v>74</v>
      </c>
      <c r="T305" t="s">
        <v>74</v>
      </c>
      <c r="U305" t="s">
        <v>6192</v>
      </c>
      <c r="V305" t="s">
        <v>6193</v>
      </c>
      <c r="W305" t="s">
        <v>6194</v>
      </c>
      <c r="X305" t="s">
        <v>6195</v>
      </c>
      <c r="Y305" t="s">
        <v>6196</v>
      </c>
      <c r="Z305" t="s">
        <v>6197</v>
      </c>
      <c r="AA305" t="s">
        <v>6198</v>
      </c>
      <c r="AB305" t="s">
        <v>6199</v>
      </c>
      <c r="AC305" t="s">
        <v>6200</v>
      </c>
      <c r="AD305" t="s">
        <v>6201</v>
      </c>
      <c r="AE305" t="s">
        <v>6202</v>
      </c>
      <c r="AF305" t="s">
        <v>74</v>
      </c>
      <c r="AG305">
        <v>97</v>
      </c>
      <c r="AH305">
        <v>43</v>
      </c>
      <c r="AI305">
        <v>47</v>
      </c>
      <c r="AJ305">
        <v>15</v>
      </c>
      <c r="AK305">
        <v>105</v>
      </c>
      <c r="AL305" t="s">
        <v>315</v>
      </c>
      <c r="AM305" t="s">
        <v>266</v>
      </c>
      <c r="AN305" t="s">
        <v>316</v>
      </c>
      <c r="AO305" t="s">
        <v>1559</v>
      </c>
      <c r="AP305" t="s">
        <v>1560</v>
      </c>
      <c r="AQ305" t="s">
        <v>74</v>
      </c>
      <c r="AR305" t="s">
        <v>1547</v>
      </c>
      <c r="AS305" t="s">
        <v>1561</v>
      </c>
      <c r="AT305" t="s">
        <v>6121</v>
      </c>
      <c r="AU305">
        <v>2020</v>
      </c>
      <c r="AV305">
        <v>367</v>
      </c>
      <c r="AW305">
        <v>6480</v>
      </c>
      <c r="AX305" t="s">
        <v>74</v>
      </c>
      <c r="AY305" t="s">
        <v>74</v>
      </c>
      <c r="AZ305" t="s">
        <v>74</v>
      </c>
      <c r="BA305" t="s">
        <v>74</v>
      </c>
      <c r="BB305">
        <v>907</v>
      </c>
      <c r="BC305" t="s">
        <v>759</v>
      </c>
      <c r="BD305" t="s">
        <v>74</v>
      </c>
      <c r="BE305" t="s">
        <v>6203</v>
      </c>
      <c r="BF305" t="str">
        <f>HYPERLINK("http://dx.doi.org/10.1126/science.aax0504","http://dx.doi.org/10.1126/science.aax0504")</f>
        <v>http://dx.doi.org/10.1126/science.aax0504</v>
      </c>
      <c r="BG305" t="s">
        <v>74</v>
      </c>
      <c r="BH305" t="s">
        <v>74</v>
      </c>
      <c r="BI305">
        <v>53</v>
      </c>
      <c r="BJ305" t="s">
        <v>322</v>
      </c>
      <c r="BK305" t="s">
        <v>103</v>
      </c>
      <c r="BL305" t="s">
        <v>323</v>
      </c>
      <c r="BM305" t="s">
        <v>6204</v>
      </c>
      <c r="BN305">
        <v>32079770</v>
      </c>
      <c r="BO305" t="s">
        <v>6205</v>
      </c>
      <c r="BP305" t="s">
        <v>74</v>
      </c>
      <c r="BQ305" t="s">
        <v>74</v>
      </c>
      <c r="BR305" t="s">
        <v>106</v>
      </c>
      <c r="BS305" t="s">
        <v>6206</v>
      </c>
      <c r="BT305" t="str">
        <f>HYPERLINK("https%3A%2F%2Fwww.webofscience.com%2Fwos%2Fwoscc%2Ffull-record%2FWOS:000515235800043","View Full Record in Web of Science")</f>
        <v>View Full Record in Web of Science</v>
      </c>
    </row>
    <row r="306" spans="1:72" x14ac:dyDescent="0.15">
      <c r="A306" t="s">
        <v>72</v>
      </c>
      <c r="B306" t="s">
        <v>6207</v>
      </c>
      <c r="C306" t="s">
        <v>74</v>
      </c>
      <c r="D306" t="s">
        <v>74</v>
      </c>
      <c r="E306" t="s">
        <v>74</v>
      </c>
      <c r="F306" t="s">
        <v>6208</v>
      </c>
      <c r="G306" t="s">
        <v>74</v>
      </c>
      <c r="H306" t="s">
        <v>74</v>
      </c>
      <c r="I306" t="s">
        <v>6209</v>
      </c>
      <c r="J306" t="s">
        <v>940</v>
      </c>
      <c r="K306" t="s">
        <v>74</v>
      </c>
      <c r="L306" t="s">
        <v>74</v>
      </c>
      <c r="M306" t="s">
        <v>78</v>
      </c>
      <c r="N306" t="s">
        <v>79</v>
      </c>
      <c r="O306" t="s">
        <v>74</v>
      </c>
      <c r="P306" t="s">
        <v>74</v>
      </c>
      <c r="Q306" t="s">
        <v>74</v>
      </c>
      <c r="R306" t="s">
        <v>74</v>
      </c>
      <c r="S306" t="s">
        <v>74</v>
      </c>
      <c r="T306" t="s">
        <v>74</v>
      </c>
      <c r="U306" t="s">
        <v>6210</v>
      </c>
      <c r="V306" t="s">
        <v>6211</v>
      </c>
      <c r="W306" t="s">
        <v>6212</v>
      </c>
      <c r="X306" t="s">
        <v>6213</v>
      </c>
      <c r="Y306" t="s">
        <v>6214</v>
      </c>
      <c r="Z306" t="s">
        <v>6215</v>
      </c>
      <c r="AA306" t="s">
        <v>6216</v>
      </c>
      <c r="AB306" t="s">
        <v>6217</v>
      </c>
      <c r="AC306" t="s">
        <v>6218</v>
      </c>
      <c r="AD306" t="s">
        <v>6219</v>
      </c>
      <c r="AE306" t="s">
        <v>6220</v>
      </c>
      <c r="AF306" t="s">
        <v>74</v>
      </c>
      <c r="AG306">
        <v>115</v>
      </c>
      <c r="AH306">
        <v>61</v>
      </c>
      <c r="AI306">
        <v>66</v>
      </c>
      <c r="AJ306">
        <v>7</v>
      </c>
      <c r="AK306">
        <v>58</v>
      </c>
      <c r="AL306" t="s">
        <v>951</v>
      </c>
      <c r="AM306" t="s">
        <v>952</v>
      </c>
      <c r="AN306" t="s">
        <v>953</v>
      </c>
      <c r="AO306" t="s">
        <v>954</v>
      </c>
      <c r="AP306" t="s">
        <v>74</v>
      </c>
      <c r="AQ306" t="s">
        <v>74</v>
      </c>
      <c r="AR306" t="s">
        <v>955</v>
      </c>
      <c r="AS306" t="s">
        <v>956</v>
      </c>
      <c r="AT306" t="s">
        <v>6121</v>
      </c>
      <c r="AU306">
        <v>2020</v>
      </c>
      <c r="AV306">
        <v>10</v>
      </c>
      <c r="AW306">
        <v>1</v>
      </c>
      <c r="AX306" t="s">
        <v>74</v>
      </c>
      <c r="AY306" t="s">
        <v>74</v>
      </c>
      <c r="AZ306" t="s">
        <v>74</v>
      </c>
      <c r="BA306" t="s">
        <v>74</v>
      </c>
      <c r="BB306" t="s">
        <v>74</v>
      </c>
      <c r="BC306" t="s">
        <v>74</v>
      </c>
      <c r="BD306">
        <v>3186</v>
      </c>
      <c r="BE306" t="s">
        <v>6221</v>
      </c>
      <c r="BF306" t="str">
        <f>HYPERLINK("http://dx.doi.org/10.1038/s41598-020-60104-4","http://dx.doi.org/10.1038/s41598-020-60104-4")</f>
        <v>http://dx.doi.org/10.1038/s41598-020-60104-4</v>
      </c>
      <c r="BG306" t="s">
        <v>74</v>
      </c>
      <c r="BH306" t="s">
        <v>74</v>
      </c>
      <c r="BI306">
        <v>12</v>
      </c>
      <c r="BJ306" t="s">
        <v>322</v>
      </c>
      <c r="BK306" t="s">
        <v>103</v>
      </c>
      <c r="BL306" t="s">
        <v>323</v>
      </c>
      <c r="BM306" t="s">
        <v>6222</v>
      </c>
      <c r="BN306">
        <v>32081970</v>
      </c>
      <c r="BO306" t="s">
        <v>276</v>
      </c>
      <c r="BP306" t="s">
        <v>74</v>
      </c>
      <c r="BQ306" t="s">
        <v>74</v>
      </c>
      <c r="BR306" t="s">
        <v>106</v>
      </c>
      <c r="BS306" t="s">
        <v>6223</v>
      </c>
      <c r="BT306" t="str">
        <f>HYPERLINK("https%3A%2F%2Fwww.webofscience.com%2Fwos%2Fwoscc%2Ffull-record%2FWOS:000570140700001","View Full Record in Web of Science")</f>
        <v>View Full Record in Web of Science</v>
      </c>
    </row>
    <row r="307" spans="1:72" x14ac:dyDescent="0.15">
      <c r="A307" t="s">
        <v>72</v>
      </c>
      <c r="B307" t="s">
        <v>6224</v>
      </c>
      <c r="C307" t="s">
        <v>74</v>
      </c>
      <c r="D307" t="s">
        <v>74</v>
      </c>
      <c r="E307" t="s">
        <v>74</v>
      </c>
      <c r="F307" t="s">
        <v>6225</v>
      </c>
      <c r="G307" t="s">
        <v>74</v>
      </c>
      <c r="H307" t="s">
        <v>74</v>
      </c>
      <c r="I307" t="s">
        <v>6226</v>
      </c>
      <c r="J307" t="s">
        <v>940</v>
      </c>
      <c r="K307" t="s">
        <v>74</v>
      </c>
      <c r="L307" t="s">
        <v>74</v>
      </c>
      <c r="M307" t="s">
        <v>78</v>
      </c>
      <c r="N307" t="s">
        <v>79</v>
      </c>
      <c r="O307" t="s">
        <v>74</v>
      </c>
      <c r="P307" t="s">
        <v>74</v>
      </c>
      <c r="Q307" t="s">
        <v>74</v>
      </c>
      <c r="R307" t="s">
        <v>74</v>
      </c>
      <c r="S307" t="s">
        <v>74</v>
      </c>
      <c r="T307" t="s">
        <v>74</v>
      </c>
      <c r="U307" t="s">
        <v>6227</v>
      </c>
      <c r="V307" t="s">
        <v>6228</v>
      </c>
      <c r="W307" t="s">
        <v>6229</v>
      </c>
      <c r="X307" t="s">
        <v>6230</v>
      </c>
      <c r="Y307" t="s">
        <v>6231</v>
      </c>
      <c r="Z307" t="s">
        <v>6232</v>
      </c>
      <c r="AA307" t="s">
        <v>6233</v>
      </c>
      <c r="AB307" t="s">
        <v>6234</v>
      </c>
      <c r="AC307" t="s">
        <v>6235</v>
      </c>
      <c r="AD307" t="s">
        <v>74</v>
      </c>
      <c r="AE307" t="s">
        <v>6236</v>
      </c>
      <c r="AF307" t="s">
        <v>74</v>
      </c>
      <c r="AG307">
        <v>62</v>
      </c>
      <c r="AH307">
        <v>41</v>
      </c>
      <c r="AI307">
        <v>42</v>
      </c>
      <c r="AJ307">
        <v>2</v>
      </c>
      <c r="AK307">
        <v>16</v>
      </c>
      <c r="AL307" t="s">
        <v>753</v>
      </c>
      <c r="AM307" t="s">
        <v>545</v>
      </c>
      <c r="AN307" t="s">
        <v>1097</v>
      </c>
      <c r="AO307" t="s">
        <v>954</v>
      </c>
      <c r="AP307" t="s">
        <v>74</v>
      </c>
      <c r="AQ307" t="s">
        <v>74</v>
      </c>
      <c r="AR307" t="s">
        <v>955</v>
      </c>
      <c r="AS307" t="s">
        <v>956</v>
      </c>
      <c r="AT307" t="s">
        <v>6121</v>
      </c>
      <c r="AU307">
        <v>2020</v>
      </c>
      <c r="AV307">
        <v>10</v>
      </c>
      <c r="AW307">
        <v>1</v>
      </c>
      <c r="AX307" t="s">
        <v>74</v>
      </c>
      <c r="AY307" t="s">
        <v>74</v>
      </c>
      <c r="AZ307" t="s">
        <v>74</v>
      </c>
      <c r="BA307" t="s">
        <v>74</v>
      </c>
      <c r="BB307" t="s">
        <v>74</v>
      </c>
      <c r="BC307" t="s">
        <v>74</v>
      </c>
      <c r="BD307">
        <v>3145</v>
      </c>
      <c r="BE307" t="s">
        <v>6237</v>
      </c>
      <c r="BF307" t="str">
        <f>HYPERLINK("http://dx.doi.org/10.1038/s41598-020-60035-0","http://dx.doi.org/10.1038/s41598-020-60035-0")</f>
        <v>http://dx.doi.org/10.1038/s41598-020-60035-0</v>
      </c>
      <c r="BG307" t="s">
        <v>74</v>
      </c>
      <c r="BH307" t="s">
        <v>74</v>
      </c>
      <c r="BI307">
        <v>8</v>
      </c>
      <c r="BJ307" t="s">
        <v>322</v>
      </c>
      <c r="BK307" t="s">
        <v>103</v>
      </c>
      <c r="BL307" t="s">
        <v>323</v>
      </c>
      <c r="BM307" t="s">
        <v>6238</v>
      </c>
      <c r="BN307">
        <v>32081909</v>
      </c>
      <c r="BO307" t="s">
        <v>1359</v>
      </c>
      <c r="BP307" t="s">
        <v>74</v>
      </c>
      <c r="BQ307" t="s">
        <v>74</v>
      </c>
      <c r="BR307" t="s">
        <v>106</v>
      </c>
      <c r="BS307" t="s">
        <v>6239</v>
      </c>
      <c r="BT307" t="str">
        <f>HYPERLINK("https%3A%2F%2Fwww.webofscience.com%2Fwos%2Fwoscc%2Ffull-record%2FWOS:000559962900001","View Full Record in Web of Science")</f>
        <v>View Full Record in Web of Science</v>
      </c>
    </row>
    <row r="308" spans="1:72" x14ac:dyDescent="0.15">
      <c r="A308" t="s">
        <v>72</v>
      </c>
      <c r="B308" t="s">
        <v>6240</v>
      </c>
      <c r="C308" t="s">
        <v>74</v>
      </c>
      <c r="D308" t="s">
        <v>74</v>
      </c>
      <c r="E308" t="s">
        <v>74</v>
      </c>
      <c r="F308" t="s">
        <v>6241</v>
      </c>
      <c r="G308" t="s">
        <v>74</v>
      </c>
      <c r="H308" t="s">
        <v>74</v>
      </c>
      <c r="I308" t="s">
        <v>6242</v>
      </c>
      <c r="J308" t="s">
        <v>940</v>
      </c>
      <c r="K308" t="s">
        <v>74</v>
      </c>
      <c r="L308" t="s">
        <v>74</v>
      </c>
      <c r="M308" t="s">
        <v>78</v>
      </c>
      <c r="N308" t="s">
        <v>79</v>
      </c>
      <c r="O308" t="s">
        <v>74</v>
      </c>
      <c r="P308" t="s">
        <v>74</v>
      </c>
      <c r="Q308" t="s">
        <v>74</v>
      </c>
      <c r="R308" t="s">
        <v>74</v>
      </c>
      <c r="S308" t="s">
        <v>74</v>
      </c>
      <c r="T308" t="s">
        <v>74</v>
      </c>
      <c r="U308" t="s">
        <v>6243</v>
      </c>
      <c r="V308" t="s">
        <v>6244</v>
      </c>
      <c r="W308" t="s">
        <v>6245</v>
      </c>
      <c r="X308" t="s">
        <v>6246</v>
      </c>
      <c r="Y308" t="s">
        <v>6247</v>
      </c>
      <c r="Z308" t="s">
        <v>6248</v>
      </c>
      <c r="AA308" t="s">
        <v>6249</v>
      </c>
      <c r="AB308" t="s">
        <v>6250</v>
      </c>
      <c r="AC308" t="s">
        <v>6251</v>
      </c>
      <c r="AD308" t="s">
        <v>6252</v>
      </c>
      <c r="AE308" t="s">
        <v>6253</v>
      </c>
      <c r="AF308" t="s">
        <v>74</v>
      </c>
      <c r="AG308">
        <v>68</v>
      </c>
      <c r="AH308">
        <v>12</v>
      </c>
      <c r="AI308">
        <v>13</v>
      </c>
      <c r="AJ308">
        <v>1</v>
      </c>
      <c r="AK308">
        <v>21</v>
      </c>
      <c r="AL308" t="s">
        <v>951</v>
      </c>
      <c r="AM308" t="s">
        <v>952</v>
      </c>
      <c r="AN308" t="s">
        <v>953</v>
      </c>
      <c r="AO308" t="s">
        <v>954</v>
      </c>
      <c r="AP308" t="s">
        <v>74</v>
      </c>
      <c r="AQ308" t="s">
        <v>74</v>
      </c>
      <c r="AR308" t="s">
        <v>955</v>
      </c>
      <c r="AS308" t="s">
        <v>956</v>
      </c>
      <c r="AT308" t="s">
        <v>6254</v>
      </c>
      <c r="AU308">
        <v>2020</v>
      </c>
      <c r="AV308">
        <v>10</v>
      </c>
      <c r="AW308">
        <v>1</v>
      </c>
      <c r="AX308" t="s">
        <v>74</v>
      </c>
      <c r="AY308" t="s">
        <v>74</v>
      </c>
      <c r="AZ308" t="s">
        <v>74</v>
      </c>
      <c r="BA308" t="s">
        <v>74</v>
      </c>
      <c r="BB308" t="s">
        <v>74</v>
      </c>
      <c r="BC308" t="s">
        <v>74</v>
      </c>
      <c r="BD308">
        <v>3047</v>
      </c>
      <c r="BE308" t="s">
        <v>6255</v>
      </c>
      <c r="BF308" t="str">
        <f>HYPERLINK("http://dx.doi.org/10.1038/s41598-020-60060-z","http://dx.doi.org/10.1038/s41598-020-60060-z")</f>
        <v>http://dx.doi.org/10.1038/s41598-020-60060-z</v>
      </c>
      <c r="BG308" t="s">
        <v>74</v>
      </c>
      <c r="BH308" t="s">
        <v>74</v>
      </c>
      <c r="BI308">
        <v>12</v>
      </c>
      <c r="BJ308" t="s">
        <v>322</v>
      </c>
      <c r="BK308" t="s">
        <v>103</v>
      </c>
      <c r="BL308" t="s">
        <v>323</v>
      </c>
      <c r="BM308" t="s">
        <v>6256</v>
      </c>
      <c r="BN308">
        <v>32080305</v>
      </c>
      <c r="BO308" t="s">
        <v>276</v>
      </c>
      <c r="BP308" t="s">
        <v>74</v>
      </c>
      <c r="BQ308" t="s">
        <v>74</v>
      </c>
      <c r="BR308" t="s">
        <v>106</v>
      </c>
      <c r="BS308" t="s">
        <v>6257</v>
      </c>
      <c r="BT308" t="str">
        <f>HYPERLINK("https%3A%2F%2Fwww.webofscience.com%2Fwos%2Fwoscc%2Ffull-record%2FWOS:000563079900031","View Full Record in Web of Science")</f>
        <v>View Full Record in Web of Science</v>
      </c>
    </row>
    <row r="309" spans="1:72" x14ac:dyDescent="0.15">
      <c r="A309" t="s">
        <v>72</v>
      </c>
      <c r="B309" t="s">
        <v>6258</v>
      </c>
      <c r="C309" t="s">
        <v>74</v>
      </c>
      <c r="D309" t="s">
        <v>74</v>
      </c>
      <c r="E309" t="s">
        <v>74</v>
      </c>
      <c r="F309" t="s">
        <v>6259</v>
      </c>
      <c r="G309" t="s">
        <v>74</v>
      </c>
      <c r="H309" t="s">
        <v>74</v>
      </c>
      <c r="I309" t="s">
        <v>6260</v>
      </c>
      <c r="J309" t="s">
        <v>1700</v>
      </c>
      <c r="K309" t="s">
        <v>74</v>
      </c>
      <c r="L309" t="s">
        <v>74</v>
      </c>
      <c r="M309" t="s">
        <v>78</v>
      </c>
      <c r="N309" t="s">
        <v>79</v>
      </c>
      <c r="O309" t="s">
        <v>74</v>
      </c>
      <c r="P309" t="s">
        <v>74</v>
      </c>
      <c r="Q309" t="s">
        <v>74</v>
      </c>
      <c r="R309" t="s">
        <v>74</v>
      </c>
      <c r="S309" t="s">
        <v>74</v>
      </c>
      <c r="T309" t="s">
        <v>6261</v>
      </c>
      <c r="U309" t="s">
        <v>6262</v>
      </c>
      <c r="V309" t="s">
        <v>6263</v>
      </c>
      <c r="W309" t="s">
        <v>6264</v>
      </c>
      <c r="X309" t="s">
        <v>6265</v>
      </c>
      <c r="Y309" t="s">
        <v>6266</v>
      </c>
      <c r="Z309" t="s">
        <v>6267</v>
      </c>
      <c r="AA309" t="s">
        <v>6268</v>
      </c>
      <c r="AB309" t="s">
        <v>6269</v>
      </c>
      <c r="AC309" t="s">
        <v>74</v>
      </c>
      <c r="AD309" t="s">
        <v>74</v>
      </c>
      <c r="AE309" t="s">
        <v>74</v>
      </c>
      <c r="AF309" t="s">
        <v>74</v>
      </c>
      <c r="AG309">
        <v>48</v>
      </c>
      <c r="AH309">
        <v>15</v>
      </c>
      <c r="AI309">
        <v>19</v>
      </c>
      <c r="AJ309">
        <v>2</v>
      </c>
      <c r="AK309">
        <v>21</v>
      </c>
      <c r="AL309" t="s">
        <v>1709</v>
      </c>
      <c r="AM309" t="s">
        <v>1710</v>
      </c>
      <c r="AN309" t="s">
        <v>1711</v>
      </c>
      <c r="AO309" t="s">
        <v>1712</v>
      </c>
      <c r="AP309" t="s">
        <v>1713</v>
      </c>
      <c r="AQ309" t="s">
        <v>74</v>
      </c>
      <c r="AR309" t="s">
        <v>1714</v>
      </c>
      <c r="AS309" t="s">
        <v>1715</v>
      </c>
      <c r="AT309" t="s">
        <v>6254</v>
      </c>
      <c r="AU309">
        <v>2020</v>
      </c>
      <c r="AV309">
        <v>636</v>
      </c>
      <c r="AW309" t="s">
        <v>74</v>
      </c>
      <c r="AX309" t="s">
        <v>74</v>
      </c>
      <c r="AY309" t="s">
        <v>74</v>
      </c>
      <c r="AZ309" t="s">
        <v>74</v>
      </c>
      <c r="BA309" t="s">
        <v>74</v>
      </c>
      <c r="BB309">
        <v>19</v>
      </c>
      <c r="BC309">
        <v>33</v>
      </c>
      <c r="BD309" t="s">
        <v>74</v>
      </c>
      <c r="BE309" t="s">
        <v>6270</v>
      </c>
      <c r="BF309" t="str">
        <f>HYPERLINK("http://dx.doi.org/10.3354/meps13230","http://dx.doi.org/10.3354/meps13230")</f>
        <v>http://dx.doi.org/10.3354/meps13230</v>
      </c>
      <c r="BG309" t="s">
        <v>74</v>
      </c>
      <c r="BH309" t="s">
        <v>74</v>
      </c>
      <c r="BI309">
        <v>15</v>
      </c>
      <c r="BJ309" t="s">
        <v>1718</v>
      </c>
      <c r="BK309" t="s">
        <v>103</v>
      </c>
      <c r="BL309" t="s">
        <v>1719</v>
      </c>
      <c r="BM309" t="s">
        <v>6271</v>
      </c>
      <c r="BN309" t="s">
        <v>74</v>
      </c>
      <c r="BO309" t="s">
        <v>1721</v>
      </c>
      <c r="BP309" t="s">
        <v>74</v>
      </c>
      <c r="BQ309" t="s">
        <v>74</v>
      </c>
      <c r="BR309" t="s">
        <v>106</v>
      </c>
      <c r="BS309" t="s">
        <v>6272</v>
      </c>
      <c r="BT309" t="str">
        <f>HYPERLINK("https%3A%2F%2Fwww.webofscience.com%2Fwos%2Fwoscc%2Ffull-record%2FWOS:000521739200002","View Full Record in Web of Science")</f>
        <v>View Full Record in Web of Science</v>
      </c>
    </row>
    <row r="310" spans="1:72" x14ac:dyDescent="0.15">
      <c r="A310" t="s">
        <v>72</v>
      </c>
      <c r="B310" t="s">
        <v>6273</v>
      </c>
      <c r="C310" t="s">
        <v>74</v>
      </c>
      <c r="D310" t="s">
        <v>74</v>
      </c>
      <c r="E310" t="s">
        <v>74</v>
      </c>
      <c r="F310" t="s">
        <v>6274</v>
      </c>
      <c r="G310" t="s">
        <v>74</v>
      </c>
      <c r="H310" t="s">
        <v>74</v>
      </c>
      <c r="I310" t="s">
        <v>6275</v>
      </c>
      <c r="J310" t="s">
        <v>1700</v>
      </c>
      <c r="K310" t="s">
        <v>74</v>
      </c>
      <c r="L310" t="s">
        <v>74</v>
      </c>
      <c r="M310" t="s">
        <v>78</v>
      </c>
      <c r="N310" t="s">
        <v>79</v>
      </c>
      <c r="O310" t="s">
        <v>74</v>
      </c>
      <c r="P310" t="s">
        <v>74</v>
      </c>
      <c r="Q310" t="s">
        <v>74</v>
      </c>
      <c r="R310" t="s">
        <v>74</v>
      </c>
      <c r="S310" t="s">
        <v>74</v>
      </c>
      <c r="T310" t="s">
        <v>6276</v>
      </c>
      <c r="U310" t="s">
        <v>6277</v>
      </c>
      <c r="V310" t="s">
        <v>6278</v>
      </c>
      <c r="W310" t="s">
        <v>6279</v>
      </c>
      <c r="X310" t="s">
        <v>6280</v>
      </c>
      <c r="Y310" t="s">
        <v>6281</v>
      </c>
      <c r="Z310" t="s">
        <v>6282</v>
      </c>
      <c r="AA310" t="s">
        <v>6283</v>
      </c>
      <c r="AB310" t="s">
        <v>6284</v>
      </c>
      <c r="AC310" t="s">
        <v>6285</v>
      </c>
      <c r="AD310" t="s">
        <v>6286</v>
      </c>
      <c r="AE310" t="s">
        <v>6287</v>
      </c>
      <c r="AF310" t="s">
        <v>74</v>
      </c>
      <c r="AG310">
        <v>105</v>
      </c>
      <c r="AH310">
        <v>11</v>
      </c>
      <c r="AI310">
        <v>11</v>
      </c>
      <c r="AJ310">
        <v>0</v>
      </c>
      <c r="AK310">
        <v>26</v>
      </c>
      <c r="AL310" t="s">
        <v>1709</v>
      </c>
      <c r="AM310" t="s">
        <v>1710</v>
      </c>
      <c r="AN310" t="s">
        <v>1711</v>
      </c>
      <c r="AO310" t="s">
        <v>1712</v>
      </c>
      <c r="AP310" t="s">
        <v>1713</v>
      </c>
      <c r="AQ310" t="s">
        <v>74</v>
      </c>
      <c r="AR310" t="s">
        <v>1714</v>
      </c>
      <c r="AS310" t="s">
        <v>1715</v>
      </c>
      <c r="AT310" t="s">
        <v>6254</v>
      </c>
      <c r="AU310">
        <v>2020</v>
      </c>
      <c r="AV310">
        <v>636</v>
      </c>
      <c r="AW310" t="s">
        <v>74</v>
      </c>
      <c r="AX310" t="s">
        <v>74</v>
      </c>
      <c r="AY310" t="s">
        <v>74</v>
      </c>
      <c r="AZ310" t="s">
        <v>74</v>
      </c>
      <c r="BA310" t="s">
        <v>74</v>
      </c>
      <c r="BB310">
        <v>189</v>
      </c>
      <c r="BC310">
        <v>205</v>
      </c>
      <c r="BD310" t="s">
        <v>74</v>
      </c>
      <c r="BE310" t="s">
        <v>6288</v>
      </c>
      <c r="BF310" t="str">
        <f>HYPERLINK("http://dx.doi.org/10.3354/meps13208","http://dx.doi.org/10.3354/meps13208")</f>
        <v>http://dx.doi.org/10.3354/meps13208</v>
      </c>
      <c r="BG310" t="s">
        <v>74</v>
      </c>
      <c r="BH310" t="s">
        <v>74</v>
      </c>
      <c r="BI310">
        <v>17</v>
      </c>
      <c r="BJ310" t="s">
        <v>1718</v>
      </c>
      <c r="BK310" t="s">
        <v>103</v>
      </c>
      <c r="BL310" t="s">
        <v>1719</v>
      </c>
      <c r="BM310" t="s">
        <v>6271</v>
      </c>
      <c r="BN310" t="s">
        <v>74</v>
      </c>
      <c r="BO310" t="s">
        <v>74</v>
      </c>
      <c r="BP310" t="s">
        <v>74</v>
      </c>
      <c r="BQ310" t="s">
        <v>74</v>
      </c>
      <c r="BR310" t="s">
        <v>106</v>
      </c>
      <c r="BS310" t="s">
        <v>6289</v>
      </c>
      <c r="BT310" t="str">
        <f>HYPERLINK("https%3A%2F%2Fwww.webofscience.com%2Fwos%2Fwoscc%2Ffull-record%2FWOS:000521739200013","View Full Record in Web of Science")</f>
        <v>View Full Record in Web of Science</v>
      </c>
    </row>
    <row r="311" spans="1:72" x14ac:dyDescent="0.15">
      <c r="A311" t="s">
        <v>72</v>
      </c>
      <c r="B311" t="s">
        <v>6290</v>
      </c>
      <c r="C311" t="s">
        <v>74</v>
      </c>
      <c r="D311" t="s">
        <v>74</v>
      </c>
      <c r="E311" t="s">
        <v>74</v>
      </c>
      <c r="F311" t="s">
        <v>6291</v>
      </c>
      <c r="G311" t="s">
        <v>74</v>
      </c>
      <c r="H311" t="s">
        <v>74</v>
      </c>
      <c r="I311" t="s">
        <v>6292</v>
      </c>
      <c r="J311" t="s">
        <v>6293</v>
      </c>
      <c r="K311" t="s">
        <v>74</v>
      </c>
      <c r="L311" t="s">
        <v>74</v>
      </c>
      <c r="M311" t="s">
        <v>78</v>
      </c>
      <c r="N311" t="s">
        <v>79</v>
      </c>
      <c r="O311" t="s">
        <v>74</v>
      </c>
      <c r="P311" t="s">
        <v>74</v>
      </c>
      <c r="Q311" t="s">
        <v>74</v>
      </c>
      <c r="R311" t="s">
        <v>74</v>
      </c>
      <c r="S311" t="s">
        <v>74</v>
      </c>
      <c r="T311" t="s">
        <v>6294</v>
      </c>
      <c r="U311" t="s">
        <v>74</v>
      </c>
      <c r="V311" t="s">
        <v>6295</v>
      </c>
      <c r="W311" t="s">
        <v>6296</v>
      </c>
      <c r="X311" t="s">
        <v>6297</v>
      </c>
      <c r="Y311" t="s">
        <v>6298</v>
      </c>
      <c r="Z311" t="s">
        <v>6299</v>
      </c>
      <c r="AA311" t="s">
        <v>74</v>
      </c>
      <c r="AB311" t="s">
        <v>74</v>
      </c>
      <c r="AC311" t="s">
        <v>74</v>
      </c>
      <c r="AD311" t="s">
        <v>74</v>
      </c>
      <c r="AE311" t="s">
        <v>74</v>
      </c>
      <c r="AF311" t="s">
        <v>74</v>
      </c>
      <c r="AG311">
        <v>38</v>
      </c>
      <c r="AH311">
        <v>4</v>
      </c>
      <c r="AI311">
        <v>4</v>
      </c>
      <c r="AJ311">
        <v>0</v>
      </c>
      <c r="AK311">
        <v>5</v>
      </c>
      <c r="AL311" t="s">
        <v>2627</v>
      </c>
      <c r="AM311" t="s">
        <v>2628</v>
      </c>
      <c r="AN311" t="s">
        <v>2629</v>
      </c>
      <c r="AO311" t="s">
        <v>6300</v>
      </c>
      <c r="AP311" t="s">
        <v>6301</v>
      </c>
      <c r="AQ311" t="s">
        <v>74</v>
      </c>
      <c r="AR311" t="s">
        <v>6302</v>
      </c>
      <c r="AS311" t="s">
        <v>6303</v>
      </c>
      <c r="AT311" t="s">
        <v>1865</v>
      </c>
      <c r="AU311">
        <v>2020</v>
      </c>
      <c r="AV311">
        <v>57</v>
      </c>
      <c r="AW311">
        <v>2</v>
      </c>
      <c r="AX311" t="s">
        <v>74</v>
      </c>
      <c r="AY311" t="s">
        <v>74</v>
      </c>
      <c r="AZ311" t="s">
        <v>74</v>
      </c>
      <c r="BA311" t="s">
        <v>74</v>
      </c>
      <c r="BB311">
        <v>160</v>
      </c>
      <c r="BC311">
        <v>174</v>
      </c>
      <c r="BD311" t="s">
        <v>74</v>
      </c>
      <c r="BE311" t="s">
        <v>6304</v>
      </c>
      <c r="BF311" t="str">
        <f>HYPERLINK("http://dx.doi.org/10.1080/00087041.2019.1677035","http://dx.doi.org/10.1080/00087041.2019.1677035")</f>
        <v>http://dx.doi.org/10.1080/00087041.2019.1677035</v>
      </c>
      <c r="BG311" t="s">
        <v>74</v>
      </c>
      <c r="BH311" t="s">
        <v>5744</v>
      </c>
      <c r="BI311">
        <v>15</v>
      </c>
      <c r="BJ311" t="s">
        <v>4572</v>
      </c>
      <c r="BK311" t="s">
        <v>3467</v>
      </c>
      <c r="BL311" t="s">
        <v>4572</v>
      </c>
      <c r="BM311" t="s">
        <v>6305</v>
      </c>
      <c r="BN311" t="s">
        <v>74</v>
      </c>
      <c r="BO311" t="s">
        <v>74</v>
      </c>
      <c r="BP311" t="s">
        <v>74</v>
      </c>
      <c r="BQ311" t="s">
        <v>74</v>
      </c>
      <c r="BR311" t="s">
        <v>106</v>
      </c>
      <c r="BS311" t="s">
        <v>6306</v>
      </c>
      <c r="BT311" t="str">
        <f>HYPERLINK("https%3A%2F%2Fwww.webofscience.com%2Fwos%2Fwoscc%2Ffull-record%2FWOS:000517939700001","View Full Record in Web of Science")</f>
        <v>View Full Record in Web of Science</v>
      </c>
    </row>
    <row r="312" spans="1:72" x14ac:dyDescent="0.15">
      <c r="A312" t="s">
        <v>72</v>
      </c>
      <c r="B312" t="s">
        <v>6307</v>
      </c>
      <c r="C312" t="s">
        <v>74</v>
      </c>
      <c r="D312" t="s">
        <v>74</v>
      </c>
      <c r="E312" t="s">
        <v>74</v>
      </c>
      <c r="F312" t="s">
        <v>6308</v>
      </c>
      <c r="G312" t="s">
        <v>74</v>
      </c>
      <c r="H312" t="s">
        <v>74</v>
      </c>
      <c r="I312" t="s">
        <v>6309</v>
      </c>
      <c r="J312" t="s">
        <v>6310</v>
      </c>
      <c r="K312" t="s">
        <v>74</v>
      </c>
      <c r="L312" t="s">
        <v>74</v>
      </c>
      <c r="M312" t="s">
        <v>78</v>
      </c>
      <c r="N312" t="s">
        <v>79</v>
      </c>
      <c r="O312" t="s">
        <v>74</v>
      </c>
      <c r="P312" t="s">
        <v>74</v>
      </c>
      <c r="Q312" t="s">
        <v>74</v>
      </c>
      <c r="R312" t="s">
        <v>74</v>
      </c>
      <c r="S312" t="s">
        <v>74</v>
      </c>
      <c r="T312" t="s">
        <v>6311</v>
      </c>
      <c r="U312" t="s">
        <v>6312</v>
      </c>
      <c r="V312" t="s">
        <v>6313</v>
      </c>
      <c r="W312" t="s">
        <v>6314</v>
      </c>
      <c r="X312" t="s">
        <v>6315</v>
      </c>
      <c r="Y312" t="s">
        <v>6316</v>
      </c>
      <c r="Z312" t="s">
        <v>6317</v>
      </c>
      <c r="AA312" t="s">
        <v>74</v>
      </c>
      <c r="AB312" t="s">
        <v>74</v>
      </c>
      <c r="AC312" t="s">
        <v>74</v>
      </c>
      <c r="AD312" t="s">
        <v>74</v>
      </c>
      <c r="AE312" t="s">
        <v>74</v>
      </c>
      <c r="AF312" t="s">
        <v>74</v>
      </c>
      <c r="AG312">
        <v>80</v>
      </c>
      <c r="AH312">
        <v>6</v>
      </c>
      <c r="AI312">
        <v>6</v>
      </c>
      <c r="AJ312">
        <v>0</v>
      </c>
      <c r="AK312">
        <v>13</v>
      </c>
      <c r="AL312" t="s">
        <v>211</v>
      </c>
      <c r="AM312" t="s">
        <v>212</v>
      </c>
      <c r="AN312" t="s">
        <v>213</v>
      </c>
      <c r="AO312" t="s">
        <v>6318</v>
      </c>
      <c r="AP312" t="s">
        <v>74</v>
      </c>
      <c r="AQ312" t="s">
        <v>74</v>
      </c>
      <c r="AR312" t="s">
        <v>6319</v>
      </c>
      <c r="AS312" t="s">
        <v>6320</v>
      </c>
      <c r="AT312" t="s">
        <v>2912</v>
      </c>
      <c r="AU312">
        <v>2020</v>
      </c>
      <c r="AV312">
        <v>10</v>
      </c>
      <c r="AW312">
        <v>5</v>
      </c>
      <c r="AX312" t="s">
        <v>74</v>
      </c>
      <c r="AY312" t="s">
        <v>74</v>
      </c>
      <c r="AZ312" t="s">
        <v>74</v>
      </c>
      <c r="BA312" t="s">
        <v>74</v>
      </c>
      <c r="BB312">
        <v>2339</v>
      </c>
      <c r="BC312">
        <v>2351</v>
      </c>
      <c r="BD312" t="s">
        <v>74</v>
      </c>
      <c r="BE312" t="s">
        <v>6321</v>
      </c>
      <c r="BF312" t="str">
        <f>HYPERLINK("http://dx.doi.org/10.1002/ece3.6037","http://dx.doi.org/10.1002/ece3.6037")</f>
        <v>http://dx.doi.org/10.1002/ece3.6037</v>
      </c>
      <c r="BG312" t="s">
        <v>74</v>
      </c>
      <c r="BH312" t="s">
        <v>5744</v>
      </c>
      <c r="BI312">
        <v>13</v>
      </c>
      <c r="BJ312" t="s">
        <v>2528</v>
      </c>
      <c r="BK312" t="s">
        <v>103</v>
      </c>
      <c r="BL312" t="s">
        <v>2529</v>
      </c>
      <c r="BM312" t="s">
        <v>6322</v>
      </c>
      <c r="BN312">
        <v>32184985</v>
      </c>
      <c r="BO312" t="s">
        <v>276</v>
      </c>
      <c r="BP312" t="s">
        <v>74</v>
      </c>
      <c r="BQ312" t="s">
        <v>74</v>
      </c>
      <c r="BR312" t="s">
        <v>106</v>
      </c>
      <c r="BS312" t="s">
        <v>6323</v>
      </c>
      <c r="BT312" t="str">
        <f>HYPERLINK("https%3A%2F%2Fwww.webofscience.com%2Fwos%2Fwoscc%2Ffull-record%2FWOS:000518169600001","View Full Record in Web of Science")</f>
        <v>View Full Record in Web of Science</v>
      </c>
    </row>
    <row r="313" spans="1:72" x14ac:dyDescent="0.15">
      <c r="A313" t="s">
        <v>72</v>
      </c>
      <c r="B313" t="s">
        <v>6324</v>
      </c>
      <c r="C313" t="s">
        <v>74</v>
      </c>
      <c r="D313" t="s">
        <v>74</v>
      </c>
      <c r="E313" t="s">
        <v>74</v>
      </c>
      <c r="F313" t="s">
        <v>6325</v>
      </c>
      <c r="G313" t="s">
        <v>74</v>
      </c>
      <c r="H313" t="s">
        <v>74</v>
      </c>
      <c r="I313" t="s">
        <v>6326</v>
      </c>
      <c r="J313" t="s">
        <v>1726</v>
      </c>
      <c r="K313" t="s">
        <v>74</v>
      </c>
      <c r="L313" t="s">
        <v>74</v>
      </c>
      <c r="M313" t="s">
        <v>78</v>
      </c>
      <c r="N313" t="s">
        <v>79</v>
      </c>
      <c r="O313" t="s">
        <v>74</v>
      </c>
      <c r="P313" t="s">
        <v>74</v>
      </c>
      <c r="Q313" t="s">
        <v>74</v>
      </c>
      <c r="R313" t="s">
        <v>74</v>
      </c>
      <c r="S313" t="s">
        <v>74</v>
      </c>
      <c r="T313" t="s">
        <v>74</v>
      </c>
      <c r="U313" t="s">
        <v>6327</v>
      </c>
      <c r="V313" t="s">
        <v>6328</v>
      </c>
      <c r="W313" t="s">
        <v>6329</v>
      </c>
      <c r="X313" t="s">
        <v>6330</v>
      </c>
      <c r="Y313" t="s">
        <v>6331</v>
      </c>
      <c r="Z313" t="s">
        <v>6332</v>
      </c>
      <c r="AA313" t="s">
        <v>6333</v>
      </c>
      <c r="AB313" t="s">
        <v>6334</v>
      </c>
      <c r="AC313" t="s">
        <v>6335</v>
      </c>
      <c r="AD313" t="s">
        <v>6336</v>
      </c>
      <c r="AE313" t="s">
        <v>6337</v>
      </c>
      <c r="AF313" t="s">
        <v>74</v>
      </c>
      <c r="AG313">
        <v>145</v>
      </c>
      <c r="AH313">
        <v>20</v>
      </c>
      <c r="AI313">
        <v>25</v>
      </c>
      <c r="AJ313">
        <v>9</v>
      </c>
      <c r="AK313">
        <v>40</v>
      </c>
      <c r="AL313" t="s">
        <v>976</v>
      </c>
      <c r="AM313" t="s">
        <v>977</v>
      </c>
      <c r="AN313" t="s">
        <v>978</v>
      </c>
      <c r="AO313" t="s">
        <v>1738</v>
      </c>
      <c r="AP313" t="s">
        <v>1739</v>
      </c>
      <c r="AQ313" t="s">
        <v>74</v>
      </c>
      <c r="AR313" t="s">
        <v>1740</v>
      </c>
      <c r="AS313" t="s">
        <v>1741</v>
      </c>
      <c r="AT313" t="s">
        <v>6254</v>
      </c>
      <c r="AU313">
        <v>2020</v>
      </c>
      <c r="AV313">
        <v>16</v>
      </c>
      <c r="AW313">
        <v>1</v>
      </c>
      <c r="AX313" t="s">
        <v>74</v>
      </c>
      <c r="AY313" t="s">
        <v>74</v>
      </c>
      <c r="AZ313" t="s">
        <v>74</v>
      </c>
      <c r="BA313" t="s">
        <v>74</v>
      </c>
      <c r="BB313">
        <v>387</v>
      </c>
      <c r="BC313">
        <v>407</v>
      </c>
      <c r="BD313" t="s">
        <v>74</v>
      </c>
      <c r="BE313" t="s">
        <v>6338</v>
      </c>
      <c r="BF313" t="str">
        <f>HYPERLINK("http://dx.doi.org/10.5194/cp-16-387-2020","http://dx.doi.org/10.5194/cp-16-387-2020")</f>
        <v>http://dx.doi.org/10.5194/cp-16-387-2020</v>
      </c>
      <c r="BG313" t="s">
        <v>74</v>
      </c>
      <c r="BH313" t="s">
        <v>74</v>
      </c>
      <c r="BI313">
        <v>21</v>
      </c>
      <c r="BJ313" t="s">
        <v>1743</v>
      </c>
      <c r="BK313" t="s">
        <v>103</v>
      </c>
      <c r="BL313" t="s">
        <v>1744</v>
      </c>
      <c r="BM313" t="s">
        <v>6339</v>
      </c>
      <c r="BN313" t="s">
        <v>74</v>
      </c>
      <c r="BO313" t="s">
        <v>1310</v>
      </c>
      <c r="BP313" t="s">
        <v>74</v>
      </c>
      <c r="BQ313" t="s">
        <v>74</v>
      </c>
      <c r="BR313" t="s">
        <v>106</v>
      </c>
      <c r="BS313" t="s">
        <v>6340</v>
      </c>
      <c r="BT313" t="str">
        <f>HYPERLINK("https%3A%2F%2Fwww.webofscience.com%2Fwos%2Fwoscc%2Ffull-record%2FWOS:000516707300001","View Full Record in Web of Science")</f>
        <v>View Full Record in Web of Science</v>
      </c>
    </row>
    <row r="314" spans="1:72" x14ac:dyDescent="0.15">
      <c r="A314" t="s">
        <v>72</v>
      </c>
      <c r="B314" t="s">
        <v>6341</v>
      </c>
      <c r="C314" t="s">
        <v>74</v>
      </c>
      <c r="D314" t="s">
        <v>74</v>
      </c>
      <c r="E314" t="s">
        <v>74</v>
      </c>
      <c r="F314" t="s">
        <v>6342</v>
      </c>
      <c r="G314" t="s">
        <v>74</v>
      </c>
      <c r="H314" t="s">
        <v>74</v>
      </c>
      <c r="I314" t="s">
        <v>6343</v>
      </c>
      <c r="J314" t="s">
        <v>6344</v>
      </c>
      <c r="K314" t="s">
        <v>74</v>
      </c>
      <c r="L314" t="s">
        <v>74</v>
      </c>
      <c r="M314" t="s">
        <v>78</v>
      </c>
      <c r="N314" t="s">
        <v>79</v>
      </c>
      <c r="O314" t="s">
        <v>74</v>
      </c>
      <c r="P314" t="s">
        <v>74</v>
      </c>
      <c r="Q314" t="s">
        <v>74</v>
      </c>
      <c r="R314" t="s">
        <v>74</v>
      </c>
      <c r="S314" t="s">
        <v>74</v>
      </c>
      <c r="T314" t="s">
        <v>6345</v>
      </c>
      <c r="U314" t="s">
        <v>6346</v>
      </c>
      <c r="V314" t="s">
        <v>6347</v>
      </c>
      <c r="W314" t="s">
        <v>6348</v>
      </c>
      <c r="X314" t="s">
        <v>6349</v>
      </c>
      <c r="Y314" t="s">
        <v>6350</v>
      </c>
      <c r="Z314" t="s">
        <v>6351</v>
      </c>
      <c r="AA314" t="s">
        <v>6352</v>
      </c>
      <c r="AB314" t="s">
        <v>6353</v>
      </c>
      <c r="AC314" t="s">
        <v>6354</v>
      </c>
      <c r="AD314" t="s">
        <v>6355</v>
      </c>
      <c r="AE314" t="s">
        <v>6356</v>
      </c>
      <c r="AF314" t="s">
        <v>74</v>
      </c>
      <c r="AG314">
        <v>100</v>
      </c>
      <c r="AH314">
        <v>10</v>
      </c>
      <c r="AI314">
        <v>10</v>
      </c>
      <c r="AJ314">
        <v>1</v>
      </c>
      <c r="AK314">
        <v>14</v>
      </c>
      <c r="AL314" t="s">
        <v>289</v>
      </c>
      <c r="AM314" t="s">
        <v>290</v>
      </c>
      <c r="AN314" t="s">
        <v>291</v>
      </c>
      <c r="AO314" t="s">
        <v>6357</v>
      </c>
      <c r="AP314" t="s">
        <v>6358</v>
      </c>
      <c r="AQ314" t="s">
        <v>74</v>
      </c>
      <c r="AR314" t="s">
        <v>6359</v>
      </c>
      <c r="AS314" t="s">
        <v>6360</v>
      </c>
      <c r="AT314" t="s">
        <v>6254</v>
      </c>
      <c r="AU314">
        <v>2020</v>
      </c>
      <c r="AV314">
        <v>219</v>
      </c>
      <c r="AW314" t="s">
        <v>74</v>
      </c>
      <c r="AX314" t="s">
        <v>74</v>
      </c>
      <c r="AY314" t="s">
        <v>74</v>
      </c>
      <c r="AZ314" t="s">
        <v>74</v>
      </c>
      <c r="BA314" t="s">
        <v>74</v>
      </c>
      <c r="BB314" t="s">
        <v>74</v>
      </c>
      <c r="BC314" t="s">
        <v>74</v>
      </c>
      <c r="BD314">
        <v>103736</v>
      </c>
      <c r="BE314" t="s">
        <v>6361</v>
      </c>
      <c r="BF314" t="str">
        <f>HYPERLINK("http://dx.doi.org/10.1016/j.marchem.2019.103736","http://dx.doi.org/10.1016/j.marchem.2019.103736")</f>
        <v>http://dx.doi.org/10.1016/j.marchem.2019.103736</v>
      </c>
      <c r="BG314" t="s">
        <v>74</v>
      </c>
      <c r="BH314" t="s">
        <v>74</v>
      </c>
      <c r="BI314">
        <v>11</v>
      </c>
      <c r="BJ314" t="s">
        <v>6362</v>
      </c>
      <c r="BK314" t="s">
        <v>103</v>
      </c>
      <c r="BL314" t="s">
        <v>6363</v>
      </c>
      <c r="BM314" t="s">
        <v>6364</v>
      </c>
      <c r="BN314" t="s">
        <v>74</v>
      </c>
      <c r="BO314" t="s">
        <v>74</v>
      </c>
      <c r="BP314" t="s">
        <v>74</v>
      </c>
      <c r="BQ314" t="s">
        <v>74</v>
      </c>
      <c r="BR314" t="s">
        <v>106</v>
      </c>
      <c r="BS314" t="s">
        <v>6365</v>
      </c>
      <c r="BT314" t="str">
        <f>HYPERLINK("https%3A%2F%2Fwww.webofscience.com%2Fwos%2Fwoscc%2Ffull-record%2FWOS:000513991800001","View Full Record in Web of Science")</f>
        <v>View Full Record in Web of Science</v>
      </c>
    </row>
    <row r="315" spans="1:72" x14ac:dyDescent="0.15">
      <c r="A315" t="s">
        <v>72</v>
      </c>
      <c r="B315" t="s">
        <v>6366</v>
      </c>
      <c r="C315" t="s">
        <v>74</v>
      </c>
      <c r="D315" t="s">
        <v>74</v>
      </c>
      <c r="E315" t="s">
        <v>74</v>
      </c>
      <c r="F315" t="s">
        <v>6367</v>
      </c>
      <c r="G315" t="s">
        <v>74</v>
      </c>
      <c r="H315" t="s">
        <v>74</v>
      </c>
      <c r="I315" t="s">
        <v>6368</v>
      </c>
      <c r="J315" t="s">
        <v>6344</v>
      </c>
      <c r="K315" t="s">
        <v>74</v>
      </c>
      <c r="L315" t="s">
        <v>74</v>
      </c>
      <c r="M315" t="s">
        <v>78</v>
      </c>
      <c r="N315" t="s">
        <v>79</v>
      </c>
      <c r="O315" t="s">
        <v>74</v>
      </c>
      <c r="P315" t="s">
        <v>74</v>
      </c>
      <c r="Q315" t="s">
        <v>74</v>
      </c>
      <c r="R315" t="s">
        <v>74</v>
      </c>
      <c r="S315" t="s">
        <v>74</v>
      </c>
      <c r="T315" t="s">
        <v>6369</v>
      </c>
      <c r="U315" t="s">
        <v>6370</v>
      </c>
      <c r="V315" t="s">
        <v>6371</v>
      </c>
      <c r="W315" t="s">
        <v>6372</v>
      </c>
      <c r="X315" t="s">
        <v>6373</v>
      </c>
      <c r="Y315" t="s">
        <v>6374</v>
      </c>
      <c r="Z315" t="s">
        <v>6375</v>
      </c>
      <c r="AA315" t="s">
        <v>6376</v>
      </c>
      <c r="AB315" t="s">
        <v>6377</v>
      </c>
      <c r="AC315" t="s">
        <v>6378</v>
      </c>
      <c r="AD315" t="s">
        <v>6379</v>
      </c>
      <c r="AE315" t="s">
        <v>6380</v>
      </c>
      <c r="AF315" t="s">
        <v>74</v>
      </c>
      <c r="AG315">
        <v>74</v>
      </c>
      <c r="AH315">
        <v>8</v>
      </c>
      <c r="AI315">
        <v>9</v>
      </c>
      <c r="AJ315">
        <v>1</v>
      </c>
      <c r="AK315">
        <v>23</v>
      </c>
      <c r="AL315" t="s">
        <v>289</v>
      </c>
      <c r="AM315" t="s">
        <v>290</v>
      </c>
      <c r="AN315" t="s">
        <v>291</v>
      </c>
      <c r="AO315" t="s">
        <v>6357</v>
      </c>
      <c r="AP315" t="s">
        <v>6358</v>
      </c>
      <c r="AQ315" t="s">
        <v>74</v>
      </c>
      <c r="AR315" t="s">
        <v>6359</v>
      </c>
      <c r="AS315" t="s">
        <v>6360</v>
      </c>
      <c r="AT315" t="s">
        <v>6254</v>
      </c>
      <c r="AU315">
        <v>2020</v>
      </c>
      <c r="AV315">
        <v>219</v>
      </c>
      <c r="AW315" t="s">
        <v>74</v>
      </c>
      <c r="AX315" t="s">
        <v>74</v>
      </c>
      <c r="AY315" t="s">
        <v>74</v>
      </c>
      <c r="AZ315" t="s">
        <v>74</v>
      </c>
      <c r="BA315" t="s">
        <v>74</v>
      </c>
      <c r="BB315" t="s">
        <v>74</v>
      </c>
      <c r="BC315" t="s">
        <v>74</v>
      </c>
      <c r="BD315">
        <v>103748</v>
      </c>
      <c r="BE315" t="s">
        <v>6381</v>
      </c>
      <c r="BF315" t="str">
        <f>HYPERLINK("http://dx.doi.org/10.1016/j.marchem.2019.103748","http://dx.doi.org/10.1016/j.marchem.2019.103748")</f>
        <v>http://dx.doi.org/10.1016/j.marchem.2019.103748</v>
      </c>
      <c r="BG315" t="s">
        <v>74</v>
      </c>
      <c r="BH315" t="s">
        <v>74</v>
      </c>
      <c r="BI315">
        <v>15</v>
      </c>
      <c r="BJ315" t="s">
        <v>6362</v>
      </c>
      <c r="BK315" t="s">
        <v>103</v>
      </c>
      <c r="BL315" t="s">
        <v>6363</v>
      </c>
      <c r="BM315" t="s">
        <v>6364</v>
      </c>
      <c r="BN315" t="s">
        <v>74</v>
      </c>
      <c r="BO315" t="s">
        <v>5929</v>
      </c>
      <c r="BP315" t="s">
        <v>74</v>
      </c>
      <c r="BQ315" t="s">
        <v>74</v>
      </c>
      <c r="BR315" t="s">
        <v>106</v>
      </c>
      <c r="BS315" t="s">
        <v>6382</v>
      </c>
      <c r="BT315" t="str">
        <f>HYPERLINK("https%3A%2F%2Fwww.webofscience.com%2Fwos%2Fwoscc%2Ffull-record%2FWOS:000513991800002","View Full Record in Web of Science")</f>
        <v>View Full Record in Web of Science</v>
      </c>
    </row>
    <row r="316" spans="1:72" x14ac:dyDescent="0.15">
      <c r="A316" t="s">
        <v>72</v>
      </c>
      <c r="B316" t="s">
        <v>6383</v>
      </c>
      <c r="C316" t="s">
        <v>74</v>
      </c>
      <c r="D316" t="s">
        <v>74</v>
      </c>
      <c r="E316" t="s">
        <v>74</v>
      </c>
      <c r="F316" t="s">
        <v>6384</v>
      </c>
      <c r="G316" t="s">
        <v>74</v>
      </c>
      <c r="H316" t="s">
        <v>74</v>
      </c>
      <c r="I316" t="s">
        <v>6385</v>
      </c>
      <c r="J316" t="s">
        <v>1179</v>
      </c>
      <c r="K316" t="s">
        <v>74</v>
      </c>
      <c r="L316" t="s">
        <v>74</v>
      </c>
      <c r="M316" t="s">
        <v>78</v>
      </c>
      <c r="N316" t="s">
        <v>79</v>
      </c>
      <c r="O316" t="s">
        <v>74</v>
      </c>
      <c r="P316" t="s">
        <v>74</v>
      </c>
      <c r="Q316" t="s">
        <v>74</v>
      </c>
      <c r="R316" t="s">
        <v>74</v>
      </c>
      <c r="S316" t="s">
        <v>74</v>
      </c>
      <c r="T316" t="s">
        <v>6386</v>
      </c>
      <c r="U316" t="s">
        <v>6387</v>
      </c>
      <c r="V316" t="s">
        <v>6388</v>
      </c>
      <c r="W316" t="s">
        <v>6389</v>
      </c>
      <c r="X316" t="s">
        <v>6390</v>
      </c>
      <c r="Y316" t="s">
        <v>6391</v>
      </c>
      <c r="Z316" t="s">
        <v>6392</v>
      </c>
      <c r="AA316" t="s">
        <v>6393</v>
      </c>
      <c r="AB316" t="s">
        <v>6394</v>
      </c>
      <c r="AC316" t="s">
        <v>74</v>
      </c>
      <c r="AD316" t="s">
        <v>74</v>
      </c>
      <c r="AE316" t="s">
        <v>74</v>
      </c>
      <c r="AF316" t="s">
        <v>74</v>
      </c>
      <c r="AG316">
        <v>97</v>
      </c>
      <c r="AH316">
        <v>37</v>
      </c>
      <c r="AI316">
        <v>37</v>
      </c>
      <c r="AJ316">
        <v>4</v>
      </c>
      <c r="AK316">
        <v>89</v>
      </c>
      <c r="AL316" t="s">
        <v>289</v>
      </c>
      <c r="AM316" t="s">
        <v>290</v>
      </c>
      <c r="AN316" t="s">
        <v>291</v>
      </c>
      <c r="AO316" t="s">
        <v>1191</v>
      </c>
      <c r="AP316" t="s">
        <v>1192</v>
      </c>
      <c r="AQ316" t="s">
        <v>74</v>
      </c>
      <c r="AR316" t="s">
        <v>1193</v>
      </c>
      <c r="AS316" t="s">
        <v>1194</v>
      </c>
      <c r="AT316" t="s">
        <v>6254</v>
      </c>
      <c r="AU316">
        <v>2020</v>
      </c>
      <c r="AV316">
        <v>704</v>
      </c>
      <c r="AW316" t="s">
        <v>74</v>
      </c>
      <c r="AX316" t="s">
        <v>74</v>
      </c>
      <c r="AY316" t="s">
        <v>74</v>
      </c>
      <c r="AZ316" t="s">
        <v>74</v>
      </c>
      <c r="BA316" t="s">
        <v>74</v>
      </c>
      <c r="BB316" t="s">
        <v>74</v>
      </c>
      <c r="BC316" t="s">
        <v>74</v>
      </c>
      <c r="BD316">
        <v>135270</v>
      </c>
      <c r="BE316" t="s">
        <v>6395</v>
      </c>
      <c r="BF316" t="str">
        <f>HYPERLINK("http://dx.doi.org/10.1016/j.scitotenv.2019.135270","http://dx.doi.org/10.1016/j.scitotenv.2019.135270")</f>
        <v>http://dx.doi.org/10.1016/j.scitotenv.2019.135270</v>
      </c>
      <c r="BG316" t="s">
        <v>74</v>
      </c>
      <c r="BH316" t="s">
        <v>74</v>
      </c>
      <c r="BI316">
        <v>17</v>
      </c>
      <c r="BJ316" t="s">
        <v>1196</v>
      </c>
      <c r="BK316" t="s">
        <v>1149</v>
      </c>
      <c r="BL316" t="s">
        <v>219</v>
      </c>
      <c r="BM316" t="s">
        <v>6396</v>
      </c>
      <c r="BN316">
        <v>31818590</v>
      </c>
      <c r="BO316" t="s">
        <v>74</v>
      </c>
      <c r="BP316" t="s">
        <v>74</v>
      </c>
      <c r="BQ316" t="s">
        <v>74</v>
      </c>
      <c r="BR316" t="s">
        <v>106</v>
      </c>
      <c r="BS316" t="s">
        <v>6397</v>
      </c>
      <c r="BT316" t="str">
        <f>HYPERLINK("https%3A%2F%2Fwww.webofscience.com%2Fwos%2Fwoscc%2Ffull-record%2FWOS:000504672800022","View Full Record in Web of Science")</f>
        <v>View Full Record in Web of Science</v>
      </c>
    </row>
    <row r="317" spans="1:72" x14ac:dyDescent="0.15">
      <c r="A317" t="s">
        <v>72</v>
      </c>
      <c r="B317" t="s">
        <v>6398</v>
      </c>
      <c r="C317" t="s">
        <v>74</v>
      </c>
      <c r="D317" t="s">
        <v>74</v>
      </c>
      <c r="E317" t="s">
        <v>74</v>
      </c>
      <c r="F317" t="s">
        <v>6399</v>
      </c>
      <c r="G317" t="s">
        <v>74</v>
      </c>
      <c r="H317" t="s">
        <v>74</v>
      </c>
      <c r="I317" t="s">
        <v>6400</v>
      </c>
      <c r="J317" t="s">
        <v>1179</v>
      </c>
      <c r="K317" t="s">
        <v>74</v>
      </c>
      <c r="L317" t="s">
        <v>74</v>
      </c>
      <c r="M317" t="s">
        <v>78</v>
      </c>
      <c r="N317" t="s">
        <v>79</v>
      </c>
      <c r="O317" t="s">
        <v>74</v>
      </c>
      <c r="P317" t="s">
        <v>74</v>
      </c>
      <c r="Q317" t="s">
        <v>74</v>
      </c>
      <c r="R317" t="s">
        <v>74</v>
      </c>
      <c r="S317" t="s">
        <v>74</v>
      </c>
      <c r="T317" t="s">
        <v>6401</v>
      </c>
      <c r="U317" t="s">
        <v>6402</v>
      </c>
      <c r="V317" t="s">
        <v>6403</v>
      </c>
      <c r="W317" t="s">
        <v>6404</v>
      </c>
      <c r="X317" t="s">
        <v>6405</v>
      </c>
      <c r="Y317" t="s">
        <v>6406</v>
      </c>
      <c r="Z317" t="s">
        <v>6407</v>
      </c>
      <c r="AA317" t="s">
        <v>6408</v>
      </c>
      <c r="AB317" t="s">
        <v>6409</v>
      </c>
      <c r="AC317" t="s">
        <v>6410</v>
      </c>
      <c r="AD317" t="s">
        <v>6411</v>
      </c>
      <c r="AE317" t="s">
        <v>6412</v>
      </c>
      <c r="AF317" t="s">
        <v>74</v>
      </c>
      <c r="AG317">
        <v>77</v>
      </c>
      <c r="AH317">
        <v>45</v>
      </c>
      <c r="AI317">
        <v>47</v>
      </c>
      <c r="AJ317">
        <v>9</v>
      </c>
      <c r="AK317">
        <v>98</v>
      </c>
      <c r="AL317" t="s">
        <v>289</v>
      </c>
      <c r="AM317" t="s">
        <v>290</v>
      </c>
      <c r="AN317" t="s">
        <v>291</v>
      </c>
      <c r="AO317" t="s">
        <v>1191</v>
      </c>
      <c r="AP317" t="s">
        <v>1192</v>
      </c>
      <c r="AQ317" t="s">
        <v>74</v>
      </c>
      <c r="AR317" t="s">
        <v>1193</v>
      </c>
      <c r="AS317" t="s">
        <v>1194</v>
      </c>
      <c r="AT317" t="s">
        <v>6254</v>
      </c>
      <c r="AU317">
        <v>2020</v>
      </c>
      <c r="AV317">
        <v>704</v>
      </c>
      <c r="AW317" t="s">
        <v>74</v>
      </c>
      <c r="AX317" t="s">
        <v>74</v>
      </c>
      <c r="AY317" t="s">
        <v>74</v>
      </c>
      <c r="AZ317" t="s">
        <v>74</v>
      </c>
      <c r="BA317" t="s">
        <v>74</v>
      </c>
      <c r="BB317" t="s">
        <v>74</v>
      </c>
      <c r="BC317" t="s">
        <v>74</v>
      </c>
      <c r="BD317">
        <v>135295</v>
      </c>
      <c r="BE317" t="s">
        <v>6413</v>
      </c>
      <c r="BF317" t="str">
        <f>HYPERLINK("http://dx.doi.org/10.1016/j.scitotenv.2019.135295","http://dx.doi.org/10.1016/j.scitotenv.2019.135295")</f>
        <v>http://dx.doi.org/10.1016/j.scitotenv.2019.135295</v>
      </c>
      <c r="BG317" t="s">
        <v>74</v>
      </c>
      <c r="BH317" t="s">
        <v>74</v>
      </c>
      <c r="BI317">
        <v>12</v>
      </c>
      <c r="BJ317" t="s">
        <v>1196</v>
      </c>
      <c r="BK317" t="s">
        <v>103</v>
      </c>
      <c r="BL317" t="s">
        <v>219</v>
      </c>
      <c r="BM317" t="s">
        <v>6396</v>
      </c>
      <c r="BN317">
        <v>31836216</v>
      </c>
      <c r="BO317" t="s">
        <v>148</v>
      </c>
      <c r="BP317" t="s">
        <v>74</v>
      </c>
      <c r="BQ317" t="s">
        <v>74</v>
      </c>
      <c r="BR317" t="s">
        <v>106</v>
      </c>
      <c r="BS317" t="s">
        <v>6414</v>
      </c>
      <c r="BT317" t="str">
        <f>HYPERLINK("https%3A%2F%2Fwww.webofscience.com%2Fwos%2Fwoscc%2Ffull-record%2FWOS:000504672800101","View Full Record in Web of Science")</f>
        <v>View Full Record in Web of Science</v>
      </c>
    </row>
    <row r="318" spans="1:72" x14ac:dyDescent="0.15">
      <c r="A318" t="s">
        <v>72</v>
      </c>
      <c r="B318" t="s">
        <v>6415</v>
      </c>
      <c r="C318" t="s">
        <v>74</v>
      </c>
      <c r="D318" t="s">
        <v>74</v>
      </c>
      <c r="E318" t="s">
        <v>74</v>
      </c>
      <c r="F318" t="s">
        <v>6416</v>
      </c>
      <c r="G318" t="s">
        <v>74</v>
      </c>
      <c r="H318" t="s">
        <v>74</v>
      </c>
      <c r="I318" t="s">
        <v>6417</v>
      </c>
      <c r="J318" t="s">
        <v>1179</v>
      </c>
      <c r="K318" t="s">
        <v>74</v>
      </c>
      <c r="L318" t="s">
        <v>74</v>
      </c>
      <c r="M318" t="s">
        <v>78</v>
      </c>
      <c r="N318" t="s">
        <v>79</v>
      </c>
      <c r="O318" t="s">
        <v>74</v>
      </c>
      <c r="P318" t="s">
        <v>74</v>
      </c>
      <c r="Q318" t="s">
        <v>74</v>
      </c>
      <c r="R318" t="s">
        <v>74</v>
      </c>
      <c r="S318" t="s">
        <v>74</v>
      </c>
      <c r="T318" t="s">
        <v>6418</v>
      </c>
      <c r="U318" t="s">
        <v>6419</v>
      </c>
      <c r="V318" t="s">
        <v>6420</v>
      </c>
      <c r="W318" t="s">
        <v>6421</v>
      </c>
      <c r="X318" t="s">
        <v>6422</v>
      </c>
      <c r="Y318" t="s">
        <v>6423</v>
      </c>
      <c r="Z318" t="s">
        <v>6424</v>
      </c>
      <c r="AA318" t="s">
        <v>6425</v>
      </c>
      <c r="AB318" t="s">
        <v>6426</v>
      </c>
      <c r="AC318" t="s">
        <v>6427</v>
      </c>
      <c r="AD318" t="s">
        <v>6428</v>
      </c>
      <c r="AE318" t="s">
        <v>6429</v>
      </c>
      <c r="AF318" t="s">
        <v>74</v>
      </c>
      <c r="AG318">
        <v>77</v>
      </c>
      <c r="AH318">
        <v>23</v>
      </c>
      <c r="AI318">
        <v>26</v>
      </c>
      <c r="AJ318">
        <v>15</v>
      </c>
      <c r="AK318">
        <v>113</v>
      </c>
      <c r="AL318" t="s">
        <v>289</v>
      </c>
      <c r="AM318" t="s">
        <v>290</v>
      </c>
      <c r="AN318" t="s">
        <v>291</v>
      </c>
      <c r="AO318" t="s">
        <v>1191</v>
      </c>
      <c r="AP318" t="s">
        <v>1192</v>
      </c>
      <c r="AQ318" t="s">
        <v>74</v>
      </c>
      <c r="AR318" t="s">
        <v>1193</v>
      </c>
      <c r="AS318" t="s">
        <v>1194</v>
      </c>
      <c r="AT318" t="s">
        <v>6254</v>
      </c>
      <c r="AU318">
        <v>2020</v>
      </c>
      <c r="AV318">
        <v>704</v>
      </c>
      <c r="AW318" t="s">
        <v>74</v>
      </c>
      <c r="AX318" t="s">
        <v>74</v>
      </c>
      <c r="AY318" t="s">
        <v>74</v>
      </c>
      <c r="AZ318" t="s">
        <v>74</v>
      </c>
      <c r="BA318" t="s">
        <v>74</v>
      </c>
      <c r="BB318" t="s">
        <v>74</v>
      </c>
      <c r="BC318" t="s">
        <v>74</v>
      </c>
      <c r="BD318">
        <v>135362</v>
      </c>
      <c r="BE318" t="s">
        <v>6430</v>
      </c>
      <c r="BF318" t="str">
        <f>HYPERLINK("http://dx.doi.org/10.1016/j.scitotenv.2019.135362","http://dx.doi.org/10.1016/j.scitotenv.2019.135362")</f>
        <v>http://dx.doi.org/10.1016/j.scitotenv.2019.135362</v>
      </c>
      <c r="BG318" t="s">
        <v>74</v>
      </c>
      <c r="BH318" t="s">
        <v>74</v>
      </c>
      <c r="BI318">
        <v>9</v>
      </c>
      <c r="BJ318" t="s">
        <v>1196</v>
      </c>
      <c r="BK318" t="s">
        <v>103</v>
      </c>
      <c r="BL318" t="s">
        <v>219</v>
      </c>
      <c r="BM318" t="s">
        <v>6396</v>
      </c>
      <c r="BN318">
        <v>31896222</v>
      </c>
      <c r="BO318" t="s">
        <v>74</v>
      </c>
      <c r="BP318" t="s">
        <v>74</v>
      </c>
      <c r="BQ318" t="s">
        <v>74</v>
      </c>
      <c r="BR318" t="s">
        <v>106</v>
      </c>
      <c r="BS318" t="s">
        <v>6431</v>
      </c>
      <c r="BT318" t="str">
        <f>HYPERLINK("https%3A%2F%2Fwww.webofscience.com%2Fwos%2Fwoscc%2Ffull-record%2FWOS:000504672800118","View Full Record in Web of Science")</f>
        <v>View Full Record in Web of Science</v>
      </c>
    </row>
    <row r="319" spans="1:72" x14ac:dyDescent="0.15">
      <c r="A319" t="s">
        <v>72</v>
      </c>
      <c r="B319" t="s">
        <v>6432</v>
      </c>
      <c r="C319" t="s">
        <v>74</v>
      </c>
      <c r="D319" t="s">
        <v>74</v>
      </c>
      <c r="E319" t="s">
        <v>74</v>
      </c>
      <c r="F319" t="s">
        <v>6433</v>
      </c>
      <c r="G319" t="s">
        <v>74</v>
      </c>
      <c r="H319" t="s">
        <v>74</v>
      </c>
      <c r="I319" t="s">
        <v>6434</v>
      </c>
      <c r="J319" t="s">
        <v>6435</v>
      </c>
      <c r="K319" t="s">
        <v>74</v>
      </c>
      <c r="L319" t="s">
        <v>74</v>
      </c>
      <c r="M319" t="s">
        <v>78</v>
      </c>
      <c r="N319" t="s">
        <v>1434</v>
      </c>
      <c r="O319" t="s">
        <v>74</v>
      </c>
      <c r="P319" t="s">
        <v>74</v>
      </c>
      <c r="Q319" t="s">
        <v>74</v>
      </c>
      <c r="R319" t="s">
        <v>74</v>
      </c>
      <c r="S319" t="s">
        <v>74</v>
      </c>
      <c r="T319" t="s">
        <v>6436</v>
      </c>
      <c r="U319" t="s">
        <v>6437</v>
      </c>
      <c r="V319" t="s">
        <v>6438</v>
      </c>
      <c r="W319" t="s">
        <v>6439</v>
      </c>
      <c r="X319" t="s">
        <v>6440</v>
      </c>
      <c r="Y319" t="s">
        <v>6441</v>
      </c>
      <c r="Z319" t="s">
        <v>6442</v>
      </c>
      <c r="AA319" t="s">
        <v>6443</v>
      </c>
      <c r="AB319" t="s">
        <v>6444</v>
      </c>
      <c r="AC319" t="s">
        <v>6445</v>
      </c>
      <c r="AD319" t="s">
        <v>6446</v>
      </c>
      <c r="AE319" t="s">
        <v>6447</v>
      </c>
      <c r="AF319" t="s">
        <v>74</v>
      </c>
      <c r="AG319">
        <v>64</v>
      </c>
      <c r="AH319">
        <v>17</v>
      </c>
      <c r="AI319">
        <v>18</v>
      </c>
      <c r="AJ319">
        <v>4</v>
      </c>
      <c r="AK319">
        <v>43</v>
      </c>
      <c r="AL319" t="s">
        <v>121</v>
      </c>
      <c r="AM319" t="s">
        <v>166</v>
      </c>
      <c r="AN319" t="s">
        <v>685</v>
      </c>
      <c r="AO319" t="s">
        <v>6448</v>
      </c>
      <c r="AP319" t="s">
        <v>6449</v>
      </c>
      <c r="AQ319" t="s">
        <v>74</v>
      </c>
      <c r="AR319" t="s">
        <v>6450</v>
      </c>
      <c r="AS319" t="s">
        <v>6451</v>
      </c>
      <c r="AT319" t="s">
        <v>128</v>
      </c>
      <c r="AU319">
        <v>2020</v>
      </c>
      <c r="AV319">
        <v>104</v>
      </c>
      <c r="AW319">
        <v>7</v>
      </c>
      <c r="AX319" t="s">
        <v>74</v>
      </c>
      <c r="AY319" t="s">
        <v>74</v>
      </c>
      <c r="AZ319" t="s">
        <v>74</v>
      </c>
      <c r="BA319" t="s">
        <v>74</v>
      </c>
      <c r="BB319">
        <v>2923</v>
      </c>
      <c r="BC319">
        <v>2934</v>
      </c>
      <c r="BD319" t="s">
        <v>74</v>
      </c>
      <c r="BE319" t="s">
        <v>6452</v>
      </c>
      <c r="BF319" t="str">
        <f>HYPERLINK("http://dx.doi.org/10.1007/s00253-020-10448-8","http://dx.doi.org/10.1007/s00253-020-10448-8")</f>
        <v>http://dx.doi.org/10.1007/s00253-020-10448-8</v>
      </c>
      <c r="BG319" t="s">
        <v>74</v>
      </c>
      <c r="BH319" t="s">
        <v>5744</v>
      </c>
      <c r="BI319">
        <v>12</v>
      </c>
      <c r="BJ319" t="s">
        <v>6453</v>
      </c>
      <c r="BK319" t="s">
        <v>103</v>
      </c>
      <c r="BL319" t="s">
        <v>6453</v>
      </c>
      <c r="BM319" t="s">
        <v>6454</v>
      </c>
      <c r="BN319">
        <v>32076778</v>
      </c>
      <c r="BO319" t="s">
        <v>74</v>
      </c>
      <c r="BP319" t="s">
        <v>74</v>
      </c>
      <c r="BQ319" t="s">
        <v>74</v>
      </c>
      <c r="BR319" t="s">
        <v>106</v>
      </c>
      <c r="BS319" t="s">
        <v>6455</v>
      </c>
      <c r="BT319" t="str">
        <f>HYPERLINK("https%3A%2F%2Fwww.webofscience.com%2Fwos%2Fwoscc%2Ffull-record%2FWOS:000516287900004","View Full Record in Web of Science")</f>
        <v>View Full Record in Web of Science</v>
      </c>
    </row>
    <row r="320" spans="1:72" x14ac:dyDescent="0.15">
      <c r="A320" t="s">
        <v>72</v>
      </c>
      <c r="B320" t="s">
        <v>6456</v>
      </c>
      <c r="C320" t="s">
        <v>74</v>
      </c>
      <c r="D320" t="s">
        <v>74</v>
      </c>
      <c r="E320" t="s">
        <v>74</v>
      </c>
      <c r="F320" t="s">
        <v>6457</v>
      </c>
      <c r="G320" t="s">
        <v>74</v>
      </c>
      <c r="H320" t="s">
        <v>74</v>
      </c>
      <c r="I320" t="s">
        <v>6458</v>
      </c>
      <c r="J320" t="s">
        <v>672</v>
      </c>
      <c r="K320" t="s">
        <v>74</v>
      </c>
      <c r="L320" t="s">
        <v>74</v>
      </c>
      <c r="M320" t="s">
        <v>78</v>
      </c>
      <c r="N320" t="s">
        <v>79</v>
      </c>
      <c r="O320" t="s">
        <v>74</v>
      </c>
      <c r="P320" t="s">
        <v>74</v>
      </c>
      <c r="Q320" t="s">
        <v>74</v>
      </c>
      <c r="R320" t="s">
        <v>74</v>
      </c>
      <c r="S320" t="s">
        <v>74</v>
      </c>
      <c r="T320" t="s">
        <v>6459</v>
      </c>
      <c r="U320" t="s">
        <v>6460</v>
      </c>
      <c r="V320" t="s">
        <v>6461</v>
      </c>
      <c r="W320" t="s">
        <v>6462</v>
      </c>
      <c r="X320" t="s">
        <v>6463</v>
      </c>
      <c r="Y320" t="s">
        <v>6464</v>
      </c>
      <c r="Z320" t="s">
        <v>6465</v>
      </c>
      <c r="AA320" t="s">
        <v>6466</v>
      </c>
      <c r="AB320" t="s">
        <v>6467</v>
      </c>
      <c r="AC320" t="s">
        <v>6468</v>
      </c>
      <c r="AD320" t="s">
        <v>6469</v>
      </c>
      <c r="AE320" t="s">
        <v>6470</v>
      </c>
      <c r="AF320" t="s">
        <v>74</v>
      </c>
      <c r="AG320">
        <v>25</v>
      </c>
      <c r="AH320">
        <v>5</v>
      </c>
      <c r="AI320">
        <v>5</v>
      </c>
      <c r="AJ320">
        <v>0</v>
      </c>
      <c r="AK320">
        <v>6</v>
      </c>
      <c r="AL320" t="s">
        <v>121</v>
      </c>
      <c r="AM320" t="s">
        <v>166</v>
      </c>
      <c r="AN320" t="s">
        <v>685</v>
      </c>
      <c r="AO320" t="s">
        <v>686</v>
      </c>
      <c r="AP320" t="s">
        <v>687</v>
      </c>
      <c r="AQ320" t="s">
        <v>74</v>
      </c>
      <c r="AR320" t="s">
        <v>688</v>
      </c>
      <c r="AS320" t="s">
        <v>689</v>
      </c>
      <c r="AT320" t="s">
        <v>2912</v>
      </c>
      <c r="AU320">
        <v>2020</v>
      </c>
      <c r="AV320">
        <v>43</v>
      </c>
      <c r="AW320">
        <v>3</v>
      </c>
      <c r="AX320" t="s">
        <v>74</v>
      </c>
      <c r="AY320" t="s">
        <v>74</v>
      </c>
      <c r="AZ320" t="s">
        <v>74</v>
      </c>
      <c r="BA320" t="s">
        <v>74</v>
      </c>
      <c r="BB320">
        <v>279</v>
      </c>
      <c r="BC320">
        <v>283</v>
      </c>
      <c r="BD320" t="s">
        <v>74</v>
      </c>
      <c r="BE320" t="s">
        <v>6471</v>
      </c>
      <c r="BF320" t="str">
        <f>HYPERLINK("http://dx.doi.org/10.1007/s00300-020-02630-5","http://dx.doi.org/10.1007/s00300-020-02630-5")</f>
        <v>http://dx.doi.org/10.1007/s00300-020-02630-5</v>
      </c>
      <c r="BG320" t="s">
        <v>74</v>
      </c>
      <c r="BH320" t="s">
        <v>5744</v>
      </c>
      <c r="BI320">
        <v>5</v>
      </c>
      <c r="BJ320" t="s">
        <v>130</v>
      </c>
      <c r="BK320" t="s">
        <v>103</v>
      </c>
      <c r="BL320" t="s">
        <v>131</v>
      </c>
      <c r="BM320" t="s">
        <v>5799</v>
      </c>
      <c r="BN320" t="s">
        <v>74</v>
      </c>
      <c r="BO320" t="s">
        <v>74</v>
      </c>
      <c r="BP320" t="s">
        <v>74</v>
      </c>
      <c r="BQ320" t="s">
        <v>74</v>
      </c>
      <c r="BR320" t="s">
        <v>106</v>
      </c>
      <c r="BS320" t="s">
        <v>6472</v>
      </c>
      <c r="BT320" t="str">
        <f>HYPERLINK("https%3A%2F%2Fwww.webofscience.com%2Fwos%2Fwoscc%2Ffull-record%2FWOS:000516343500001","View Full Record in Web of Science")</f>
        <v>View Full Record in Web of Science</v>
      </c>
    </row>
    <row r="321" spans="1:72" x14ac:dyDescent="0.15">
      <c r="A321" t="s">
        <v>72</v>
      </c>
      <c r="B321" t="s">
        <v>6473</v>
      </c>
      <c r="C321" t="s">
        <v>74</v>
      </c>
      <c r="D321" t="s">
        <v>74</v>
      </c>
      <c r="E321" t="s">
        <v>74</v>
      </c>
      <c r="F321" t="s">
        <v>6474</v>
      </c>
      <c r="G321" t="s">
        <v>74</v>
      </c>
      <c r="H321" t="s">
        <v>74</v>
      </c>
      <c r="I321" t="s">
        <v>6475</v>
      </c>
      <c r="J321" t="s">
        <v>1339</v>
      </c>
      <c r="K321" t="s">
        <v>74</v>
      </c>
      <c r="L321" t="s">
        <v>74</v>
      </c>
      <c r="M321" t="s">
        <v>78</v>
      </c>
      <c r="N321" t="s">
        <v>79</v>
      </c>
      <c r="O321" t="s">
        <v>74</v>
      </c>
      <c r="P321" t="s">
        <v>74</v>
      </c>
      <c r="Q321" t="s">
        <v>74</v>
      </c>
      <c r="R321" t="s">
        <v>74</v>
      </c>
      <c r="S321" t="s">
        <v>74</v>
      </c>
      <c r="T321" t="s">
        <v>6476</v>
      </c>
      <c r="U321" t="s">
        <v>6477</v>
      </c>
      <c r="V321" t="s">
        <v>6478</v>
      </c>
      <c r="W321" t="s">
        <v>6479</v>
      </c>
      <c r="X321" t="s">
        <v>6480</v>
      </c>
      <c r="Y321" t="s">
        <v>6481</v>
      </c>
      <c r="Z321" t="s">
        <v>6482</v>
      </c>
      <c r="AA321" t="s">
        <v>6483</v>
      </c>
      <c r="AB321" t="s">
        <v>6484</v>
      </c>
      <c r="AC321" t="s">
        <v>6485</v>
      </c>
      <c r="AD321" t="s">
        <v>6486</v>
      </c>
      <c r="AE321" t="s">
        <v>6487</v>
      </c>
      <c r="AF321" t="s">
        <v>74</v>
      </c>
      <c r="AG321">
        <v>48</v>
      </c>
      <c r="AH321">
        <v>12</v>
      </c>
      <c r="AI321">
        <v>12</v>
      </c>
      <c r="AJ321">
        <v>5</v>
      </c>
      <c r="AK321">
        <v>16</v>
      </c>
      <c r="AL321" t="s">
        <v>658</v>
      </c>
      <c r="AM321" t="s">
        <v>659</v>
      </c>
      <c r="AN321" t="s">
        <v>660</v>
      </c>
      <c r="AO321" t="s">
        <v>74</v>
      </c>
      <c r="AP321" t="s">
        <v>1352</v>
      </c>
      <c r="AQ321" t="s">
        <v>74</v>
      </c>
      <c r="AR321" t="s">
        <v>1353</v>
      </c>
      <c r="AS321" t="s">
        <v>1354</v>
      </c>
      <c r="AT321" t="s">
        <v>6488</v>
      </c>
      <c r="AU321">
        <v>2020</v>
      </c>
      <c r="AV321">
        <v>7</v>
      </c>
      <c r="AW321" t="s">
        <v>74</v>
      </c>
      <c r="AX321" t="s">
        <v>74</v>
      </c>
      <c r="AY321" t="s">
        <v>74</v>
      </c>
      <c r="AZ321" t="s">
        <v>74</v>
      </c>
      <c r="BA321" t="s">
        <v>74</v>
      </c>
      <c r="BB321" t="s">
        <v>74</v>
      </c>
      <c r="BC321" t="s">
        <v>74</v>
      </c>
      <c r="BD321">
        <v>69</v>
      </c>
      <c r="BE321" t="s">
        <v>6489</v>
      </c>
      <c r="BF321" t="str">
        <f>HYPERLINK("http://dx.doi.org/10.3389/fmars.2020.00069","http://dx.doi.org/10.3389/fmars.2020.00069")</f>
        <v>http://dx.doi.org/10.3389/fmars.2020.00069</v>
      </c>
      <c r="BG321" t="s">
        <v>74</v>
      </c>
      <c r="BH321" t="s">
        <v>74</v>
      </c>
      <c r="BI321">
        <v>10</v>
      </c>
      <c r="BJ321" t="s">
        <v>1356</v>
      </c>
      <c r="BK321" t="s">
        <v>103</v>
      </c>
      <c r="BL321" t="s">
        <v>1357</v>
      </c>
      <c r="BM321" t="s">
        <v>6490</v>
      </c>
      <c r="BN321" t="s">
        <v>74</v>
      </c>
      <c r="BO321" t="s">
        <v>276</v>
      </c>
      <c r="BP321" t="s">
        <v>74</v>
      </c>
      <c r="BQ321" t="s">
        <v>74</v>
      </c>
      <c r="BR321" t="s">
        <v>106</v>
      </c>
      <c r="BS321" t="s">
        <v>6491</v>
      </c>
      <c r="BT321" t="str">
        <f>HYPERLINK("https%3A%2F%2Fwww.webofscience.com%2Fwos%2Fwoscc%2Ffull-record%2FWOS:000514299700001","View Full Record in Web of Science")</f>
        <v>View Full Record in Web of Science</v>
      </c>
    </row>
    <row r="322" spans="1:72" x14ac:dyDescent="0.15">
      <c r="A322" t="s">
        <v>72</v>
      </c>
      <c r="B322" t="s">
        <v>6492</v>
      </c>
      <c r="C322" t="s">
        <v>74</v>
      </c>
      <c r="D322" t="s">
        <v>74</v>
      </c>
      <c r="E322" t="s">
        <v>74</v>
      </c>
      <c r="F322" t="s">
        <v>6493</v>
      </c>
      <c r="G322" t="s">
        <v>74</v>
      </c>
      <c r="H322" t="s">
        <v>74</v>
      </c>
      <c r="I322" t="s">
        <v>6494</v>
      </c>
      <c r="J322" t="s">
        <v>6495</v>
      </c>
      <c r="K322" t="s">
        <v>74</v>
      </c>
      <c r="L322" t="s">
        <v>74</v>
      </c>
      <c r="M322" t="s">
        <v>78</v>
      </c>
      <c r="N322" t="s">
        <v>79</v>
      </c>
      <c r="O322" t="s">
        <v>74</v>
      </c>
      <c r="P322" t="s">
        <v>74</v>
      </c>
      <c r="Q322" t="s">
        <v>74</v>
      </c>
      <c r="R322" t="s">
        <v>74</v>
      </c>
      <c r="S322" t="s">
        <v>74</v>
      </c>
      <c r="T322" t="s">
        <v>6496</v>
      </c>
      <c r="U322" t="s">
        <v>6497</v>
      </c>
      <c r="V322" t="s">
        <v>6498</v>
      </c>
      <c r="W322" t="s">
        <v>6499</v>
      </c>
      <c r="X322" t="s">
        <v>6500</v>
      </c>
      <c r="Y322" t="s">
        <v>6501</v>
      </c>
      <c r="Z322" t="s">
        <v>6502</v>
      </c>
      <c r="AA322" t="s">
        <v>6503</v>
      </c>
      <c r="AB322" t="s">
        <v>6504</v>
      </c>
      <c r="AC322" t="s">
        <v>6505</v>
      </c>
      <c r="AD322" t="s">
        <v>6506</v>
      </c>
      <c r="AE322" t="s">
        <v>6507</v>
      </c>
      <c r="AF322" t="s">
        <v>74</v>
      </c>
      <c r="AG322">
        <v>104</v>
      </c>
      <c r="AH322">
        <v>36</v>
      </c>
      <c r="AI322">
        <v>38</v>
      </c>
      <c r="AJ322">
        <v>0</v>
      </c>
      <c r="AK322">
        <v>8</v>
      </c>
      <c r="AL322" t="s">
        <v>6508</v>
      </c>
      <c r="AM322" t="s">
        <v>6509</v>
      </c>
      <c r="AN322" t="s">
        <v>6510</v>
      </c>
      <c r="AO322" t="s">
        <v>6511</v>
      </c>
      <c r="AP322" t="s">
        <v>74</v>
      </c>
      <c r="AQ322" t="s">
        <v>74</v>
      </c>
      <c r="AR322" t="s">
        <v>6512</v>
      </c>
      <c r="AS322" t="s">
        <v>6513</v>
      </c>
      <c r="AT322" t="s">
        <v>6514</v>
      </c>
      <c r="AU322">
        <v>2020</v>
      </c>
      <c r="AV322">
        <v>10</v>
      </c>
      <c r="AW322" t="s">
        <v>74</v>
      </c>
      <c r="AX322" t="s">
        <v>74</v>
      </c>
      <c r="AY322" t="s">
        <v>74</v>
      </c>
      <c r="AZ322" t="s">
        <v>74</v>
      </c>
      <c r="BA322" t="s">
        <v>74</v>
      </c>
      <c r="BB322" t="s">
        <v>74</v>
      </c>
      <c r="BC322" t="s">
        <v>74</v>
      </c>
      <c r="BD322">
        <v>5</v>
      </c>
      <c r="BE322" t="s">
        <v>6515</v>
      </c>
      <c r="BF322" t="str">
        <f>HYPERLINK("http://dx.doi.org/10.1051/swsc/2020008","http://dx.doi.org/10.1051/swsc/2020008")</f>
        <v>http://dx.doi.org/10.1051/swsc/2020008</v>
      </c>
      <c r="BG322" t="s">
        <v>74</v>
      </c>
      <c r="BH322" t="s">
        <v>74</v>
      </c>
      <c r="BI322">
        <v>19</v>
      </c>
      <c r="BJ322" t="s">
        <v>3891</v>
      </c>
      <c r="BK322" t="s">
        <v>103</v>
      </c>
      <c r="BL322" t="s">
        <v>3891</v>
      </c>
      <c r="BM322" t="s">
        <v>6516</v>
      </c>
      <c r="BN322" t="s">
        <v>74</v>
      </c>
      <c r="BO322" t="s">
        <v>1286</v>
      </c>
      <c r="BP322" t="s">
        <v>74</v>
      </c>
      <c r="BQ322" t="s">
        <v>74</v>
      </c>
      <c r="BR322" t="s">
        <v>106</v>
      </c>
      <c r="BS322" t="s">
        <v>6517</v>
      </c>
      <c r="BT322" t="str">
        <f>HYPERLINK("https%3A%2F%2Fwww.webofscience.com%2Fwos%2Fwoscc%2Ffull-record%2FWOS:000515580200001","View Full Record in Web of Science")</f>
        <v>View Full Record in Web of Science</v>
      </c>
    </row>
    <row r="323" spans="1:72" x14ac:dyDescent="0.15">
      <c r="A323" t="s">
        <v>72</v>
      </c>
      <c r="B323" t="s">
        <v>6518</v>
      </c>
      <c r="C323" t="s">
        <v>74</v>
      </c>
      <c r="D323" t="s">
        <v>74</v>
      </c>
      <c r="E323" t="s">
        <v>74</v>
      </c>
      <c r="F323" t="s">
        <v>6519</v>
      </c>
      <c r="G323" t="s">
        <v>74</v>
      </c>
      <c r="H323" t="s">
        <v>74</v>
      </c>
      <c r="I323" t="s">
        <v>6520</v>
      </c>
      <c r="J323" t="s">
        <v>6521</v>
      </c>
      <c r="K323" t="s">
        <v>74</v>
      </c>
      <c r="L323" t="s">
        <v>74</v>
      </c>
      <c r="M323" t="s">
        <v>78</v>
      </c>
      <c r="N323" t="s">
        <v>79</v>
      </c>
      <c r="O323" t="s">
        <v>74</v>
      </c>
      <c r="P323" t="s">
        <v>74</v>
      </c>
      <c r="Q323" t="s">
        <v>74</v>
      </c>
      <c r="R323" t="s">
        <v>74</v>
      </c>
      <c r="S323" t="s">
        <v>74</v>
      </c>
      <c r="T323" t="s">
        <v>6522</v>
      </c>
      <c r="U323" t="s">
        <v>6523</v>
      </c>
      <c r="V323" t="s">
        <v>6524</v>
      </c>
      <c r="W323" t="s">
        <v>6525</v>
      </c>
      <c r="X323" t="s">
        <v>6526</v>
      </c>
      <c r="Y323" t="s">
        <v>6527</v>
      </c>
      <c r="Z323" t="s">
        <v>6528</v>
      </c>
      <c r="AA323" t="s">
        <v>74</v>
      </c>
      <c r="AB323" t="s">
        <v>6529</v>
      </c>
      <c r="AC323" t="s">
        <v>6530</v>
      </c>
      <c r="AD323" t="s">
        <v>6531</v>
      </c>
      <c r="AE323" t="s">
        <v>6530</v>
      </c>
      <c r="AF323" t="s">
        <v>74</v>
      </c>
      <c r="AG323">
        <v>59</v>
      </c>
      <c r="AH323">
        <v>3</v>
      </c>
      <c r="AI323">
        <v>3</v>
      </c>
      <c r="AJ323">
        <v>0</v>
      </c>
      <c r="AK323">
        <v>12</v>
      </c>
      <c r="AL323" t="s">
        <v>211</v>
      </c>
      <c r="AM323" t="s">
        <v>212</v>
      </c>
      <c r="AN323" t="s">
        <v>213</v>
      </c>
      <c r="AO323" t="s">
        <v>6532</v>
      </c>
      <c r="AP323" t="s">
        <v>6533</v>
      </c>
      <c r="AQ323" t="s">
        <v>74</v>
      </c>
      <c r="AR323" t="s">
        <v>6534</v>
      </c>
      <c r="AS323" t="s">
        <v>6535</v>
      </c>
      <c r="AT323" t="s">
        <v>2912</v>
      </c>
      <c r="AU323">
        <v>2020</v>
      </c>
      <c r="AV323">
        <v>30</v>
      </c>
      <c r="AW323">
        <v>3</v>
      </c>
      <c r="AX323" t="s">
        <v>74</v>
      </c>
      <c r="AY323" t="s">
        <v>74</v>
      </c>
      <c r="AZ323" t="s">
        <v>74</v>
      </c>
      <c r="BA323" t="s">
        <v>74</v>
      </c>
      <c r="BB323">
        <v>486</v>
      </c>
      <c r="BC323">
        <v>496</v>
      </c>
      <c r="BD323" t="s">
        <v>74</v>
      </c>
      <c r="BE323" t="s">
        <v>6536</v>
      </c>
      <c r="BF323" t="str">
        <f>HYPERLINK("http://dx.doi.org/10.1002/aqc.3266","http://dx.doi.org/10.1002/aqc.3266")</f>
        <v>http://dx.doi.org/10.1002/aqc.3266</v>
      </c>
      <c r="BG323" t="s">
        <v>74</v>
      </c>
      <c r="BH323" t="s">
        <v>5744</v>
      </c>
      <c r="BI323">
        <v>11</v>
      </c>
      <c r="BJ323" t="s">
        <v>6537</v>
      </c>
      <c r="BK323" t="s">
        <v>103</v>
      </c>
      <c r="BL323" t="s">
        <v>6538</v>
      </c>
      <c r="BM323" t="s">
        <v>6539</v>
      </c>
      <c r="BN323" t="s">
        <v>74</v>
      </c>
      <c r="BO323" t="s">
        <v>74</v>
      </c>
      <c r="BP323" t="s">
        <v>74</v>
      </c>
      <c r="BQ323" t="s">
        <v>74</v>
      </c>
      <c r="BR323" t="s">
        <v>106</v>
      </c>
      <c r="BS323" t="s">
        <v>6540</v>
      </c>
      <c r="BT323" t="str">
        <f>HYPERLINK("https%3A%2F%2Fwww.webofscience.com%2Fwos%2Fwoscc%2Ffull-record%2FWOS:000513942000001","View Full Record in Web of Science")</f>
        <v>View Full Record in Web of Science</v>
      </c>
    </row>
    <row r="324" spans="1:72" x14ac:dyDescent="0.15">
      <c r="A324" t="s">
        <v>72</v>
      </c>
      <c r="B324" t="s">
        <v>6541</v>
      </c>
      <c r="C324" t="s">
        <v>74</v>
      </c>
      <c r="D324" t="s">
        <v>74</v>
      </c>
      <c r="E324" t="s">
        <v>74</v>
      </c>
      <c r="F324" t="s">
        <v>6542</v>
      </c>
      <c r="G324" t="s">
        <v>74</v>
      </c>
      <c r="H324" t="s">
        <v>74</v>
      </c>
      <c r="I324" t="s">
        <v>6543</v>
      </c>
      <c r="J324" t="s">
        <v>1390</v>
      </c>
      <c r="K324" t="s">
        <v>74</v>
      </c>
      <c r="L324" t="s">
        <v>74</v>
      </c>
      <c r="M324" t="s">
        <v>78</v>
      </c>
      <c r="N324" t="s">
        <v>79</v>
      </c>
      <c r="O324" t="s">
        <v>74</v>
      </c>
      <c r="P324" t="s">
        <v>74</v>
      </c>
      <c r="Q324" t="s">
        <v>74</v>
      </c>
      <c r="R324" t="s">
        <v>74</v>
      </c>
      <c r="S324" t="s">
        <v>74</v>
      </c>
      <c r="T324" t="s">
        <v>74</v>
      </c>
      <c r="U324" t="s">
        <v>6544</v>
      </c>
      <c r="V324" t="s">
        <v>6545</v>
      </c>
      <c r="W324" t="s">
        <v>6546</v>
      </c>
      <c r="X324" t="s">
        <v>6547</v>
      </c>
      <c r="Y324" t="s">
        <v>6548</v>
      </c>
      <c r="Z324" t="s">
        <v>6549</v>
      </c>
      <c r="AA324" t="s">
        <v>6550</v>
      </c>
      <c r="AB324" t="s">
        <v>6551</v>
      </c>
      <c r="AC324" t="s">
        <v>6552</v>
      </c>
      <c r="AD324" t="s">
        <v>6553</v>
      </c>
      <c r="AE324" t="s">
        <v>6554</v>
      </c>
      <c r="AF324" t="s">
        <v>74</v>
      </c>
      <c r="AG324">
        <v>82</v>
      </c>
      <c r="AH324">
        <v>23</v>
      </c>
      <c r="AI324">
        <v>25</v>
      </c>
      <c r="AJ324">
        <v>2</v>
      </c>
      <c r="AK324">
        <v>12</v>
      </c>
      <c r="AL324" t="s">
        <v>976</v>
      </c>
      <c r="AM324" t="s">
        <v>977</v>
      </c>
      <c r="AN324" t="s">
        <v>978</v>
      </c>
      <c r="AO324" t="s">
        <v>1399</v>
      </c>
      <c r="AP324" t="s">
        <v>1400</v>
      </c>
      <c r="AQ324" t="s">
        <v>74</v>
      </c>
      <c r="AR324" t="s">
        <v>1390</v>
      </c>
      <c r="AS324" t="s">
        <v>1401</v>
      </c>
      <c r="AT324" t="s">
        <v>6555</v>
      </c>
      <c r="AU324">
        <v>2020</v>
      </c>
      <c r="AV324">
        <v>17</v>
      </c>
      <c r="AW324">
        <v>3</v>
      </c>
      <c r="AX324" t="s">
        <v>74</v>
      </c>
      <c r="AY324" t="s">
        <v>74</v>
      </c>
      <c r="AZ324" t="s">
        <v>74</v>
      </c>
      <c r="BA324" t="s">
        <v>74</v>
      </c>
      <c r="BB324">
        <v>793</v>
      </c>
      <c r="BC324">
        <v>812</v>
      </c>
      <c r="BD324" t="s">
        <v>74</v>
      </c>
      <c r="BE324" t="s">
        <v>6556</v>
      </c>
      <c r="BF324" t="str">
        <f>HYPERLINK("http://dx.doi.org/10.5194/bg-17-793-2020","http://dx.doi.org/10.5194/bg-17-793-2020")</f>
        <v>http://dx.doi.org/10.5194/bg-17-793-2020</v>
      </c>
      <c r="BG324" t="s">
        <v>74</v>
      </c>
      <c r="BH324" t="s">
        <v>74</v>
      </c>
      <c r="BI324">
        <v>20</v>
      </c>
      <c r="BJ324" t="s">
        <v>1404</v>
      </c>
      <c r="BK324" t="s">
        <v>103</v>
      </c>
      <c r="BL324" t="s">
        <v>1405</v>
      </c>
      <c r="BM324" t="s">
        <v>6557</v>
      </c>
      <c r="BN324" t="s">
        <v>74</v>
      </c>
      <c r="BO324" t="s">
        <v>1310</v>
      </c>
      <c r="BP324" t="s">
        <v>74</v>
      </c>
      <c r="BQ324" t="s">
        <v>74</v>
      </c>
      <c r="BR324" t="s">
        <v>106</v>
      </c>
      <c r="BS324" t="s">
        <v>6558</v>
      </c>
      <c r="BT324" t="str">
        <f>HYPERLINK("https%3A%2F%2Fwww.webofscience.com%2Fwos%2Fwoscc%2Ffull-record%2FWOS:000515166900002","View Full Record in Web of Science")</f>
        <v>View Full Record in Web of Science</v>
      </c>
    </row>
    <row r="325" spans="1:72" x14ac:dyDescent="0.15">
      <c r="A325" t="s">
        <v>72</v>
      </c>
      <c r="B325" t="s">
        <v>6559</v>
      </c>
      <c r="C325" t="s">
        <v>74</v>
      </c>
      <c r="D325" t="s">
        <v>74</v>
      </c>
      <c r="E325" t="s">
        <v>74</v>
      </c>
      <c r="F325" t="s">
        <v>6560</v>
      </c>
      <c r="G325" t="s">
        <v>74</v>
      </c>
      <c r="H325" t="s">
        <v>74</v>
      </c>
      <c r="I325" t="s">
        <v>6561</v>
      </c>
      <c r="J325" t="s">
        <v>5907</v>
      </c>
      <c r="K325" t="s">
        <v>74</v>
      </c>
      <c r="L325" t="s">
        <v>74</v>
      </c>
      <c r="M325" t="s">
        <v>78</v>
      </c>
      <c r="N325" t="s">
        <v>79</v>
      </c>
      <c r="O325" t="s">
        <v>74</v>
      </c>
      <c r="P325" t="s">
        <v>74</v>
      </c>
      <c r="Q325" t="s">
        <v>74</v>
      </c>
      <c r="R325" t="s">
        <v>74</v>
      </c>
      <c r="S325" t="s">
        <v>74</v>
      </c>
      <c r="T325" t="s">
        <v>6562</v>
      </c>
      <c r="U325" t="s">
        <v>74</v>
      </c>
      <c r="V325" t="s">
        <v>6563</v>
      </c>
      <c r="W325" t="s">
        <v>6564</v>
      </c>
      <c r="X325" t="s">
        <v>6565</v>
      </c>
      <c r="Y325" t="s">
        <v>6566</v>
      </c>
      <c r="Z325" t="s">
        <v>6567</v>
      </c>
      <c r="AA325" t="s">
        <v>6568</v>
      </c>
      <c r="AB325" t="s">
        <v>6569</v>
      </c>
      <c r="AC325" t="s">
        <v>6570</v>
      </c>
      <c r="AD325" t="s">
        <v>6571</v>
      </c>
      <c r="AE325" t="s">
        <v>6572</v>
      </c>
      <c r="AF325" t="s">
        <v>74</v>
      </c>
      <c r="AG325">
        <v>14</v>
      </c>
      <c r="AH325">
        <v>20</v>
      </c>
      <c r="AI325">
        <v>25</v>
      </c>
      <c r="AJ325">
        <v>0</v>
      </c>
      <c r="AK325">
        <v>5</v>
      </c>
      <c r="AL325" t="s">
        <v>5919</v>
      </c>
      <c r="AM325" t="s">
        <v>166</v>
      </c>
      <c r="AN325" t="s">
        <v>5920</v>
      </c>
      <c r="AO325" t="s">
        <v>5921</v>
      </c>
      <c r="AP325" t="s">
        <v>5922</v>
      </c>
      <c r="AQ325" t="s">
        <v>74</v>
      </c>
      <c r="AR325" t="s">
        <v>5923</v>
      </c>
      <c r="AS325" t="s">
        <v>5924</v>
      </c>
      <c r="AT325" t="s">
        <v>690</v>
      </c>
      <c r="AU325">
        <v>2020</v>
      </c>
      <c r="AV325">
        <v>199</v>
      </c>
      <c r="AW325" t="s">
        <v>4623</v>
      </c>
      <c r="AX325" t="s">
        <v>74</v>
      </c>
      <c r="AY325" t="s">
        <v>74</v>
      </c>
      <c r="AZ325" t="s">
        <v>342</v>
      </c>
      <c r="BA325" t="s">
        <v>74</v>
      </c>
      <c r="BB325">
        <v>976</v>
      </c>
      <c r="BC325">
        <v>984</v>
      </c>
      <c r="BD325" t="s">
        <v>74</v>
      </c>
      <c r="BE325" t="s">
        <v>6573</v>
      </c>
      <c r="BF325" t="str">
        <f>HYPERLINK("http://dx.doi.org/10.1007/s10909-020-02394-6","http://dx.doi.org/10.1007/s10909-020-02394-6")</f>
        <v>http://dx.doi.org/10.1007/s10909-020-02394-6</v>
      </c>
      <c r="BG325" t="s">
        <v>74</v>
      </c>
      <c r="BH325" t="s">
        <v>5744</v>
      </c>
      <c r="BI325">
        <v>9</v>
      </c>
      <c r="BJ325" t="s">
        <v>5926</v>
      </c>
      <c r="BK325" t="s">
        <v>103</v>
      </c>
      <c r="BL325" t="s">
        <v>5927</v>
      </c>
      <c r="BM325" t="s">
        <v>5928</v>
      </c>
      <c r="BN325" t="s">
        <v>74</v>
      </c>
      <c r="BO325" t="s">
        <v>5946</v>
      </c>
      <c r="BP325" t="s">
        <v>74</v>
      </c>
      <c r="BQ325" t="s">
        <v>74</v>
      </c>
      <c r="BR325" t="s">
        <v>106</v>
      </c>
      <c r="BS325" t="s">
        <v>6574</v>
      </c>
      <c r="BT325" t="str">
        <f>HYPERLINK("https%3A%2F%2Fwww.webofscience.com%2Fwos%2Fwoscc%2Ffull-record%2FWOS:000516185900004","View Full Record in Web of Science")</f>
        <v>View Full Record in Web of Science</v>
      </c>
    </row>
    <row r="326" spans="1:72" x14ac:dyDescent="0.15">
      <c r="A326" t="s">
        <v>72</v>
      </c>
      <c r="B326" t="s">
        <v>6575</v>
      </c>
      <c r="C326" t="s">
        <v>74</v>
      </c>
      <c r="D326" t="s">
        <v>74</v>
      </c>
      <c r="E326" t="s">
        <v>74</v>
      </c>
      <c r="F326" t="s">
        <v>6576</v>
      </c>
      <c r="G326" t="s">
        <v>74</v>
      </c>
      <c r="H326" t="s">
        <v>74</v>
      </c>
      <c r="I326" t="s">
        <v>6577</v>
      </c>
      <c r="J326" t="s">
        <v>672</v>
      </c>
      <c r="K326" t="s">
        <v>74</v>
      </c>
      <c r="L326" t="s">
        <v>74</v>
      </c>
      <c r="M326" t="s">
        <v>78</v>
      </c>
      <c r="N326" t="s">
        <v>79</v>
      </c>
      <c r="O326" t="s">
        <v>74</v>
      </c>
      <c r="P326" t="s">
        <v>74</v>
      </c>
      <c r="Q326" t="s">
        <v>74</v>
      </c>
      <c r="R326" t="s">
        <v>74</v>
      </c>
      <c r="S326" t="s">
        <v>74</v>
      </c>
      <c r="T326" t="s">
        <v>6578</v>
      </c>
      <c r="U326" t="s">
        <v>6579</v>
      </c>
      <c r="V326" t="s">
        <v>6580</v>
      </c>
      <c r="W326" t="s">
        <v>6581</v>
      </c>
      <c r="X326" t="s">
        <v>6582</v>
      </c>
      <c r="Y326" t="s">
        <v>6583</v>
      </c>
      <c r="Z326" t="s">
        <v>6584</v>
      </c>
      <c r="AA326" t="s">
        <v>6585</v>
      </c>
      <c r="AB326" t="s">
        <v>6586</v>
      </c>
      <c r="AC326" t="s">
        <v>6587</v>
      </c>
      <c r="AD326" t="s">
        <v>6588</v>
      </c>
      <c r="AE326" t="s">
        <v>6589</v>
      </c>
      <c r="AF326" t="s">
        <v>74</v>
      </c>
      <c r="AG326">
        <v>61</v>
      </c>
      <c r="AH326">
        <v>8</v>
      </c>
      <c r="AI326">
        <v>8</v>
      </c>
      <c r="AJ326">
        <v>0</v>
      </c>
      <c r="AK326">
        <v>14</v>
      </c>
      <c r="AL326" t="s">
        <v>121</v>
      </c>
      <c r="AM326" t="s">
        <v>166</v>
      </c>
      <c r="AN326" t="s">
        <v>685</v>
      </c>
      <c r="AO326" t="s">
        <v>686</v>
      </c>
      <c r="AP326" t="s">
        <v>687</v>
      </c>
      <c r="AQ326" t="s">
        <v>74</v>
      </c>
      <c r="AR326" t="s">
        <v>688</v>
      </c>
      <c r="AS326" t="s">
        <v>689</v>
      </c>
      <c r="AT326" t="s">
        <v>2912</v>
      </c>
      <c r="AU326">
        <v>2020</v>
      </c>
      <c r="AV326">
        <v>43</v>
      </c>
      <c r="AW326">
        <v>3</v>
      </c>
      <c r="AX326" t="s">
        <v>74</v>
      </c>
      <c r="AY326" t="s">
        <v>74</v>
      </c>
      <c r="AZ326" t="s">
        <v>74</v>
      </c>
      <c r="BA326" t="s">
        <v>74</v>
      </c>
      <c r="BB326">
        <v>225</v>
      </c>
      <c r="BC326">
        <v>235</v>
      </c>
      <c r="BD326" t="s">
        <v>74</v>
      </c>
      <c r="BE326" t="s">
        <v>6590</v>
      </c>
      <c r="BF326" t="str">
        <f>HYPERLINK("http://dx.doi.org/10.1007/s00300-020-02625-2","http://dx.doi.org/10.1007/s00300-020-02625-2")</f>
        <v>http://dx.doi.org/10.1007/s00300-020-02625-2</v>
      </c>
      <c r="BG326" t="s">
        <v>74</v>
      </c>
      <c r="BH326" t="s">
        <v>5744</v>
      </c>
      <c r="BI326">
        <v>11</v>
      </c>
      <c r="BJ326" t="s">
        <v>130</v>
      </c>
      <c r="BK326" t="s">
        <v>103</v>
      </c>
      <c r="BL326" t="s">
        <v>131</v>
      </c>
      <c r="BM326" t="s">
        <v>5799</v>
      </c>
      <c r="BN326" t="s">
        <v>74</v>
      </c>
      <c r="BO326" t="s">
        <v>193</v>
      </c>
      <c r="BP326" t="s">
        <v>74</v>
      </c>
      <c r="BQ326" t="s">
        <v>74</v>
      </c>
      <c r="BR326" t="s">
        <v>106</v>
      </c>
      <c r="BS326" t="s">
        <v>6591</v>
      </c>
      <c r="BT326" t="str">
        <f>HYPERLINK("https%3A%2F%2Fwww.webofscience.com%2Fwos%2Fwoscc%2Ffull-record%2FWOS:000516212800001","View Full Record in Web of Science")</f>
        <v>View Full Record in Web of Science</v>
      </c>
    </row>
    <row r="327" spans="1:72" x14ac:dyDescent="0.15">
      <c r="A327" t="s">
        <v>72</v>
      </c>
      <c r="B327" t="s">
        <v>6592</v>
      </c>
      <c r="C327" t="s">
        <v>74</v>
      </c>
      <c r="D327" t="s">
        <v>74</v>
      </c>
      <c r="E327" t="s">
        <v>74</v>
      </c>
      <c r="F327" t="s">
        <v>6593</v>
      </c>
      <c r="G327" t="s">
        <v>74</v>
      </c>
      <c r="H327" t="s">
        <v>74</v>
      </c>
      <c r="I327" t="s">
        <v>6594</v>
      </c>
      <c r="J327" t="s">
        <v>842</v>
      </c>
      <c r="K327" t="s">
        <v>74</v>
      </c>
      <c r="L327" t="s">
        <v>74</v>
      </c>
      <c r="M327" t="s">
        <v>78</v>
      </c>
      <c r="N327" t="s">
        <v>79</v>
      </c>
      <c r="O327" t="s">
        <v>74</v>
      </c>
      <c r="P327" t="s">
        <v>74</v>
      </c>
      <c r="Q327" t="s">
        <v>74</v>
      </c>
      <c r="R327" t="s">
        <v>74</v>
      </c>
      <c r="S327" t="s">
        <v>74</v>
      </c>
      <c r="T327" t="s">
        <v>74</v>
      </c>
      <c r="U327" t="s">
        <v>6595</v>
      </c>
      <c r="V327" t="s">
        <v>6596</v>
      </c>
      <c r="W327" t="s">
        <v>6597</v>
      </c>
      <c r="X327" t="s">
        <v>6598</v>
      </c>
      <c r="Y327" t="s">
        <v>6599</v>
      </c>
      <c r="Z327" t="s">
        <v>6600</v>
      </c>
      <c r="AA327" t="s">
        <v>6601</v>
      </c>
      <c r="AB327" t="s">
        <v>6602</v>
      </c>
      <c r="AC327" t="s">
        <v>6603</v>
      </c>
      <c r="AD327" t="s">
        <v>6604</v>
      </c>
      <c r="AE327" t="s">
        <v>6605</v>
      </c>
      <c r="AF327" t="s">
        <v>74</v>
      </c>
      <c r="AG327">
        <v>50</v>
      </c>
      <c r="AH327">
        <v>31</v>
      </c>
      <c r="AI327">
        <v>31</v>
      </c>
      <c r="AJ327">
        <v>0</v>
      </c>
      <c r="AK327">
        <v>5</v>
      </c>
      <c r="AL327" t="s">
        <v>855</v>
      </c>
      <c r="AM327" t="s">
        <v>266</v>
      </c>
      <c r="AN327" t="s">
        <v>856</v>
      </c>
      <c r="AO327" t="s">
        <v>857</v>
      </c>
      <c r="AP327" t="s">
        <v>858</v>
      </c>
      <c r="AQ327" t="s">
        <v>74</v>
      </c>
      <c r="AR327" t="s">
        <v>859</v>
      </c>
      <c r="AS327" t="s">
        <v>860</v>
      </c>
      <c r="AT327" t="s">
        <v>6606</v>
      </c>
      <c r="AU327">
        <v>2020</v>
      </c>
      <c r="AV327">
        <v>47</v>
      </c>
      <c r="AW327">
        <v>3</v>
      </c>
      <c r="AX327" t="s">
        <v>74</v>
      </c>
      <c r="AY327" t="s">
        <v>74</v>
      </c>
      <c r="AZ327" t="s">
        <v>74</v>
      </c>
      <c r="BA327" t="s">
        <v>74</v>
      </c>
      <c r="BB327" t="s">
        <v>74</v>
      </c>
      <c r="BC327" t="s">
        <v>74</v>
      </c>
      <c r="BD327" t="s">
        <v>6607</v>
      </c>
      <c r="BE327" t="s">
        <v>6608</v>
      </c>
      <c r="BF327" t="str">
        <f>HYPERLINK("http://dx.doi.org/10.1029/2019GL086524","http://dx.doi.org/10.1029/2019GL086524")</f>
        <v>http://dx.doi.org/10.1029/2019GL086524</v>
      </c>
      <c r="BG327" t="s">
        <v>74</v>
      </c>
      <c r="BH327" t="s">
        <v>74</v>
      </c>
      <c r="BI327">
        <v>10</v>
      </c>
      <c r="BJ327" t="s">
        <v>246</v>
      </c>
      <c r="BK327" t="s">
        <v>103</v>
      </c>
      <c r="BL327" t="s">
        <v>247</v>
      </c>
      <c r="BM327" t="s">
        <v>6609</v>
      </c>
      <c r="BN327" t="s">
        <v>74</v>
      </c>
      <c r="BO327" t="s">
        <v>1868</v>
      </c>
      <c r="BP327" t="s">
        <v>74</v>
      </c>
      <c r="BQ327" t="s">
        <v>74</v>
      </c>
      <c r="BR327" t="s">
        <v>106</v>
      </c>
      <c r="BS327" t="s">
        <v>6610</v>
      </c>
      <c r="BT327" t="str">
        <f>HYPERLINK("https%3A%2F%2Fwww.webofscience.com%2Fwos%2Fwoscc%2Ffull-record%2FWOS:000529107400067","View Full Record in Web of Science")</f>
        <v>View Full Record in Web of Science</v>
      </c>
    </row>
    <row r="328" spans="1:72" x14ac:dyDescent="0.15">
      <c r="A328" t="s">
        <v>72</v>
      </c>
      <c r="B328" t="s">
        <v>6611</v>
      </c>
      <c r="C328" t="s">
        <v>74</v>
      </c>
      <c r="D328" t="s">
        <v>74</v>
      </c>
      <c r="E328" t="s">
        <v>74</v>
      </c>
      <c r="F328" t="s">
        <v>6612</v>
      </c>
      <c r="G328" t="s">
        <v>74</v>
      </c>
      <c r="H328" t="s">
        <v>74</v>
      </c>
      <c r="I328" t="s">
        <v>6613</v>
      </c>
      <c r="J328" t="s">
        <v>842</v>
      </c>
      <c r="K328" t="s">
        <v>74</v>
      </c>
      <c r="L328" t="s">
        <v>74</v>
      </c>
      <c r="M328" t="s">
        <v>78</v>
      </c>
      <c r="N328" t="s">
        <v>79</v>
      </c>
      <c r="O328" t="s">
        <v>74</v>
      </c>
      <c r="P328" t="s">
        <v>74</v>
      </c>
      <c r="Q328" t="s">
        <v>74</v>
      </c>
      <c r="R328" t="s">
        <v>74</v>
      </c>
      <c r="S328" t="s">
        <v>74</v>
      </c>
      <c r="T328" t="s">
        <v>74</v>
      </c>
      <c r="U328" t="s">
        <v>6614</v>
      </c>
      <c r="V328" t="s">
        <v>6615</v>
      </c>
      <c r="W328" t="s">
        <v>6616</v>
      </c>
      <c r="X328" t="s">
        <v>6617</v>
      </c>
      <c r="Y328" t="s">
        <v>6618</v>
      </c>
      <c r="Z328" t="s">
        <v>6619</v>
      </c>
      <c r="AA328" t="s">
        <v>6620</v>
      </c>
      <c r="AB328" t="s">
        <v>6621</v>
      </c>
      <c r="AC328" t="s">
        <v>6622</v>
      </c>
      <c r="AD328" t="s">
        <v>6623</v>
      </c>
      <c r="AE328" t="s">
        <v>6624</v>
      </c>
      <c r="AF328" t="s">
        <v>74</v>
      </c>
      <c r="AG328">
        <v>73</v>
      </c>
      <c r="AH328">
        <v>11</v>
      </c>
      <c r="AI328">
        <v>15</v>
      </c>
      <c r="AJ328">
        <v>1</v>
      </c>
      <c r="AK328">
        <v>6</v>
      </c>
      <c r="AL328" t="s">
        <v>855</v>
      </c>
      <c r="AM328" t="s">
        <v>266</v>
      </c>
      <c r="AN328" t="s">
        <v>856</v>
      </c>
      <c r="AO328" t="s">
        <v>857</v>
      </c>
      <c r="AP328" t="s">
        <v>858</v>
      </c>
      <c r="AQ328" t="s">
        <v>74</v>
      </c>
      <c r="AR328" t="s">
        <v>859</v>
      </c>
      <c r="AS328" t="s">
        <v>860</v>
      </c>
      <c r="AT328" t="s">
        <v>6606</v>
      </c>
      <c r="AU328">
        <v>2020</v>
      </c>
      <c r="AV328">
        <v>47</v>
      </c>
      <c r="AW328">
        <v>3</v>
      </c>
      <c r="AX328" t="s">
        <v>74</v>
      </c>
      <c r="AY328" t="s">
        <v>74</v>
      </c>
      <c r="AZ328" t="s">
        <v>74</v>
      </c>
      <c r="BA328" t="s">
        <v>74</v>
      </c>
      <c r="BB328" t="s">
        <v>74</v>
      </c>
      <c r="BC328" t="s">
        <v>74</v>
      </c>
      <c r="BD328" t="s">
        <v>6625</v>
      </c>
      <c r="BE328" t="s">
        <v>6626</v>
      </c>
      <c r="BF328" t="str">
        <f>HYPERLINK("http://dx.doi.org/10.1029/2019GL085281","http://dx.doi.org/10.1029/2019GL085281")</f>
        <v>http://dx.doi.org/10.1029/2019GL085281</v>
      </c>
      <c r="BG328" t="s">
        <v>74</v>
      </c>
      <c r="BH328" t="s">
        <v>74</v>
      </c>
      <c r="BI328">
        <v>10</v>
      </c>
      <c r="BJ328" t="s">
        <v>246</v>
      </c>
      <c r="BK328" t="s">
        <v>103</v>
      </c>
      <c r="BL328" t="s">
        <v>247</v>
      </c>
      <c r="BM328" t="s">
        <v>6609</v>
      </c>
      <c r="BN328" t="s">
        <v>74</v>
      </c>
      <c r="BO328" t="s">
        <v>74</v>
      </c>
      <c r="BP328" t="s">
        <v>74</v>
      </c>
      <c r="BQ328" t="s">
        <v>74</v>
      </c>
      <c r="BR328" t="s">
        <v>106</v>
      </c>
      <c r="BS328" t="s">
        <v>6627</v>
      </c>
      <c r="BT328" t="str">
        <f>HYPERLINK("https%3A%2F%2Fwww.webofscience.com%2Fwos%2Fwoscc%2Ffull-record%2FWOS:000529107400006","View Full Record in Web of Science")</f>
        <v>View Full Record in Web of Science</v>
      </c>
    </row>
    <row r="329" spans="1:72" x14ac:dyDescent="0.15">
      <c r="A329" t="s">
        <v>72</v>
      </c>
      <c r="B329" t="s">
        <v>6628</v>
      </c>
      <c r="C329" t="s">
        <v>74</v>
      </c>
      <c r="D329" t="s">
        <v>74</v>
      </c>
      <c r="E329" t="s">
        <v>74</v>
      </c>
      <c r="F329" t="s">
        <v>6629</v>
      </c>
      <c r="G329" t="s">
        <v>74</v>
      </c>
      <c r="H329" t="s">
        <v>74</v>
      </c>
      <c r="I329" t="s">
        <v>6630</v>
      </c>
      <c r="J329" t="s">
        <v>842</v>
      </c>
      <c r="K329" t="s">
        <v>74</v>
      </c>
      <c r="L329" t="s">
        <v>74</v>
      </c>
      <c r="M329" t="s">
        <v>78</v>
      </c>
      <c r="N329" t="s">
        <v>79</v>
      </c>
      <c r="O329" t="s">
        <v>74</v>
      </c>
      <c r="P329" t="s">
        <v>74</v>
      </c>
      <c r="Q329" t="s">
        <v>74</v>
      </c>
      <c r="R329" t="s">
        <v>74</v>
      </c>
      <c r="S329" t="s">
        <v>74</v>
      </c>
      <c r="T329" t="s">
        <v>74</v>
      </c>
      <c r="U329" t="s">
        <v>6631</v>
      </c>
      <c r="V329" t="s">
        <v>6632</v>
      </c>
      <c r="W329" t="s">
        <v>6633</v>
      </c>
      <c r="X329" t="s">
        <v>6634</v>
      </c>
      <c r="Y329" t="s">
        <v>6635</v>
      </c>
      <c r="Z329" t="s">
        <v>6636</v>
      </c>
      <c r="AA329" t="s">
        <v>6637</v>
      </c>
      <c r="AB329" t="s">
        <v>6638</v>
      </c>
      <c r="AC329" t="s">
        <v>6639</v>
      </c>
      <c r="AD329" t="s">
        <v>6640</v>
      </c>
      <c r="AE329" t="s">
        <v>6641</v>
      </c>
      <c r="AF329" t="s">
        <v>74</v>
      </c>
      <c r="AG329">
        <v>22</v>
      </c>
      <c r="AH329">
        <v>126</v>
      </c>
      <c r="AI329">
        <v>141</v>
      </c>
      <c r="AJ329">
        <v>7</v>
      </c>
      <c r="AK329">
        <v>39</v>
      </c>
      <c r="AL329" t="s">
        <v>855</v>
      </c>
      <c r="AM329" t="s">
        <v>266</v>
      </c>
      <c r="AN329" t="s">
        <v>856</v>
      </c>
      <c r="AO329" t="s">
        <v>857</v>
      </c>
      <c r="AP329" t="s">
        <v>858</v>
      </c>
      <c r="AQ329" t="s">
        <v>74</v>
      </c>
      <c r="AR329" t="s">
        <v>859</v>
      </c>
      <c r="AS329" t="s">
        <v>860</v>
      </c>
      <c r="AT329" t="s">
        <v>6606</v>
      </c>
      <c r="AU329">
        <v>2020</v>
      </c>
      <c r="AV329">
        <v>47</v>
      </c>
      <c r="AW329">
        <v>3</v>
      </c>
      <c r="AX329" t="s">
        <v>74</v>
      </c>
      <c r="AY329" t="s">
        <v>74</v>
      </c>
      <c r="AZ329" t="s">
        <v>74</v>
      </c>
      <c r="BA329" t="s">
        <v>74</v>
      </c>
      <c r="BB329" t="s">
        <v>74</v>
      </c>
      <c r="BC329" t="s">
        <v>74</v>
      </c>
      <c r="BD329" t="s">
        <v>6642</v>
      </c>
      <c r="BE329" t="s">
        <v>6643</v>
      </c>
      <c r="BF329" t="str">
        <f>HYPERLINK("http://dx.doi.org/10.1029/2019GL085488","http://dx.doi.org/10.1029/2019GL085488")</f>
        <v>http://dx.doi.org/10.1029/2019GL085488</v>
      </c>
      <c r="BG329" t="s">
        <v>74</v>
      </c>
      <c r="BH329" t="s">
        <v>74</v>
      </c>
      <c r="BI329">
        <v>7</v>
      </c>
      <c r="BJ329" t="s">
        <v>246</v>
      </c>
      <c r="BK329" t="s">
        <v>103</v>
      </c>
      <c r="BL329" t="s">
        <v>247</v>
      </c>
      <c r="BM329" t="s">
        <v>6609</v>
      </c>
      <c r="BN329" t="s">
        <v>74</v>
      </c>
      <c r="BO329" t="s">
        <v>74</v>
      </c>
      <c r="BP329" t="s">
        <v>1869</v>
      </c>
      <c r="BQ329" t="s">
        <v>1870</v>
      </c>
      <c r="BR329" t="s">
        <v>106</v>
      </c>
      <c r="BS329" t="s">
        <v>6644</v>
      </c>
      <c r="BT329" t="str">
        <f>HYPERLINK("https%3A%2F%2Fwww.webofscience.com%2Fwos%2Fwoscc%2Ffull-record%2FWOS:000529107400068","View Full Record in Web of Science")</f>
        <v>View Full Record in Web of Science</v>
      </c>
    </row>
    <row r="330" spans="1:72" x14ac:dyDescent="0.15">
      <c r="A330" t="s">
        <v>72</v>
      </c>
      <c r="B330" t="s">
        <v>6645</v>
      </c>
      <c r="C330" t="s">
        <v>74</v>
      </c>
      <c r="D330" t="s">
        <v>74</v>
      </c>
      <c r="E330" t="s">
        <v>74</v>
      </c>
      <c r="F330" t="s">
        <v>6646</v>
      </c>
      <c r="G330" t="s">
        <v>74</v>
      </c>
      <c r="H330" t="s">
        <v>74</v>
      </c>
      <c r="I330" t="s">
        <v>6647</v>
      </c>
      <c r="J330" t="s">
        <v>842</v>
      </c>
      <c r="K330" t="s">
        <v>74</v>
      </c>
      <c r="L330" t="s">
        <v>74</v>
      </c>
      <c r="M330" t="s">
        <v>78</v>
      </c>
      <c r="N330" t="s">
        <v>79</v>
      </c>
      <c r="O330" t="s">
        <v>74</v>
      </c>
      <c r="P330" t="s">
        <v>74</v>
      </c>
      <c r="Q330" t="s">
        <v>74</v>
      </c>
      <c r="R330" t="s">
        <v>74</v>
      </c>
      <c r="S330" t="s">
        <v>74</v>
      </c>
      <c r="T330" t="s">
        <v>74</v>
      </c>
      <c r="U330" t="s">
        <v>6648</v>
      </c>
      <c r="V330" t="s">
        <v>6649</v>
      </c>
      <c r="W330" t="s">
        <v>6650</v>
      </c>
      <c r="X330" t="s">
        <v>6651</v>
      </c>
      <c r="Y330" t="s">
        <v>6652</v>
      </c>
      <c r="Z330" t="s">
        <v>6653</v>
      </c>
      <c r="AA330" t="s">
        <v>74</v>
      </c>
      <c r="AB330" t="s">
        <v>74</v>
      </c>
      <c r="AC330" t="s">
        <v>6654</v>
      </c>
      <c r="AD330" t="s">
        <v>6655</v>
      </c>
      <c r="AE330" t="s">
        <v>6656</v>
      </c>
      <c r="AF330" t="s">
        <v>74</v>
      </c>
      <c r="AG330">
        <v>56</v>
      </c>
      <c r="AH330">
        <v>7</v>
      </c>
      <c r="AI330">
        <v>8</v>
      </c>
      <c r="AJ330">
        <v>2</v>
      </c>
      <c r="AK330">
        <v>8</v>
      </c>
      <c r="AL330" t="s">
        <v>855</v>
      </c>
      <c r="AM330" t="s">
        <v>266</v>
      </c>
      <c r="AN330" t="s">
        <v>856</v>
      </c>
      <c r="AO330" t="s">
        <v>857</v>
      </c>
      <c r="AP330" t="s">
        <v>858</v>
      </c>
      <c r="AQ330" t="s">
        <v>74</v>
      </c>
      <c r="AR330" t="s">
        <v>859</v>
      </c>
      <c r="AS330" t="s">
        <v>860</v>
      </c>
      <c r="AT330" t="s">
        <v>6606</v>
      </c>
      <c r="AU330">
        <v>2020</v>
      </c>
      <c r="AV330">
        <v>47</v>
      </c>
      <c r="AW330">
        <v>3</v>
      </c>
      <c r="AX330" t="s">
        <v>74</v>
      </c>
      <c r="AY330" t="s">
        <v>74</v>
      </c>
      <c r="AZ330" t="s">
        <v>74</v>
      </c>
      <c r="BA330" t="s">
        <v>74</v>
      </c>
      <c r="BB330" t="s">
        <v>74</v>
      </c>
      <c r="BC330" t="s">
        <v>74</v>
      </c>
      <c r="BD330" t="s">
        <v>6657</v>
      </c>
      <c r="BE330" t="s">
        <v>6658</v>
      </c>
      <c r="BF330" t="str">
        <f>HYPERLINK("http://dx.doi.org/10.1029/2019GL085101","http://dx.doi.org/10.1029/2019GL085101")</f>
        <v>http://dx.doi.org/10.1029/2019GL085101</v>
      </c>
      <c r="BG330" t="s">
        <v>74</v>
      </c>
      <c r="BH330" t="s">
        <v>74</v>
      </c>
      <c r="BI330">
        <v>9</v>
      </c>
      <c r="BJ330" t="s">
        <v>246</v>
      </c>
      <c r="BK330" t="s">
        <v>103</v>
      </c>
      <c r="BL330" t="s">
        <v>247</v>
      </c>
      <c r="BM330" t="s">
        <v>6609</v>
      </c>
      <c r="BN330" t="s">
        <v>74</v>
      </c>
      <c r="BO330" t="s">
        <v>6205</v>
      </c>
      <c r="BP330" t="s">
        <v>74</v>
      </c>
      <c r="BQ330" t="s">
        <v>74</v>
      </c>
      <c r="BR330" t="s">
        <v>106</v>
      </c>
      <c r="BS330" t="s">
        <v>6659</v>
      </c>
      <c r="BT330" t="str">
        <f>HYPERLINK("https%3A%2F%2Fwww.webofscience.com%2Fwos%2Fwoscc%2Ffull-record%2FWOS:000529107400020","View Full Record in Web of Science")</f>
        <v>View Full Record in Web of Science</v>
      </c>
    </row>
    <row r="331" spans="1:72" x14ac:dyDescent="0.15">
      <c r="A331" t="s">
        <v>72</v>
      </c>
      <c r="B331" t="s">
        <v>6660</v>
      </c>
      <c r="C331" t="s">
        <v>74</v>
      </c>
      <c r="D331" t="s">
        <v>74</v>
      </c>
      <c r="E331" t="s">
        <v>74</v>
      </c>
      <c r="F331" t="s">
        <v>6661</v>
      </c>
      <c r="G331" t="s">
        <v>74</v>
      </c>
      <c r="H331" t="s">
        <v>74</v>
      </c>
      <c r="I331" t="s">
        <v>6662</v>
      </c>
      <c r="J331" t="s">
        <v>842</v>
      </c>
      <c r="K331" t="s">
        <v>74</v>
      </c>
      <c r="L331" t="s">
        <v>74</v>
      </c>
      <c r="M331" t="s">
        <v>78</v>
      </c>
      <c r="N331" t="s">
        <v>79</v>
      </c>
      <c r="O331" t="s">
        <v>74</v>
      </c>
      <c r="P331" t="s">
        <v>74</v>
      </c>
      <c r="Q331" t="s">
        <v>74</v>
      </c>
      <c r="R331" t="s">
        <v>74</v>
      </c>
      <c r="S331" t="s">
        <v>74</v>
      </c>
      <c r="T331" t="s">
        <v>74</v>
      </c>
      <c r="U331" t="s">
        <v>6663</v>
      </c>
      <c r="V331" t="s">
        <v>6664</v>
      </c>
      <c r="W331" t="s">
        <v>6665</v>
      </c>
      <c r="X331" t="s">
        <v>6666</v>
      </c>
      <c r="Y331" t="s">
        <v>6667</v>
      </c>
      <c r="Z331" t="s">
        <v>6668</v>
      </c>
      <c r="AA331" t="s">
        <v>6669</v>
      </c>
      <c r="AB331" t="s">
        <v>6670</v>
      </c>
      <c r="AC331" t="s">
        <v>6671</v>
      </c>
      <c r="AD331" t="s">
        <v>6672</v>
      </c>
      <c r="AE331" t="s">
        <v>6673</v>
      </c>
      <c r="AF331" t="s">
        <v>74</v>
      </c>
      <c r="AG331">
        <v>44</v>
      </c>
      <c r="AH331">
        <v>21</v>
      </c>
      <c r="AI331">
        <v>24</v>
      </c>
      <c r="AJ331">
        <v>0</v>
      </c>
      <c r="AK331">
        <v>17</v>
      </c>
      <c r="AL331" t="s">
        <v>855</v>
      </c>
      <c r="AM331" t="s">
        <v>266</v>
      </c>
      <c r="AN331" t="s">
        <v>856</v>
      </c>
      <c r="AO331" t="s">
        <v>857</v>
      </c>
      <c r="AP331" t="s">
        <v>858</v>
      </c>
      <c r="AQ331" t="s">
        <v>74</v>
      </c>
      <c r="AR331" t="s">
        <v>859</v>
      </c>
      <c r="AS331" t="s">
        <v>860</v>
      </c>
      <c r="AT331" t="s">
        <v>6606</v>
      </c>
      <c r="AU331">
        <v>2020</v>
      </c>
      <c r="AV331">
        <v>47</v>
      </c>
      <c r="AW331">
        <v>3</v>
      </c>
      <c r="AX331" t="s">
        <v>74</v>
      </c>
      <c r="AY331" t="s">
        <v>74</v>
      </c>
      <c r="AZ331" t="s">
        <v>74</v>
      </c>
      <c r="BA331" t="s">
        <v>74</v>
      </c>
      <c r="BB331" t="s">
        <v>74</v>
      </c>
      <c r="BC331" t="s">
        <v>74</v>
      </c>
      <c r="BD331" t="s">
        <v>6674</v>
      </c>
      <c r="BE331" t="s">
        <v>6675</v>
      </c>
      <c r="BF331" t="str">
        <f>HYPERLINK("http://dx.doi.org/10.1029/2019GL085788","http://dx.doi.org/10.1029/2019GL085788")</f>
        <v>http://dx.doi.org/10.1029/2019GL085788</v>
      </c>
      <c r="BG331" t="s">
        <v>74</v>
      </c>
      <c r="BH331" t="s">
        <v>74</v>
      </c>
      <c r="BI331">
        <v>9</v>
      </c>
      <c r="BJ331" t="s">
        <v>246</v>
      </c>
      <c r="BK331" t="s">
        <v>103</v>
      </c>
      <c r="BL331" t="s">
        <v>247</v>
      </c>
      <c r="BM331" t="s">
        <v>6609</v>
      </c>
      <c r="BN331" t="s">
        <v>74</v>
      </c>
      <c r="BO331" t="s">
        <v>74</v>
      </c>
      <c r="BP331" t="s">
        <v>74</v>
      </c>
      <c r="BQ331" t="s">
        <v>74</v>
      </c>
      <c r="BR331" t="s">
        <v>106</v>
      </c>
      <c r="BS331" t="s">
        <v>6676</v>
      </c>
      <c r="BT331" t="str">
        <f>HYPERLINK("https%3A%2F%2Fwww.webofscience.com%2Fwos%2Fwoscc%2Ffull-record%2FWOS:000529107400061","View Full Record in Web of Science")</f>
        <v>View Full Record in Web of Science</v>
      </c>
    </row>
    <row r="332" spans="1:72" x14ac:dyDescent="0.15">
      <c r="A332" t="s">
        <v>72</v>
      </c>
      <c r="B332" t="s">
        <v>6677</v>
      </c>
      <c r="C332" t="s">
        <v>74</v>
      </c>
      <c r="D332" t="s">
        <v>74</v>
      </c>
      <c r="E332" t="s">
        <v>74</v>
      </c>
      <c r="F332" t="s">
        <v>6678</v>
      </c>
      <c r="G332" t="s">
        <v>74</v>
      </c>
      <c r="H332" t="s">
        <v>74</v>
      </c>
      <c r="I332" t="s">
        <v>6679</v>
      </c>
      <c r="J332" t="s">
        <v>842</v>
      </c>
      <c r="K332" t="s">
        <v>74</v>
      </c>
      <c r="L332" t="s">
        <v>74</v>
      </c>
      <c r="M332" t="s">
        <v>78</v>
      </c>
      <c r="N332" t="s">
        <v>79</v>
      </c>
      <c r="O332" t="s">
        <v>74</v>
      </c>
      <c r="P332" t="s">
        <v>74</v>
      </c>
      <c r="Q332" t="s">
        <v>74</v>
      </c>
      <c r="R332" t="s">
        <v>74</v>
      </c>
      <c r="S332" t="s">
        <v>74</v>
      </c>
      <c r="T332" t="s">
        <v>74</v>
      </c>
      <c r="U332" t="s">
        <v>6680</v>
      </c>
      <c r="V332" t="s">
        <v>6681</v>
      </c>
      <c r="W332" t="s">
        <v>6682</v>
      </c>
      <c r="X332" t="s">
        <v>6683</v>
      </c>
      <c r="Y332" t="s">
        <v>6684</v>
      </c>
      <c r="Z332" t="s">
        <v>6685</v>
      </c>
      <c r="AA332" t="s">
        <v>6686</v>
      </c>
      <c r="AB332" t="s">
        <v>6687</v>
      </c>
      <c r="AC332" t="s">
        <v>6688</v>
      </c>
      <c r="AD332" t="s">
        <v>6689</v>
      </c>
      <c r="AE332" t="s">
        <v>6690</v>
      </c>
      <c r="AF332" t="s">
        <v>74</v>
      </c>
      <c r="AG332">
        <v>31</v>
      </c>
      <c r="AH332">
        <v>11</v>
      </c>
      <c r="AI332">
        <v>14</v>
      </c>
      <c r="AJ332">
        <v>0</v>
      </c>
      <c r="AK332">
        <v>6</v>
      </c>
      <c r="AL332" t="s">
        <v>855</v>
      </c>
      <c r="AM332" t="s">
        <v>266</v>
      </c>
      <c r="AN332" t="s">
        <v>856</v>
      </c>
      <c r="AO332" t="s">
        <v>857</v>
      </c>
      <c r="AP332" t="s">
        <v>858</v>
      </c>
      <c r="AQ332" t="s">
        <v>74</v>
      </c>
      <c r="AR332" t="s">
        <v>859</v>
      </c>
      <c r="AS332" t="s">
        <v>860</v>
      </c>
      <c r="AT332" t="s">
        <v>6606</v>
      </c>
      <c r="AU332">
        <v>2020</v>
      </c>
      <c r="AV332">
        <v>47</v>
      </c>
      <c r="AW332">
        <v>3</v>
      </c>
      <c r="AX332" t="s">
        <v>74</v>
      </c>
      <c r="AY332" t="s">
        <v>74</v>
      </c>
      <c r="AZ332" t="s">
        <v>74</v>
      </c>
      <c r="BA332" t="s">
        <v>74</v>
      </c>
      <c r="BB332" t="s">
        <v>74</v>
      </c>
      <c r="BC332" t="s">
        <v>74</v>
      </c>
      <c r="BD332" t="s">
        <v>6691</v>
      </c>
      <c r="BE332" t="s">
        <v>6692</v>
      </c>
      <c r="BF332" t="str">
        <f>HYPERLINK("http://dx.doi.org/10.1029/2019GL086178","http://dx.doi.org/10.1029/2019GL086178")</f>
        <v>http://dx.doi.org/10.1029/2019GL086178</v>
      </c>
      <c r="BG332" t="s">
        <v>74</v>
      </c>
      <c r="BH332" t="s">
        <v>74</v>
      </c>
      <c r="BI332">
        <v>7</v>
      </c>
      <c r="BJ332" t="s">
        <v>246</v>
      </c>
      <c r="BK332" t="s">
        <v>103</v>
      </c>
      <c r="BL332" t="s">
        <v>247</v>
      </c>
      <c r="BM332" t="s">
        <v>6609</v>
      </c>
      <c r="BN332" t="s">
        <v>74</v>
      </c>
      <c r="BO332" t="s">
        <v>2821</v>
      </c>
      <c r="BP332" t="s">
        <v>74</v>
      </c>
      <c r="BQ332" t="s">
        <v>74</v>
      </c>
      <c r="BR332" t="s">
        <v>106</v>
      </c>
      <c r="BS332" t="s">
        <v>6693</v>
      </c>
      <c r="BT332" t="str">
        <f>HYPERLINK("https%3A%2F%2Fwww.webofscience.com%2Fwos%2Fwoscc%2Ffull-record%2FWOS:000529107400028","View Full Record in Web of Science")</f>
        <v>View Full Record in Web of Science</v>
      </c>
    </row>
    <row r="333" spans="1:72" x14ac:dyDescent="0.15">
      <c r="A333" t="s">
        <v>72</v>
      </c>
      <c r="B333" t="s">
        <v>6694</v>
      </c>
      <c r="C333" t="s">
        <v>74</v>
      </c>
      <c r="D333" t="s">
        <v>74</v>
      </c>
      <c r="E333" t="s">
        <v>74</v>
      </c>
      <c r="F333" t="s">
        <v>6695</v>
      </c>
      <c r="G333" t="s">
        <v>74</v>
      </c>
      <c r="H333" t="s">
        <v>74</v>
      </c>
      <c r="I333" t="s">
        <v>6696</v>
      </c>
      <c r="J333" t="s">
        <v>888</v>
      </c>
      <c r="K333" t="s">
        <v>74</v>
      </c>
      <c r="L333" t="s">
        <v>74</v>
      </c>
      <c r="M333" t="s">
        <v>78</v>
      </c>
      <c r="N333" t="s">
        <v>79</v>
      </c>
      <c r="O333" t="s">
        <v>74</v>
      </c>
      <c r="P333" t="s">
        <v>74</v>
      </c>
      <c r="Q333" t="s">
        <v>74</v>
      </c>
      <c r="R333" t="s">
        <v>74</v>
      </c>
      <c r="S333" t="s">
        <v>74</v>
      </c>
      <c r="T333" t="s">
        <v>74</v>
      </c>
      <c r="U333" t="s">
        <v>6697</v>
      </c>
      <c r="V333" t="s">
        <v>6698</v>
      </c>
      <c r="W333" t="s">
        <v>6699</v>
      </c>
      <c r="X333" t="s">
        <v>6700</v>
      </c>
      <c r="Y333" t="s">
        <v>6701</v>
      </c>
      <c r="Z333" t="s">
        <v>6702</v>
      </c>
      <c r="AA333" t="s">
        <v>6703</v>
      </c>
      <c r="AB333" t="s">
        <v>6704</v>
      </c>
      <c r="AC333" t="s">
        <v>6705</v>
      </c>
      <c r="AD333" t="s">
        <v>6706</v>
      </c>
      <c r="AE333" t="s">
        <v>6707</v>
      </c>
      <c r="AF333" t="s">
        <v>74</v>
      </c>
      <c r="AG333">
        <v>75</v>
      </c>
      <c r="AH333">
        <v>14</v>
      </c>
      <c r="AI333">
        <v>15</v>
      </c>
      <c r="AJ333">
        <v>1</v>
      </c>
      <c r="AK333">
        <v>36</v>
      </c>
      <c r="AL333" t="s">
        <v>855</v>
      </c>
      <c r="AM333" t="s">
        <v>266</v>
      </c>
      <c r="AN333" t="s">
        <v>856</v>
      </c>
      <c r="AO333" t="s">
        <v>900</v>
      </c>
      <c r="AP333" t="s">
        <v>901</v>
      </c>
      <c r="AQ333" t="s">
        <v>74</v>
      </c>
      <c r="AR333" t="s">
        <v>902</v>
      </c>
      <c r="AS333" t="s">
        <v>903</v>
      </c>
      <c r="AT333" t="s">
        <v>6606</v>
      </c>
      <c r="AU333">
        <v>2020</v>
      </c>
      <c r="AV333">
        <v>125</v>
      </c>
      <c r="AW333">
        <v>3</v>
      </c>
      <c r="AX333" t="s">
        <v>74</v>
      </c>
      <c r="AY333" t="s">
        <v>74</v>
      </c>
      <c r="AZ333" t="s">
        <v>74</v>
      </c>
      <c r="BA333" t="s">
        <v>74</v>
      </c>
      <c r="BB333" t="s">
        <v>74</v>
      </c>
      <c r="BC333" t="s">
        <v>74</v>
      </c>
      <c r="BD333" t="s">
        <v>6708</v>
      </c>
      <c r="BE333" t="s">
        <v>6709</v>
      </c>
      <c r="BF333" t="str">
        <f>HYPERLINK("http://dx.doi.org/10.1029/2019JD030378","http://dx.doi.org/10.1029/2019JD030378")</f>
        <v>http://dx.doi.org/10.1029/2019JD030378</v>
      </c>
      <c r="BG333" t="s">
        <v>74</v>
      </c>
      <c r="BH333" t="s">
        <v>74</v>
      </c>
      <c r="BI333">
        <v>19</v>
      </c>
      <c r="BJ333" t="s">
        <v>907</v>
      </c>
      <c r="BK333" t="s">
        <v>103</v>
      </c>
      <c r="BL333" t="s">
        <v>907</v>
      </c>
      <c r="BM333" t="s">
        <v>6710</v>
      </c>
      <c r="BN333" t="s">
        <v>74</v>
      </c>
      <c r="BO333" t="s">
        <v>694</v>
      </c>
      <c r="BP333" t="s">
        <v>74</v>
      </c>
      <c r="BQ333" t="s">
        <v>74</v>
      </c>
      <c r="BR333" t="s">
        <v>106</v>
      </c>
      <c r="BS333" t="s">
        <v>6711</v>
      </c>
      <c r="BT333" t="str">
        <f>HYPERLINK("https%3A%2F%2Fwww.webofscience.com%2Fwos%2Fwoscc%2Ffull-record%2FWOS:000521086600005","View Full Record in Web of Science")</f>
        <v>View Full Record in Web of Science</v>
      </c>
    </row>
    <row r="334" spans="1:72" x14ac:dyDescent="0.15">
      <c r="A334" t="s">
        <v>72</v>
      </c>
      <c r="B334" t="s">
        <v>6712</v>
      </c>
      <c r="C334" t="s">
        <v>74</v>
      </c>
      <c r="D334" t="s">
        <v>74</v>
      </c>
      <c r="E334" t="s">
        <v>74</v>
      </c>
      <c r="F334" t="s">
        <v>6713</v>
      </c>
      <c r="G334" t="s">
        <v>74</v>
      </c>
      <c r="H334" t="s">
        <v>74</v>
      </c>
      <c r="I334" t="s">
        <v>6714</v>
      </c>
      <c r="J334" t="s">
        <v>888</v>
      </c>
      <c r="K334" t="s">
        <v>74</v>
      </c>
      <c r="L334" t="s">
        <v>74</v>
      </c>
      <c r="M334" t="s">
        <v>78</v>
      </c>
      <c r="N334" t="s">
        <v>79</v>
      </c>
      <c r="O334" t="s">
        <v>74</v>
      </c>
      <c r="P334" t="s">
        <v>74</v>
      </c>
      <c r="Q334" t="s">
        <v>74</v>
      </c>
      <c r="R334" t="s">
        <v>74</v>
      </c>
      <c r="S334" t="s">
        <v>74</v>
      </c>
      <c r="T334" t="s">
        <v>74</v>
      </c>
      <c r="U334" t="s">
        <v>6715</v>
      </c>
      <c r="V334" t="s">
        <v>6716</v>
      </c>
      <c r="W334" t="s">
        <v>6717</v>
      </c>
      <c r="X334" t="s">
        <v>6718</v>
      </c>
      <c r="Y334" t="s">
        <v>6719</v>
      </c>
      <c r="Z334" t="s">
        <v>6720</v>
      </c>
      <c r="AA334" t="s">
        <v>6721</v>
      </c>
      <c r="AB334" t="s">
        <v>6722</v>
      </c>
      <c r="AC334" t="s">
        <v>6723</v>
      </c>
      <c r="AD334" t="s">
        <v>6723</v>
      </c>
      <c r="AE334" t="s">
        <v>6724</v>
      </c>
      <c r="AF334" t="s">
        <v>74</v>
      </c>
      <c r="AG334">
        <v>52</v>
      </c>
      <c r="AH334">
        <v>20</v>
      </c>
      <c r="AI334">
        <v>20</v>
      </c>
      <c r="AJ334">
        <v>3</v>
      </c>
      <c r="AK334">
        <v>45</v>
      </c>
      <c r="AL334" t="s">
        <v>855</v>
      </c>
      <c r="AM334" t="s">
        <v>266</v>
      </c>
      <c r="AN334" t="s">
        <v>856</v>
      </c>
      <c r="AO334" t="s">
        <v>900</v>
      </c>
      <c r="AP334" t="s">
        <v>901</v>
      </c>
      <c r="AQ334" t="s">
        <v>74</v>
      </c>
      <c r="AR334" t="s">
        <v>902</v>
      </c>
      <c r="AS334" t="s">
        <v>903</v>
      </c>
      <c r="AT334" t="s">
        <v>6606</v>
      </c>
      <c r="AU334">
        <v>2020</v>
      </c>
      <c r="AV334">
        <v>125</v>
      </c>
      <c r="AW334">
        <v>3</v>
      </c>
      <c r="AX334" t="s">
        <v>74</v>
      </c>
      <c r="AY334" t="s">
        <v>74</v>
      </c>
      <c r="AZ334" t="s">
        <v>74</v>
      </c>
      <c r="BA334" t="s">
        <v>74</v>
      </c>
      <c r="BB334" t="s">
        <v>74</v>
      </c>
      <c r="BC334" t="s">
        <v>74</v>
      </c>
      <c r="BD334" t="s">
        <v>6725</v>
      </c>
      <c r="BE334" t="s">
        <v>6726</v>
      </c>
      <c r="BF334" t="str">
        <f>HYPERLINK("http://dx.doi.org/10.1029/2019JD031849","http://dx.doi.org/10.1029/2019JD031849")</f>
        <v>http://dx.doi.org/10.1029/2019JD031849</v>
      </c>
      <c r="BG334" t="s">
        <v>74</v>
      </c>
      <c r="BH334" t="s">
        <v>74</v>
      </c>
      <c r="BI334">
        <v>19</v>
      </c>
      <c r="BJ334" t="s">
        <v>907</v>
      </c>
      <c r="BK334" t="s">
        <v>103</v>
      </c>
      <c r="BL334" t="s">
        <v>907</v>
      </c>
      <c r="BM334" t="s">
        <v>6710</v>
      </c>
      <c r="BN334" t="s">
        <v>74</v>
      </c>
      <c r="BO334" t="s">
        <v>517</v>
      </c>
      <c r="BP334" t="s">
        <v>74</v>
      </c>
      <c r="BQ334" t="s">
        <v>74</v>
      </c>
      <c r="BR334" t="s">
        <v>106</v>
      </c>
      <c r="BS334" t="s">
        <v>6727</v>
      </c>
      <c r="BT334" t="str">
        <f>HYPERLINK("https%3A%2F%2Fwww.webofscience.com%2Fwos%2Fwoscc%2Ffull-record%2FWOS:000521086600011","View Full Record in Web of Science")</f>
        <v>View Full Record in Web of Science</v>
      </c>
    </row>
    <row r="335" spans="1:72" x14ac:dyDescent="0.15">
      <c r="A335" t="s">
        <v>72</v>
      </c>
      <c r="B335" t="s">
        <v>6728</v>
      </c>
      <c r="C335" t="s">
        <v>74</v>
      </c>
      <c r="D335" t="s">
        <v>74</v>
      </c>
      <c r="E335" t="s">
        <v>74</v>
      </c>
      <c r="F335" t="s">
        <v>6729</v>
      </c>
      <c r="G335" t="s">
        <v>74</v>
      </c>
      <c r="H335" t="s">
        <v>74</v>
      </c>
      <c r="I335" t="s">
        <v>6730</v>
      </c>
      <c r="J335" t="s">
        <v>888</v>
      </c>
      <c r="K335" t="s">
        <v>74</v>
      </c>
      <c r="L335" t="s">
        <v>74</v>
      </c>
      <c r="M335" t="s">
        <v>78</v>
      </c>
      <c r="N335" t="s">
        <v>79</v>
      </c>
      <c r="O335" t="s">
        <v>74</v>
      </c>
      <c r="P335" t="s">
        <v>74</v>
      </c>
      <c r="Q335" t="s">
        <v>74</v>
      </c>
      <c r="R335" t="s">
        <v>74</v>
      </c>
      <c r="S335" t="s">
        <v>74</v>
      </c>
      <c r="T335" t="s">
        <v>74</v>
      </c>
      <c r="U335" t="s">
        <v>6731</v>
      </c>
      <c r="V335" t="s">
        <v>6732</v>
      </c>
      <c r="W335" t="s">
        <v>6733</v>
      </c>
      <c r="X335" t="s">
        <v>6734</v>
      </c>
      <c r="Y335" t="s">
        <v>6735</v>
      </c>
      <c r="Z335" t="s">
        <v>6736</v>
      </c>
      <c r="AA335" t="s">
        <v>6737</v>
      </c>
      <c r="AB335" t="s">
        <v>6738</v>
      </c>
      <c r="AC335" t="s">
        <v>6739</v>
      </c>
      <c r="AD335" t="s">
        <v>3577</v>
      </c>
      <c r="AE335" t="s">
        <v>6740</v>
      </c>
      <c r="AF335" t="s">
        <v>74</v>
      </c>
      <c r="AG335">
        <v>52</v>
      </c>
      <c r="AH335">
        <v>3</v>
      </c>
      <c r="AI335">
        <v>3</v>
      </c>
      <c r="AJ335">
        <v>3</v>
      </c>
      <c r="AK335">
        <v>15</v>
      </c>
      <c r="AL335" t="s">
        <v>855</v>
      </c>
      <c r="AM335" t="s">
        <v>266</v>
      </c>
      <c r="AN335" t="s">
        <v>856</v>
      </c>
      <c r="AO335" t="s">
        <v>900</v>
      </c>
      <c r="AP335" t="s">
        <v>901</v>
      </c>
      <c r="AQ335" t="s">
        <v>74</v>
      </c>
      <c r="AR335" t="s">
        <v>902</v>
      </c>
      <c r="AS335" t="s">
        <v>903</v>
      </c>
      <c r="AT335" t="s">
        <v>6606</v>
      </c>
      <c r="AU335">
        <v>2020</v>
      </c>
      <c r="AV335">
        <v>125</v>
      </c>
      <c r="AW335">
        <v>3</v>
      </c>
      <c r="AX335" t="s">
        <v>74</v>
      </c>
      <c r="AY335" t="s">
        <v>74</v>
      </c>
      <c r="AZ335" t="s">
        <v>74</v>
      </c>
      <c r="BA335" t="s">
        <v>74</v>
      </c>
      <c r="BB335" t="s">
        <v>74</v>
      </c>
      <c r="BC335" t="s">
        <v>74</v>
      </c>
      <c r="BD335" t="s">
        <v>6741</v>
      </c>
      <c r="BE335" t="s">
        <v>6742</v>
      </c>
      <c r="BF335" t="str">
        <f>HYPERLINK("http://dx.doi.org/10.1029/2019JD030926","http://dx.doi.org/10.1029/2019JD030926")</f>
        <v>http://dx.doi.org/10.1029/2019JD030926</v>
      </c>
      <c r="BG335" t="s">
        <v>74</v>
      </c>
      <c r="BH335" t="s">
        <v>74</v>
      </c>
      <c r="BI335">
        <v>10</v>
      </c>
      <c r="BJ335" t="s">
        <v>907</v>
      </c>
      <c r="BK335" t="s">
        <v>103</v>
      </c>
      <c r="BL335" t="s">
        <v>907</v>
      </c>
      <c r="BM335" t="s">
        <v>6710</v>
      </c>
      <c r="BN335" t="s">
        <v>74</v>
      </c>
      <c r="BO335" t="s">
        <v>517</v>
      </c>
      <c r="BP335" t="s">
        <v>74</v>
      </c>
      <c r="BQ335" t="s">
        <v>74</v>
      </c>
      <c r="BR335" t="s">
        <v>106</v>
      </c>
      <c r="BS335" t="s">
        <v>6743</v>
      </c>
      <c r="BT335" t="str">
        <f>HYPERLINK("https%3A%2F%2Fwww.webofscience.com%2Fwos%2Fwoscc%2Ffull-record%2FWOS:000521086600012","View Full Record in Web of Science")</f>
        <v>View Full Record in Web of Science</v>
      </c>
    </row>
    <row r="336" spans="1:72" x14ac:dyDescent="0.15">
      <c r="A336" t="s">
        <v>72</v>
      </c>
      <c r="B336" t="s">
        <v>6744</v>
      </c>
      <c r="C336" t="s">
        <v>74</v>
      </c>
      <c r="D336" t="s">
        <v>74</v>
      </c>
      <c r="E336" t="s">
        <v>74</v>
      </c>
      <c r="F336" t="s">
        <v>6745</v>
      </c>
      <c r="G336" t="s">
        <v>74</v>
      </c>
      <c r="H336" t="s">
        <v>74</v>
      </c>
      <c r="I336" t="s">
        <v>6746</v>
      </c>
      <c r="J336" t="s">
        <v>2079</v>
      </c>
      <c r="K336" t="s">
        <v>74</v>
      </c>
      <c r="L336" t="s">
        <v>74</v>
      </c>
      <c r="M336" t="s">
        <v>78</v>
      </c>
      <c r="N336" t="s">
        <v>79</v>
      </c>
      <c r="O336" t="s">
        <v>74</v>
      </c>
      <c r="P336" t="s">
        <v>74</v>
      </c>
      <c r="Q336" t="s">
        <v>74</v>
      </c>
      <c r="R336" t="s">
        <v>74</v>
      </c>
      <c r="S336" t="s">
        <v>74</v>
      </c>
      <c r="T336" t="s">
        <v>6747</v>
      </c>
      <c r="U336" t="s">
        <v>6748</v>
      </c>
      <c r="V336" t="s">
        <v>6749</v>
      </c>
      <c r="W336" t="s">
        <v>6750</v>
      </c>
      <c r="X336" t="s">
        <v>6751</v>
      </c>
      <c r="Y336" t="s">
        <v>6752</v>
      </c>
      <c r="Z336" t="s">
        <v>6753</v>
      </c>
      <c r="AA336" t="s">
        <v>6754</v>
      </c>
      <c r="AB336" t="s">
        <v>6755</v>
      </c>
      <c r="AC336" t="s">
        <v>6756</v>
      </c>
      <c r="AD336" t="s">
        <v>6757</v>
      </c>
      <c r="AE336" t="s">
        <v>6758</v>
      </c>
      <c r="AF336" t="s">
        <v>74</v>
      </c>
      <c r="AG336">
        <v>130</v>
      </c>
      <c r="AH336">
        <v>39</v>
      </c>
      <c r="AI336">
        <v>44</v>
      </c>
      <c r="AJ336">
        <v>1</v>
      </c>
      <c r="AK336">
        <v>18</v>
      </c>
      <c r="AL336" t="s">
        <v>434</v>
      </c>
      <c r="AM336" t="s">
        <v>435</v>
      </c>
      <c r="AN336" t="s">
        <v>436</v>
      </c>
      <c r="AO336" t="s">
        <v>2088</v>
      </c>
      <c r="AP336" t="s">
        <v>74</v>
      </c>
      <c r="AQ336" t="s">
        <v>74</v>
      </c>
      <c r="AR336" t="s">
        <v>2089</v>
      </c>
      <c r="AS336" t="s">
        <v>2090</v>
      </c>
      <c r="AT336" t="s">
        <v>6759</v>
      </c>
      <c r="AU336">
        <v>2020</v>
      </c>
      <c r="AV336">
        <v>230</v>
      </c>
      <c r="AW336" t="s">
        <v>74</v>
      </c>
      <c r="AX336" t="s">
        <v>74</v>
      </c>
      <c r="AY336" t="s">
        <v>74</v>
      </c>
      <c r="AZ336" t="s">
        <v>74</v>
      </c>
      <c r="BA336" t="s">
        <v>74</v>
      </c>
      <c r="BB336" t="s">
        <v>74</v>
      </c>
      <c r="BC336" t="s">
        <v>74</v>
      </c>
      <c r="BD336">
        <v>106166</v>
      </c>
      <c r="BE336" t="s">
        <v>6760</v>
      </c>
      <c r="BF336" t="str">
        <f>HYPERLINK("http://dx.doi.org/10.1016/j.quascirev.2020.106166","http://dx.doi.org/10.1016/j.quascirev.2020.106166")</f>
        <v>http://dx.doi.org/10.1016/j.quascirev.2020.106166</v>
      </c>
      <c r="BG336" t="s">
        <v>74</v>
      </c>
      <c r="BH336" t="s">
        <v>74</v>
      </c>
      <c r="BI336">
        <v>20</v>
      </c>
      <c r="BJ336" t="s">
        <v>1307</v>
      </c>
      <c r="BK336" t="s">
        <v>103</v>
      </c>
      <c r="BL336" t="s">
        <v>1308</v>
      </c>
      <c r="BM336" t="s">
        <v>6761</v>
      </c>
      <c r="BN336" t="s">
        <v>74</v>
      </c>
      <c r="BO336" t="s">
        <v>148</v>
      </c>
      <c r="BP336" t="s">
        <v>74</v>
      </c>
      <c r="BQ336" t="s">
        <v>74</v>
      </c>
      <c r="BR336" t="s">
        <v>106</v>
      </c>
      <c r="BS336" t="s">
        <v>6762</v>
      </c>
      <c r="BT336" t="str">
        <f>HYPERLINK("https%3A%2F%2Fwww.webofscience.com%2Fwos%2Fwoscc%2Ffull-record%2FWOS:000514754000013","View Full Record in Web of Science")</f>
        <v>View Full Record in Web of Science</v>
      </c>
    </row>
    <row r="337" spans="1:72" x14ac:dyDescent="0.15">
      <c r="A337" t="s">
        <v>72</v>
      </c>
      <c r="B337" t="s">
        <v>6763</v>
      </c>
      <c r="C337" t="s">
        <v>74</v>
      </c>
      <c r="D337" t="s">
        <v>74</v>
      </c>
      <c r="E337" t="s">
        <v>74</v>
      </c>
      <c r="F337" t="s">
        <v>6764</v>
      </c>
      <c r="G337" t="s">
        <v>74</v>
      </c>
      <c r="H337" t="s">
        <v>74</v>
      </c>
      <c r="I337" t="s">
        <v>6765</v>
      </c>
      <c r="J337" t="s">
        <v>2079</v>
      </c>
      <c r="K337" t="s">
        <v>74</v>
      </c>
      <c r="L337" t="s">
        <v>74</v>
      </c>
      <c r="M337" t="s">
        <v>78</v>
      </c>
      <c r="N337" t="s">
        <v>79</v>
      </c>
      <c r="O337" t="s">
        <v>74</v>
      </c>
      <c r="P337" t="s">
        <v>74</v>
      </c>
      <c r="Q337" t="s">
        <v>74</v>
      </c>
      <c r="R337" t="s">
        <v>74</v>
      </c>
      <c r="S337" t="s">
        <v>74</v>
      </c>
      <c r="T337" t="s">
        <v>6766</v>
      </c>
      <c r="U337" t="s">
        <v>6767</v>
      </c>
      <c r="V337" t="s">
        <v>6768</v>
      </c>
      <c r="W337" t="s">
        <v>6769</v>
      </c>
      <c r="X337" t="s">
        <v>6770</v>
      </c>
      <c r="Y337" t="s">
        <v>6771</v>
      </c>
      <c r="Z337" t="s">
        <v>6772</v>
      </c>
      <c r="AA337" t="s">
        <v>6773</v>
      </c>
      <c r="AB337" t="s">
        <v>6774</v>
      </c>
      <c r="AC337" t="s">
        <v>6775</v>
      </c>
      <c r="AD337" t="s">
        <v>6776</v>
      </c>
      <c r="AE337" t="s">
        <v>6777</v>
      </c>
      <c r="AF337" t="s">
        <v>74</v>
      </c>
      <c r="AG337">
        <v>74</v>
      </c>
      <c r="AH337">
        <v>24</v>
      </c>
      <c r="AI337">
        <v>27</v>
      </c>
      <c r="AJ337">
        <v>1</v>
      </c>
      <c r="AK337">
        <v>21</v>
      </c>
      <c r="AL337" t="s">
        <v>434</v>
      </c>
      <c r="AM337" t="s">
        <v>435</v>
      </c>
      <c r="AN337" t="s">
        <v>436</v>
      </c>
      <c r="AO337" t="s">
        <v>2088</v>
      </c>
      <c r="AP337" t="s">
        <v>4743</v>
      </c>
      <c r="AQ337" t="s">
        <v>74</v>
      </c>
      <c r="AR337" t="s">
        <v>2089</v>
      </c>
      <c r="AS337" t="s">
        <v>2090</v>
      </c>
      <c r="AT337" t="s">
        <v>6759</v>
      </c>
      <c r="AU337">
        <v>2020</v>
      </c>
      <c r="AV337">
        <v>230</v>
      </c>
      <c r="AW337" t="s">
        <v>74</v>
      </c>
      <c r="AX337" t="s">
        <v>74</v>
      </c>
      <c r="AY337" t="s">
        <v>74</v>
      </c>
      <c r="AZ337" t="s">
        <v>74</v>
      </c>
      <c r="BA337" t="s">
        <v>74</v>
      </c>
      <c r="BB337" t="s">
        <v>74</v>
      </c>
      <c r="BC337" t="s">
        <v>74</v>
      </c>
      <c r="BD337">
        <v>106164</v>
      </c>
      <c r="BE337" t="s">
        <v>6778</v>
      </c>
      <c r="BF337" t="str">
        <f>HYPERLINK("http://dx.doi.org/10.1016/j.quascirev.2020.106164","http://dx.doi.org/10.1016/j.quascirev.2020.106164")</f>
        <v>http://dx.doi.org/10.1016/j.quascirev.2020.106164</v>
      </c>
      <c r="BG337" t="s">
        <v>74</v>
      </c>
      <c r="BH337" t="s">
        <v>74</v>
      </c>
      <c r="BI337">
        <v>13</v>
      </c>
      <c r="BJ337" t="s">
        <v>1307</v>
      </c>
      <c r="BK337" t="s">
        <v>103</v>
      </c>
      <c r="BL337" t="s">
        <v>1308</v>
      </c>
      <c r="BM337" t="s">
        <v>6761</v>
      </c>
      <c r="BN337" t="s">
        <v>74</v>
      </c>
      <c r="BO337" t="s">
        <v>74</v>
      </c>
      <c r="BP337" t="s">
        <v>74</v>
      </c>
      <c r="BQ337" t="s">
        <v>74</v>
      </c>
      <c r="BR337" t="s">
        <v>106</v>
      </c>
      <c r="BS337" t="s">
        <v>6779</v>
      </c>
      <c r="BT337" t="str">
        <f>HYPERLINK("https%3A%2F%2Fwww.webofscience.com%2Fwos%2Fwoscc%2Ffull-record%2FWOS:000514754000009","View Full Record in Web of Science")</f>
        <v>View Full Record in Web of Science</v>
      </c>
    </row>
    <row r="338" spans="1:72" x14ac:dyDescent="0.15">
      <c r="A338" t="s">
        <v>72</v>
      </c>
      <c r="B338" t="s">
        <v>6780</v>
      </c>
      <c r="C338" t="s">
        <v>74</v>
      </c>
      <c r="D338" t="s">
        <v>74</v>
      </c>
      <c r="E338" t="s">
        <v>74</v>
      </c>
      <c r="F338" t="s">
        <v>6781</v>
      </c>
      <c r="G338" t="s">
        <v>74</v>
      </c>
      <c r="H338" t="s">
        <v>6782</v>
      </c>
      <c r="I338" t="s">
        <v>6783</v>
      </c>
      <c r="J338" t="s">
        <v>2180</v>
      </c>
      <c r="K338" t="s">
        <v>74</v>
      </c>
      <c r="L338" t="s">
        <v>74</v>
      </c>
      <c r="M338" t="s">
        <v>78</v>
      </c>
      <c r="N338" t="s">
        <v>79</v>
      </c>
      <c r="O338" t="s">
        <v>74</v>
      </c>
      <c r="P338" t="s">
        <v>74</v>
      </c>
      <c r="Q338" t="s">
        <v>74</v>
      </c>
      <c r="R338" t="s">
        <v>74</v>
      </c>
      <c r="S338" t="s">
        <v>74</v>
      </c>
      <c r="T338" t="s">
        <v>6784</v>
      </c>
      <c r="U338" t="s">
        <v>6785</v>
      </c>
      <c r="V338" t="s">
        <v>6786</v>
      </c>
      <c r="W338" t="s">
        <v>6787</v>
      </c>
      <c r="X338" t="s">
        <v>6788</v>
      </c>
      <c r="Y338" t="s">
        <v>6789</v>
      </c>
      <c r="Z338" t="s">
        <v>6790</v>
      </c>
      <c r="AA338" t="s">
        <v>6791</v>
      </c>
      <c r="AB338" t="s">
        <v>6792</v>
      </c>
      <c r="AC338" t="s">
        <v>6793</v>
      </c>
      <c r="AD338" t="s">
        <v>6794</v>
      </c>
      <c r="AE338" t="s">
        <v>6795</v>
      </c>
      <c r="AF338" t="s">
        <v>74</v>
      </c>
      <c r="AG338">
        <v>50</v>
      </c>
      <c r="AH338">
        <v>48</v>
      </c>
      <c r="AI338">
        <v>52</v>
      </c>
      <c r="AJ338">
        <v>5</v>
      </c>
      <c r="AK338">
        <v>27</v>
      </c>
      <c r="AL338" t="s">
        <v>289</v>
      </c>
      <c r="AM338" t="s">
        <v>290</v>
      </c>
      <c r="AN338" t="s">
        <v>291</v>
      </c>
      <c r="AO338" t="s">
        <v>2193</v>
      </c>
      <c r="AP338" t="s">
        <v>2194</v>
      </c>
      <c r="AQ338" t="s">
        <v>74</v>
      </c>
      <c r="AR338" t="s">
        <v>2195</v>
      </c>
      <c r="AS338" t="s">
        <v>2196</v>
      </c>
      <c r="AT338" t="s">
        <v>6759</v>
      </c>
      <c r="AU338">
        <v>2020</v>
      </c>
      <c r="AV338">
        <v>531</v>
      </c>
      <c r="AW338" t="s">
        <v>74</v>
      </c>
      <c r="AX338" t="s">
        <v>74</v>
      </c>
      <c r="AY338" t="s">
        <v>74</v>
      </c>
      <c r="AZ338" t="s">
        <v>74</v>
      </c>
      <c r="BA338" t="s">
        <v>74</v>
      </c>
      <c r="BB338" t="s">
        <v>74</v>
      </c>
      <c r="BC338" t="s">
        <v>74</v>
      </c>
      <c r="BD338">
        <v>116023</v>
      </c>
      <c r="BE338" t="s">
        <v>6796</v>
      </c>
      <c r="BF338" t="str">
        <f>HYPERLINK("http://dx.doi.org/10.1016/j.epsl.2019.116023","http://dx.doi.org/10.1016/j.epsl.2019.116023")</f>
        <v>http://dx.doi.org/10.1016/j.epsl.2019.116023</v>
      </c>
      <c r="BG338" t="s">
        <v>74</v>
      </c>
      <c r="BH338" t="s">
        <v>74</v>
      </c>
      <c r="BI338">
        <v>11</v>
      </c>
      <c r="BJ338" t="s">
        <v>442</v>
      </c>
      <c r="BK338" t="s">
        <v>103</v>
      </c>
      <c r="BL338" t="s">
        <v>442</v>
      </c>
      <c r="BM338" t="s">
        <v>6797</v>
      </c>
      <c r="BN338" t="s">
        <v>74</v>
      </c>
      <c r="BO338" t="s">
        <v>6798</v>
      </c>
      <c r="BP338" t="s">
        <v>74</v>
      </c>
      <c r="BQ338" t="s">
        <v>74</v>
      </c>
      <c r="BR338" t="s">
        <v>106</v>
      </c>
      <c r="BS338" t="s">
        <v>6799</v>
      </c>
      <c r="BT338" t="str">
        <f>HYPERLINK("https%3A%2F%2Fwww.webofscience.com%2Fwos%2Fwoscc%2Ffull-record%2FWOS:000513291400007","View Full Record in Web of Science")</f>
        <v>View Full Record in Web of Science</v>
      </c>
    </row>
    <row r="339" spans="1:72" x14ac:dyDescent="0.15">
      <c r="A339" t="s">
        <v>72</v>
      </c>
      <c r="B339" t="s">
        <v>6800</v>
      </c>
      <c r="C339" t="s">
        <v>74</v>
      </c>
      <c r="D339" t="s">
        <v>74</v>
      </c>
      <c r="E339" t="s">
        <v>74</v>
      </c>
      <c r="F339" t="s">
        <v>6801</v>
      </c>
      <c r="G339" t="s">
        <v>74</v>
      </c>
      <c r="H339" t="s">
        <v>74</v>
      </c>
      <c r="I339" t="s">
        <v>6802</v>
      </c>
      <c r="J339" t="s">
        <v>6803</v>
      </c>
      <c r="K339" t="s">
        <v>74</v>
      </c>
      <c r="L339" t="s">
        <v>74</v>
      </c>
      <c r="M339" t="s">
        <v>78</v>
      </c>
      <c r="N339" t="s">
        <v>79</v>
      </c>
      <c r="O339" t="s">
        <v>74</v>
      </c>
      <c r="P339" t="s">
        <v>74</v>
      </c>
      <c r="Q339" t="s">
        <v>74</v>
      </c>
      <c r="R339" t="s">
        <v>74</v>
      </c>
      <c r="S339" t="s">
        <v>74</v>
      </c>
      <c r="T339" t="s">
        <v>6804</v>
      </c>
      <c r="U339" t="s">
        <v>6805</v>
      </c>
      <c r="V339" t="s">
        <v>6806</v>
      </c>
      <c r="W339" t="s">
        <v>6807</v>
      </c>
      <c r="X339" t="s">
        <v>6808</v>
      </c>
      <c r="Y339" t="s">
        <v>6809</v>
      </c>
      <c r="Z339" t="s">
        <v>6810</v>
      </c>
      <c r="AA339" t="s">
        <v>6811</v>
      </c>
      <c r="AB339" t="s">
        <v>6812</v>
      </c>
      <c r="AC339" t="s">
        <v>6813</v>
      </c>
      <c r="AD339" t="s">
        <v>6814</v>
      </c>
      <c r="AE339" t="s">
        <v>6815</v>
      </c>
      <c r="AF339" t="s">
        <v>74</v>
      </c>
      <c r="AG339">
        <v>69</v>
      </c>
      <c r="AH339">
        <v>5</v>
      </c>
      <c r="AI339">
        <v>6</v>
      </c>
      <c r="AJ339">
        <v>8</v>
      </c>
      <c r="AK339">
        <v>71</v>
      </c>
      <c r="AL339" t="s">
        <v>289</v>
      </c>
      <c r="AM339" t="s">
        <v>290</v>
      </c>
      <c r="AN339" t="s">
        <v>291</v>
      </c>
      <c r="AO339" t="s">
        <v>6816</v>
      </c>
      <c r="AP339" t="s">
        <v>6817</v>
      </c>
      <c r="AQ339" t="s">
        <v>74</v>
      </c>
      <c r="AR339" t="s">
        <v>6818</v>
      </c>
      <c r="AS339" t="s">
        <v>6819</v>
      </c>
      <c r="AT339" t="s">
        <v>6759</v>
      </c>
      <c r="AU339">
        <v>2020</v>
      </c>
      <c r="AV339">
        <v>458</v>
      </c>
      <c r="AW339" t="s">
        <v>74</v>
      </c>
      <c r="AX339" t="s">
        <v>74</v>
      </c>
      <c r="AY339" t="s">
        <v>74</v>
      </c>
      <c r="AZ339" t="s">
        <v>74</v>
      </c>
      <c r="BA339" t="s">
        <v>74</v>
      </c>
      <c r="BB339" t="s">
        <v>74</v>
      </c>
      <c r="BC339" t="s">
        <v>74</v>
      </c>
      <c r="BD339">
        <v>117806</v>
      </c>
      <c r="BE339" t="s">
        <v>6820</v>
      </c>
      <c r="BF339" t="str">
        <f>HYPERLINK("http://dx.doi.org/10.1016/j.foreco.2019.117806","http://dx.doi.org/10.1016/j.foreco.2019.117806")</f>
        <v>http://dx.doi.org/10.1016/j.foreco.2019.117806</v>
      </c>
      <c r="BG339" t="s">
        <v>74</v>
      </c>
      <c r="BH339" t="s">
        <v>74</v>
      </c>
      <c r="BI339">
        <v>10</v>
      </c>
      <c r="BJ339" t="s">
        <v>6821</v>
      </c>
      <c r="BK339" t="s">
        <v>103</v>
      </c>
      <c r="BL339" t="s">
        <v>6821</v>
      </c>
      <c r="BM339" t="s">
        <v>6822</v>
      </c>
      <c r="BN339" t="s">
        <v>74</v>
      </c>
      <c r="BO339" t="s">
        <v>74</v>
      </c>
      <c r="BP339" t="s">
        <v>74</v>
      </c>
      <c r="BQ339" t="s">
        <v>74</v>
      </c>
      <c r="BR339" t="s">
        <v>106</v>
      </c>
      <c r="BS339" t="s">
        <v>6823</v>
      </c>
      <c r="BT339" t="str">
        <f>HYPERLINK("https%3A%2F%2Fwww.webofscience.com%2Fwos%2Fwoscc%2Ffull-record%2FWOS:000512219500030","View Full Record in Web of Science")</f>
        <v>View Full Record in Web of Science</v>
      </c>
    </row>
    <row r="340" spans="1:72" x14ac:dyDescent="0.15">
      <c r="A340" t="s">
        <v>72</v>
      </c>
      <c r="B340" t="s">
        <v>6824</v>
      </c>
      <c r="C340" t="s">
        <v>74</v>
      </c>
      <c r="D340" t="s">
        <v>74</v>
      </c>
      <c r="E340" t="s">
        <v>74</v>
      </c>
      <c r="F340" t="s">
        <v>6825</v>
      </c>
      <c r="G340" t="s">
        <v>74</v>
      </c>
      <c r="H340" t="s">
        <v>74</v>
      </c>
      <c r="I340" t="s">
        <v>6826</v>
      </c>
      <c r="J340" t="s">
        <v>6827</v>
      </c>
      <c r="K340" t="s">
        <v>74</v>
      </c>
      <c r="L340" t="s">
        <v>74</v>
      </c>
      <c r="M340" t="s">
        <v>78</v>
      </c>
      <c r="N340" t="s">
        <v>79</v>
      </c>
      <c r="O340" t="s">
        <v>74</v>
      </c>
      <c r="P340" t="s">
        <v>74</v>
      </c>
      <c r="Q340" t="s">
        <v>74</v>
      </c>
      <c r="R340" t="s">
        <v>74</v>
      </c>
      <c r="S340" t="s">
        <v>74</v>
      </c>
      <c r="T340" t="s">
        <v>6828</v>
      </c>
      <c r="U340" t="s">
        <v>6829</v>
      </c>
      <c r="V340" t="s">
        <v>6830</v>
      </c>
      <c r="W340" t="s">
        <v>6831</v>
      </c>
      <c r="X340" t="s">
        <v>6832</v>
      </c>
      <c r="Y340" t="s">
        <v>6833</v>
      </c>
      <c r="Z340" t="s">
        <v>6834</v>
      </c>
      <c r="AA340" t="s">
        <v>6835</v>
      </c>
      <c r="AB340" t="s">
        <v>6836</v>
      </c>
      <c r="AC340" t="s">
        <v>6837</v>
      </c>
      <c r="AD340" t="s">
        <v>6838</v>
      </c>
      <c r="AE340" t="s">
        <v>6839</v>
      </c>
      <c r="AF340" t="s">
        <v>74</v>
      </c>
      <c r="AG340">
        <v>55</v>
      </c>
      <c r="AH340">
        <v>12</v>
      </c>
      <c r="AI340">
        <v>12</v>
      </c>
      <c r="AJ340">
        <v>1</v>
      </c>
      <c r="AK340">
        <v>9</v>
      </c>
      <c r="AL340" t="s">
        <v>434</v>
      </c>
      <c r="AM340" t="s">
        <v>435</v>
      </c>
      <c r="AN340" t="s">
        <v>436</v>
      </c>
      <c r="AO340" t="s">
        <v>6840</v>
      </c>
      <c r="AP340" t="s">
        <v>6841</v>
      </c>
      <c r="AQ340" t="s">
        <v>74</v>
      </c>
      <c r="AR340" t="s">
        <v>6842</v>
      </c>
      <c r="AS340" t="s">
        <v>6843</v>
      </c>
      <c r="AT340" t="s">
        <v>6759</v>
      </c>
      <c r="AU340">
        <v>2020</v>
      </c>
      <c r="AV340">
        <v>223</v>
      </c>
      <c r="AW340" t="s">
        <v>74</v>
      </c>
      <c r="AX340" t="s">
        <v>74</v>
      </c>
      <c r="AY340" t="s">
        <v>74</v>
      </c>
      <c r="AZ340" t="s">
        <v>74</v>
      </c>
      <c r="BA340" t="s">
        <v>74</v>
      </c>
      <c r="BB340" t="s">
        <v>74</v>
      </c>
      <c r="BC340" t="s">
        <v>74</v>
      </c>
      <c r="BD340">
        <v>117185</v>
      </c>
      <c r="BE340" t="s">
        <v>6844</v>
      </c>
      <c r="BF340" t="str">
        <f>HYPERLINK("http://dx.doi.org/10.1016/j.atmosenv.2019.117185","http://dx.doi.org/10.1016/j.atmosenv.2019.117185")</f>
        <v>http://dx.doi.org/10.1016/j.atmosenv.2019.117185</v>
      </c>
      <c r="BG340" t="s">
        <v>74</v>
      </c>
      <c r="BH340" t="s">
        <v>74</v>
      </c>
      <c r="BI340">
        <v>18</v>
      </c>
      <c r="BJ340" t="s">
        <v>984</v>
      </c>
      <c r="BK340" t="s">
        <v>103</v>
      </c>
      <c r="BL340" t="s">
        <v>985</v>
      </c>
      <c r="BM340" t="s">
        <v>6845</v>
      </c>
      <c r="BN340" t="s">
        <v>74</v>
      </c>
      <c r="BO340" t="s">
        <v>148</v>
      </c>
      <c r="BP340" t="s">
        <v>74</v>
      </c>
      <c r="BQ340" t="s">
        <v>74</v>
      </c>
      <c r="BR340" t="s">
        <v>106</v>
      </c>
      <c r="BS340" t="s">
        <v>6846</v>
      </c>
      <c r="BT340" t="str">
        <f>HYPERLINK("https%3A%2F%2Fwww.webofscience.com%2Fwos%2Fwoscc%2Ffull-record%2FWOS:000517660200036","View Full Record in Web of Science")</f>
        <v>View Full Record in Web of Science</v>
      </c>
    </row>
    <row r="341" spans="1:72" x14ac:dyDescent="0.15">
      <c r="A341" t="s">
        <v>72</v>
      </c>
      <c r="B341" t="s">
        <v>6847</v>
      </c>
      <c r="C341" t="s">
        <v>74</v>
      </c>
      <c r="D341" t="s">
        <v>74</v>
      </c>
      <c r="E341" t="s">
        <v>74</v>
      </c>
      <c r="F341" t="s">
        <v>6848</v>
      </c>
      <c r="G341" t="s">
        <v>74</v>
      </c>
      <c r="H341" t="s">
        <v>74</v>
      </c>
      <c r="I341" t="s">
        <v>6849</v>
      </c>
      <c r="J341" t="s">
        <v>2079</v>
      </c>
      <c r="K341" t="s">
        <v>74</v>
      </c>
      <c r="L341" t="s">
        <v>74</v>
      </c>
      <c r="M341" t="s">
        <v>78</v>
      </c>
      <c r="N341" t="s">
        <v>79</v>
      </c>
      <c r="O341" t="s">
        <v>74</v>
      </c>
      <c r="P341" t="s">
        <v>74</v>
      </c>
      <c r="Q341" t="s">
        <v>74</v>
      </c>
      <c r="R341" t="s">
        <v>74</v>
      </c>
      <c r="S341" t="s">
        <v>74</v>
      </c>
      <c r="T341" t="s">
        <v>6850</v>
      </c>
      <c r="U341" t="s">
        <v>6851</v>
      </c>
      <c r="V341" t="s">
        <v>6852</v>
      </c>
      <c r="W341" t="s">
        <v>6853</v>
      </c>
      <c r="X341" t="s">
        <v>6854</v>
      </c>
      <c r="Y341" t="s">
        <v>6855</v>
      </c>
      <c r="Z341" t="s">
        <v>6856</v>
      </c>
      <c r="AA341" t="s">
        <v>6857</v>
      </c>
      <c r="AB341" t="s">
        <v>6858</v>
      </c>
      <c r="AC341" t="s">
        <v>6859</v>
      </c>
      <c r="AD341" t="s">
        <v>6860</v>
      </c>
      <c r="AE341" t="s">
        <v>6861</v>
      </c>
      <c r="AF341" t="s">
        <v>74</v>
      </c>
      <c r="AG341">
        <v>165</v>
      </c>
      <c r="AH341">
        <v>20</v>
      </c>
      <c r="AI341">
        <v>23</v>
      </c>
      <c r="AJ341">
        <v>1</v>
      </c>
      <c r="AK341">
        <v>35</v>
      </c>
      <c r="AL341" t="s">
        <v>434</v>
      </c>
      <c r="AM341" t="s">
        <v>435</v>
      </c>
      <c r="AN341" t="s">
        <v>436</v>
      </c>
      <c r="AO341" t="s">
        <v>2088</v>
      </c>
      <c r="AP341" t="s">
        <v>74</v>
      </c>
      <c r="AQ341" t="s">
        <v>74</v>
      </c>
      <c r="AR341" t="s">
        <v>2089</v>
      </c>
      <c r="AS341" t="s">
        <v>2090</v>
      </c>
      <c r="AT341" t="s">
        <v>6759</v>
      </c>
      <c r="AU341">
        <v>2020</v>
      </c>
      <c r="AV341">
        <v>230</v>
      </c>
      <c r="AW341" t="s">
        <v>74</v>
      </c>
      <c r="AX341" t="s">
        <v>74</v>
      </c>
      <c r="AY341" t="s">
        <v>74</v>
      </c>
      <c r="AZ341" t="s">
        <v>74</v>
      </c>
      <c r="BA341" t="s">
        <v>74</v>
      </c>
      <c r="BB341" t="s">
        <v>74</v>
      </c>
      <c r="BC341" t="s">
        <v>74</v>
      </c>
      <c r="BD341">
        <v>106067</v>
      </c>
      <c r="BE341" t="s">
        <v>6862</v>
      </c>
      <c r="BF341" t="str">
        <f>HYPERLINK("http://dx.doi.org/10.1016/j.quascirev.2019.106067","http://dx.doi.org/10.1016/j.quascirev.2019.106067")</f>
        <v>http://dx.doi.org/10.1016/j.quascirev.2019.106067</v>
      </c>
      <c r="BG341" t="s">
        <v>74</v>
      </c>
      <c r="BH341" t="s">
        <v>74</v>
      </c>
      <c r="BI341">
        <v>17</v>
      </c>
      <c r="BJ341" t="s">
        <v>1307</v>
      </c>
      <c r="BK341" t="s">
        <v>103</v>
      </c>
      <c r="BL341" t="s">
        <v>1308</v>
      </c>
      <c r="BM341" t="s">
        <v>6761</v>
      </c>
      <c r="BN341" t="s">
        <v>74</v>
      </c>
      <c r="BO341" t="s">
        <v>193</v>
      </c>
      <c r="BP341" t="s">
        <v>74</v>
      </c>
      <c r="BQ341" t="s">
        <v>74</v>
      </c>
      <c r="BR341" t="s">
        <v>106</v>
      </c>
      <c r="BS341" t="s">
        <v>6863</v>
      </c>
      <c r="BT341" t="str">
        <f>HYPERLINK("https%3A%2F%2Fwww.webofscience.com%2Fwos%2Fwoscc%2Ffull-record%2FWOS:000514754000002","View Full Record in Web of Science")</f>
        <v>View Full Record in Web of Science</v>
      </c>
    </row>
    <row r="342" spans="1:72" x14ac:dyDescent="0.15">
      <c r="A342" t="s">
        <v>72</v>
      </c>
      <c r="B342" t="s">
        <v>6864</v>
      </c>
      <c r="C342" t="s">
        <v>74</v>
      </c>
      <c r="D342" t="s">
        <v>74</v>
      </c>
      <c r="E342" t="s">
        <v>74</v>
      </c>
      <c r="F342" t="s">
        <v>6865</v>
      </c>
      <c r="G342" t="s">
        <v>74</v>
      </c>
      <c r="H342" t="s">
        <v>74</v>
      </c>
      <c r="I342" t="s">
        <v>6866</v>
      </c>
      <c r="J342" t="s">
        <v>2079</v>
      </c>
      <c r="K342" t="s">
        <v>74</v>
      </c>
      <c r="L342" t="s">
        <v>74</v>
      </c>
      <c r="M342" t="s">
        <v>78</v>
      </c>
      <c r="N342" t="s">
        <v>1434</v>
      </c>
      <c r="O342" t="s">
        <v>74</v>
      </c>
      <c r="P342" t="s">
        <v>74</v>
      </c>
      <c r="Q342" t="s">
        <v>74</v>
      </c>
      <c r="R342" t="s">
        <v>74</v>
      </c>
      <c r="S342" t="s">
        <v>74</v>
      </c>
      <c r="T342" t="s">
        <v>6867</v>
      </c>
      <c r="U342" t="s">
        <v>6868</v>
      </c>
      <c r="V342" t="s">
        <v>6869</v>
      </c>
      <c r="W342" t="s">
        <v>6870</v>
      </c>
      <c r="X342" t="s">
        <v>6871</v>
      </c>
      <c r="Y342" t="s">
        <v>6872</v>
      </c>
      <c r="Z342" t="s">
        <v>6873</v>
      </c>
      <c r="AA342" t="s">
        <v>6874</v>
      </c>
      <c r="AB342" t="s">
        <v>6875</v>
      </c>
      <c r="AC342" t="s">
        <v>6876</v>
      </c>
      <c r="AD342" t="s">
        <v>6877</v>
      </c>
      <c r="AE342" t="s">
        <v>6878</v>
      </c>
      <c r="AF342" t="s">
        <v>74</v>
      </c>
      <c r="AG342">
        <v>135</v>
      </c>
      <c r="AH342">
        <v>42</v>
      </c>
      <c r="AI342">
        <v>46</v>
      </c>
      <c r="AJ342">
        <v>2</v>
      </c>
      <c r="AK342">
        <v>32</v>
      </c>
      <c r="AL342" t="s">
        <v>434</v>
      </c>
      <c r="AM342" t="s">
        <v>435</v>
      </c>
      <c r="AN342" t="s">
        <v>436</v>
      </c>
      <c r="AO342" t="s">
        <v>2088</v>
      </c>
      <c r="AP342" t="s">
        <v>4743</v>
      </c>
      <c r="AQ342" t="s">
        <v>74</v>
      </c>
      <c r="AR342" t="s">
        <v>2089</v>
      </c>
      <c r="AS342" t="s">
        <v>2090</v>
      </c>
      <c r="AT342" t="s">
        <v>6759</v>
      </c>
      <c r="AU342">
        <v>2020</v>
      </c>
      <c r="AV342">
        <v>230</v>
      </c>
      <c r="AW342" t="s">
        <v>74</v>
      </c>
      <c r="AX342" t="s">
        <v>74</v>
      </c>
      <c r="AY342" t="s">
        <v>74</v>
      </c>
      <c r="AZ342" t="s">
        <v>74</v>
      </c>
      <c r="BA342" t="s">
        <v>74</v>
      </c>
      <c r="BB342" t="s">
        <v>74</v>
      </c>
      <c r="BC342" t="s">
        <v>74</v>
      </c>
      <c r="BD342">
        <v>106065</v>
      </c>
      <c r="BE342" t="s">
        <v>6879</v>
      </c>
      <c r="BF342" t="str">
        <f>HYPERLINK("http://dx.doi.org/10.1016/j.quascirev.2019.106065","http://dx.doi.org/10.1016/j.quascirev.2019.106065")</f>
        <v>http://dx.doi.org/10.1016/j.quascirev.2019.106065</v>
      </c>
      <c r="BG342" t="s">
        <v>74</v>
      </c>
      <c r="BH342" t="s">
        <v>74</v>
      </c>
      <c r="BI342">
        <v>20</v>
      </c>
      <c r="BJ342" t="s">
        <v>1307</v>
      </c>
      <c r="BK342" t="s">
        <v>103</v>
      </c>
      <c r="BL342" t="s">
        <v>1308</v>
      </c>
      <c r="BM342" t="s">
        <v>6761</v>
      </c>
      <c r="BN342" t="s">
        <v>74</v>
      </c>
      <c r="BO342" t="s">
        <v>148</v>
      </c>
      <c r="BP342" t="s">
        <v>74</v>
      </c>
      <c r="BQ342" t="s">
        <v>74</v>
      </c>
      <c r="BR342" t="s">
        <v>106</v>
      </c>
      <c r="BS342" t="s">
        <v>6880</v>
      </c>
      <c r="BT342" t="str">
        <f>HYPERLINK("https%3A%2F%2Fwww.webofscience.com%2Fwos%2Fwoscc%2Ffull-record%2FWOS:000514754000001","View Full Record in Web of Science")</f>
        <v>View Full Record in Web of Science</v>
      </c>
    </row>
    <row r="343" spans="1:72" x14ac:dyDescent="0.15">
      <c r="A343" t="s">
        <v>72</v>
      </c>
      <c r="B343" t="s">
        <v>6881</v>
      </c>
      <c r="C343" t="s">
        <v>74</v>
      </c>
      <c r="D343" t="s">
        <v>74</v>
      </c>
      <c r="E343" t="s">
        <v>74</v>
      </c>
      <c r="F343" t="s">
        <v>6882</v>
      </c>
      <c r="G343" t="s">
        <v>74</v>
      </c>
      <c r="H343" t="s">
        <v>74</v>
      </c>
      <c r="I343" t="s">
        <v>6883</v>
      </c>
      <c r="J343" t="s">
        <v>6884</v>
      </c>
      <c r="K343" t="s">
        <v>74</v>
      </c>
      <c r="L343" t="s">
        <v>74</v>
      </c>
      <c r="M343" t="s">
        <v>78</v>
      </c>
      <c r="N343" t="s">
        <v>1434</v>
      </c>
      <c r="O343" t="s">
        <v>74</v>
      </c>
      <c r="P343" t="s">
        <v>74</v>
      </c>
      <c r="Q343" t="s">
        <v>74</v>
      </c>
      <c r="R343" t="s">
        <v>74</v>
      </c>
      <c r="S343" t="s">
        <v>74</v>
      </c>
      <c r="T343" t="s">
        <v>6885</v>
      </c>
      <c r="U343" t="s">
        <v>6886</v>
      </c>
      <c r="V343" t="s">
        <v>6887</v>
      </c>
      <c r="W343" t="s">
        <v>6888</v>
      </c>
      <c r="X343" t="s">
        <v>6889</v>
      </c>
      <c r="Y343" t="s">
        <v>6890</v>
      </c>
      <c r="Z343" t="s">
        <v>6891</v>
      </c>
      <c r="AA343" t="s">
        <v>6892</v>
      </c>
      <c r="AB343" t="s">
        <v>6893</v>
      </c>
      <c r="AC343" t="s">
        <v>6894</v>
      </c>
      <c r="AD343" t="s">
        <v>6895</v>
      </c>
      <c r="AE343" t="s">
        <v>6896</v>
      </c>
      <c r="AF343" t="s">
        <v>74</v>
      </c>
      <c r="AG343">
        <v>90</v>
      </c>
      <c r="AH343">
        <v>45</v>
      </c>
      <c r="AI343">
        <v>49</v>
      </c>
      <c r="AJ343">
        <v>6</v>
      </c>
      <c r="AK343">
        <v>46</v>
      </c>
      <c r="AL343" t="s">
        <v>121</v>
      </c>
      <c r="AM343" t="s">
        <v>122</v>
      </c>
      <c r="AN343" t="s">
        <v>123</v>
      </c>
      <c r="AO343" t="s">
        <v>6897</v>
      </c>
      <c r="AP343" t="s">
        <v>6898</v>
      </c>
      <c r="AQ343" t="s">
        <v>74</v>
      </c>
      <c r="AR343" t="s">
        <v>6899</v>
      </c>
      <c r="AS343" t="s">
        <v>6900</v>
      </c>
      <c r="AT343" t="s">
        <v>2912</v>
      </c>
      <c r="AU343">
        <v>2020</v>
      </c>
      <c r="AV343">
        <v>30</v>
      </c>
      <c r="AW343">
        <v>1</v>
      </c>
      <c r="AX343" t="s">
        <v>74</v>
      </c>
      <c r="AY343" t="s">
        <v>74</v>
      </c>
      <c r="AZ343" t="s">
        <v>74</v>
      </c>
      <c r="BA343" t="s">
        <v>74</v>
      </c>
      <c r="BB343">
        <v>137</v>
      </c>
      <c r="BC343">
        <v>151</v>
      </c>
      <c r="BD343" t="s">
        <v>74</v>
      </c>
      <c r="BE343" t="s">
        <v>6901</v>
      </c>
      <c r="BF343" t="str">
        <f>HYPERLINK("http://dx.doi.org/10.1007/s11160-020-09595-y","http://dx.doi.org/10.1007/s11160-020-09595-y")</f>
        <v>http://dx.doi.org/10.1007/s11160-020-09595-y</v>
      </c>
      <c r="BG343" t="s">
        <v>74</v>
      </c>
      <c r="BH343" t="s">
        <v>5744</v>
      </c>
      <c r="BI343">
        <v>15</v>
      </c>
      <c r="BJ343" t="s">
        <v>735</v>
      </c>
      <c r="BK343" t="s">
        <v>103</v>
      </c>
      <c r="BL343" t="s">
        <v>735</v>
      </c>
      <c r="BM343" t="s">
        <v>6902</v>
      </c>
      <c r="BN343" t="s">
        <v>74</v>
      </c>
      <c r="BO343" t="s">
        <v>694</v>
      </c>
      <c r="BP343" t="s">
        <v>74</v>
      </c>
      <c r="BQ343" t="s">
        <v>74</v>
      </c>
      <c r="BR343" t="s">
        <v>106</v>
      </c>
      <c r="BS343" t="s">
        <v>6903</v>
      </c>
      <c r="BT343" t="str">
        <f>HYPERLINK("https%3A%2F%2Fwww.webofscience.com%2Fwos%2Fwoscc%2Ffull-record%2FWOS:000516274400001","View Full Record in Web of Science")</f>
        <v>View Full Record in Web of Science</v>
      </c>
    </row>
    <row r="344" spans="1:72" x14ac:dyDescent="0.15">
      <c r="A344" t="s">
        <v>72</v>
      </c>
      <c r="B344" t="s">
        <v>6904</v>
      </c>
      <c r="C344" t="s">
        <v>74</v>
      </c>
      <c r="D344" t="s">
        <v>74</v>
      </c>
      <c r="E344" t="s">
        <v>74</v>
      </c>
      <c r="F344" t="s">
        <v>6905</v>
      </c>
      <c r="G344" t="s">
        <v>74</v>
      </c>
      <c r="H344" t="s">
        <v>74</v>
      </c>
      <c r="I344" t="s">
        <v>6906</v>
      </c>
      <c r="J344" t="s">
        <v>1225</v>
      </c>
      <c r="K344" t="s">
        <v>74</v>
      </c>
      <c r="L344" t="s">
        <v>74</v>
      </c>
      <c r="M344" t="s">
        <v>78</v>
      </c>
      <c r="N344" t="s">
        <v>79</v>
      </c>
      <c r="O344" t="s">
        <v>74</v>
      </c>
      <c r="P344" t="s">
        <v>74</v>
      </c>
      <c r="Q344" t="s">
        <v>74</v>
      </c>
      <c r="R344" t="s">
        <v>74</v>
      </c>
      <c r="S344" t="s">
        <v>74</v>
      </c>
      <c r="T344" t="s">
        <v>1227</v>
      </c>
      <c r="U344" t="s">
        <v>6907</v>
      </c>
      <c r="V344" t="s">
        <v>6908</v>
      </c>
      <c r="W344" t="s">
        <v>6909</v>
      </c>
      <c r="X344" t="s">
        <v>6910</v>
      </c>
      <c r="Y344" t="s">
        <v>6911</v>
      </c>
      <c r="Z344" t="s">
        <v>6912</v>
      </c>
      <c r="AA344" t="s">
        <v>6913</v>
      </c>
      <c r="AB344" t="s">
        <v>6914</v>
      </c>
      <c r="AC344" t="s">
        <v>6915</v>
      </c>
      <c r="AD344" t="s">
        <v>6916</v>
      </c>
      <c r="AE344" t="s">
        <v>6917</v>
      </c>
      <c r="AF344" t="s">
        <v>74</v>
      </c>
      <c r="AG344">
        <v>69</v>
      </c>
      <c r="AH344">
        <v>11</v>
      </c>
      <c r="AI344">
        <v>11</v>
      </c>
      <c r="AJ344">
        <v>1</v>
      </c>
      <c r="AK344">
        <v>3</v>
      </c>
      <c r="AL344" t="s">
        <v>658</v>
      </c>
      <c r="AM344" t="s">
        <v>659</v>
      </c>
      <c r="AN344" t="s">
        <v>660</v>
      </c>
      <c r="AO344" t="s">
        <v>74</v>
      </c>
      <c r="AP344" t="s">
        <v>1230</v>
      </c>
      <c r="AQ344" t="s">
        <v>74</v>
      </c>
      <c r="AR344" t="s">
        <v>1231</v>
      </c>
      <c r="AS344" t="s">
        <v>1232</v>
      </c>
      <c r="AT344" t="s">
        <v>6918</v>
      </c>
      <c r="AU344">
        <v>2020</v>
      </c>
      <c r="AV344">
        <v>11</v>
      </c>
      <c r="AW344" t="s">
        <v>74</v>
      </c>
      <c r="AX344" t="s">
        <v>74</v>
      </c>
      <c r="AY344" t="s">
        <v>74</v>
      </c>
      <c r="AZ344" t="s">
        <v>74</v>
      </c>
      <c r="BA344" t="s">
        <v>74</v>
      </c>
      <c r="BB344" t="s">
        <v>74</v>
      </c>
      <c r="BC344" t="s">
        <v>74</v>
      </c>
      <c r="BD344">
        <v>102</v>
      </c>
      <c r="BE344" t="s">
        <v>6919</v>
      </c>
      <c r="BF344" t="str">
        <f>HYPERLINK("http://dx.doi.org/10.3389/fphys.2020.00102","http://dx.doi.org/10.3389/fphys.2020.00102")</f>
        <v>http://dx.doi.org/10.3389/fphys.2020.00102</v>
      </c>
      <c r="BG344" t="s">
        <v>74</v>
      </c>
      <c r="BH344" t="s">
        <v>74</v>
      </c>
      <c r="BI344">
        <v>13</v>
      </c>
      <c r="BJ344" t="s">
        <v>1234</v>
      </c>
      <c r="BK344" t="s">
        <v>103</v>
      </c>
      <c r="BL344" t="s">
        <v>1234</v>
      </c>
      <c r="BM344" t="s">
        <v>6920</v>
      </c>
      <c r="BN344">
        <v>32116802</v>
      </c>
      <c r="BO344" t="s">
        <v>276</v>
      </c>
      <c r="BP344" t="s">
        <v>74</v>
      </c>
      <c r="BQ344" t="s">
        <v>74</v>
      </c>
      <c r="BR344" t="s">
        <v>106</v>
      </c>
      <c r="BS344" t="s">
        <v>6921</v>
      </c>
      <c r="BT344" t="str">
        <f>HYPERLINK("https%3A%2F%2Fwww.webofscience.com%2Fwos%2Fwoscc%2Ffull-record%2FWOS:000517536800001","View Full Record in Web of Science")</f>
        <v>View Full Record in Web of Science</v>
      </c>
    </row>
    <row r="345" spans="1:72" x14ac:dyDescent="0.15">
      <c r="A345" t="s">
        <v>72</v>
      </c>
      <c r="B345" t="s">
        <v>6922</v>
      </c>
      <c r="C345" t="s">
        <v>74</v>
      </c>
      <c r="D345" t="s">
        <v>74</v>
      </c>
      <c r="E345" t="s">
        <v>74</v>
      </c>
      <c r="F345" t="s">
        <v>6923</v>
      </c>
      <c r="G345" t="s">
        <v>74</v>
      </c>
      <c r="H345" t="s">
        <v>74</v>
      </c>
      <c r="I345" t="s">
        <v>6924</v>
      </c>
      <c r="J345" t="s">
        <v>6925</v>
      </c>
      <c r="K345" t="s">
        <v>74</v>
      </c>
      <c r="L345" t="s">
        <v>74</v>
      </c>
      <c r="M345" t="s">
        <v>78</v>
      </c>
      <c r="N345" t="s">
        <v>79</v>
      </c>
      <c r="O345" t="s">
        <v>74</v>
      </c>
      <c r="P345" t="s">
        <v>74</v>
      </c>
      <c r="Q345" t="s">
        <v>74</v>
      </c>
      <c r="R345" t="s">
        <v>74</v>
      </c>
      <c r="S345" t="s">
        <v>74</v>
      </c>
      <c r="T345" t="s">
        <v>6926</v>
      </c>
      <c r="U345" t="s">
        <v>6927</v>
      </c>
      <c r="V345" t="s">
        <v>6928</v>
      </c>
      <c r="W345" t="s">
        <v>6929</v>
      </c>
      <c r="X345" t="s">
        <v>6930</v>
      </c>
      <c r="Y345" t="s">
        <v>6931</v>
      </c>
      <c r="Z345" t="s">
        <v>6932</v>
      </c>
      <c r="AA345" t="s">
        <v>6933</v>
      </c>
      <c r="AB345" t="s">
        <v>6934</v>
      </c>
      <c r="AC345" t="s">
        <v>74</v>
      </c>
      <c r="AD345" t="s">
        <v>74</v>
      </c>
      <c r="AE345" t="s">
        <v>74</v>
      </c>
      <c r="AF345" t="s">
        <v>74</v>
      </c>
      <c r="AG345">
        <v>112</v>
      </c>
      <c r="AH345">
        <v>5</v>
      </c>
      <c r="AI345">
        <v>5</v>
      </c>
      <c r="AJ345">
        <v>3</v>
      </c>
      <c r="AK345">
        <v>24</v>
      </c>
      <c r="AL345" t="s">
        <v>121</v>
      </c>
      <c r="AM345" t="s">
        <v>166</v>
      </c>
      <c r="AN345" t="s">
        <v>685</v>
      </c>
      <c r="AO345" t="s">
        <v>6935</v>
      </c>
      <c r="AP345" t="s">
        <v>6936</v>
      </c>
      <c r="AQ345" t="s">
        <v>74</v>
      </c>
      <c r="AR345" t="s">
        <v>6937</v>
      </c>
      <c r="AS345" t="s">
        <v>6938</v>
      </c>
      <c r="AT345" t="s">
        <v>690</v>
      </c>
      <c r="AU345">
        <v>2021</v>
      </c>
      <c r="AV345">
        <v>65</v>
      </c>
      <c r="AW345">
        <v>5</v>
      </c>
      <c r="AX345" t="s">
        <v>74</v>
      </c>
      <c r="AY345" t="s">
        <v>74</v>
      </c>
      <c r="AZ345" t="s">
        <v>342</v>
      </c>
      <c r="BA345" t="s">
        <v>74</v>
      </c>
      <c r="BB345">
        <v>717</v>
      </c>
      <c r="BC345">
        <v>728</v>
      </c>
      <c r="BD345" t="s">
        <v>74</v>
      </c>
      <c r="BE345" t="s">
        <v>6939</v>
      </c>
      <c r="BF345" t="str">
        <f>HYPERLINK("http://dx.doi.org/10.1007/s00484-020-01875-3","http://dx.doi.org/10.1007/s00484-020-01875-3")</f>
        <v>http://dx.doi.org/10.1007/s00484-020-01875-3</v>
      </c>
      <c r="BG345" t="s">
        <v>74</v>
      </c>
      <c r="BH345" t="s">
        <v>5744</v>
      </c>
      <c r="BI345">
        <v>12</v>
      </c>
      <c r="BJ345" t="s">
        <v>6940</v>
      </c>
      <c r="BK345" t="s">
        <v>1149</v>
      </c>
      <c r="BL345" t="s">
        <v>6941</v>
      </c>
      <c r="BM345" t="s">
        <v>6942</v>
      </c>
      <c r="BN345">
        <v>32060648</v>
      </c>
      <c r="BO345" t="s">
        <v>74</v>
      </c>
      <c r="BP345" t="s">
        <v>74</v>
      </c>
      <c r="BQ345" t="s">
        <v>74</v>
      </c>
      <c r="BR345" t="s">
        <v>106</v>
      </c>
      <c r="BS345" t="s">
        <v>6943</v>
      </c>
      <c r="BT345" t="str">
        <f>HYPERLINK("https%3A%2F%2Fwww.webofscience.com%2Fwos%2Fwoscc%2Ffull-record%2FWOS:000516123000001","View Full Record in Web of Science")</f>
        <v>View Full Record in Web of Science</v>
      </c>
    </row>
    <row r="346" spans="1:72" x14ac:dyDescent="0.15">
      <c r="A346" t="s">
        <v>72</v>
      </c>
      <c r="B346" t="s">
        <v>6944</v>
      </c>
      <c r="C346" t="s">
        <v>74</v>
      </c>
      <c r="D346" t="s">
        <v>74</v>
      </c>
      <c r="E346" t="s">
        <v>74</v>
      </c>
      <c r="F346" t="s">
        <v>6945</v>
      </c>
      <c r="G346" t="s">
        <v>74</v>
      </c>
      <c r="H346" t="s">
        <v>74</v>
      </c>
      <c r="I346" t="s">
        <v>6946</v>
      </c>
      <c r="J346" t="s">
        <v>1291</v>
      </c>
      <c r="K346" t="s">
        <v>74</v>
      </c>
      <c r="L346" t="s">
        <v>74</v>
      </c>
      <c r="M346" t="s">
        <v>78</v>
      </c>
      <c r="N346" t="s">
        <v>79</v>
      </c>
      <c r="O346" t="s">
        <v>74</v>
      </c>
      <c r="P346" t="s">
        <v>74</v>
      </c>
      <c r="Q346" t="s">
        <v>74</v>
      </c>
      <c r="R346" t="s">
        <v>74</v>
      </c>
      <c r="S346" t="s">
        <v>74</v>
      </c>
      <c r="T346" t="s">
        <v>74</v>
      </c>
      <c r="U346" t="s">
        <v>6947</v>
      </c>
      <c r="V346" t="s">
        <v>6948</v>
      </c>
      <c r="W346" t="s">
        <v>6949</v>
      </c>
      <c r="X346" t="s">
        <v>6950</v>
      </c>
      <c r="Y346" t="s">
        <v>6951</v>
      </c>
      <c r="Z346" t="s">
        <v>6952</v>
      </c>
      <c r="AA346" t="s">
        <v>6953</v>
      </c>
      <c r="AB346" t="s">
        <v>6954</v>
      </c>
      <c r="AC346" t="s">
        <v>6955</v>
      </c>
      <c r="AD346" t="s">
        <v>6956</v>
      </c>
      <c r="AE346" t="s">
        <v>6957</v>
      </c>
      <c r="AF346" t="s">
        <v>74</v>
      </c>
      <c r="AG346">
        <v>122</v>
      </c>
      <c r="AH346">
        <v>27</v>
      </c>
      <c r="AI346">
        <v>31</v>
      </c>
      <c r="AJ346">
        <v>0</v>
      </c>
      <c r="AK346">
        <v>5</v>
      </c>
      <c r="AL346" t="s">
        <v>976</v>
      </c>
      <c r="AM346" t="s">
        <v>977</v>
      </c>
      <c r="AN346" t="s">
        <v>978</v>
      </c>
      <c r="AO346" t="s">
        <v>1303</v>
      </c>
      <c r="AP346" t="s">
        <v>1304</v>
      </c>
      <c r="AQ346" t="s">
        <v>74</v>
      </c>
      <c r="AR346" t="s">
        <v>1291</v>
      </c>
      <c r="AS346" t="s">
        <v>1305</v>
      </c>
      <c r="AT346" t="s">
        <v>6918</v>
      </c>
      <c r="AU346">
        <v>2020</v>
      </c>
      <c r="AV346">
        <v>14</v>
      </c>
      <c r="AW346">
        <v>2</v>
      </c>
      <c r="AX346" t="s">
        <v>74</v>
      </c>
      <c r="AY346" t="s">
        <v>74</v>
      </c>
      <c r="AZ346" t="s">
        <v>74</v>
      </c>
      <c r="BA346" t="s">
        <v>74</v>
      </c>
      <c r="BB346">
        <v>599</v>
      </c>
      <c r="BC346">
        <v>632</v>
      </c>
      <c r="BD346" t="s">
        <v>74</v>
      </c>
      <c r="BE346" t="s">
        <v>6958</v>
      </c>
      <c r="BF346" t="str">
        <f>HYPERLINK("http://dx.doi.org/10.5194/tc-14-599-2020","http://dx.doi.org/10.5194/tc-14-599-2020")</f>
        <v>http://dx.doi.org/10.5194/tc-14-599-2020</v>
      </c>
      <c r="BG346" t="s">
        <v>74</v>
      </c>
      <c r="BH346" t="s">
        <v>74</v>
      </c>
      <c r="BI346">
        <v>34</v>
      </c>
      <c r="BJ346" t="s">
        <v>1307</v>
      </c>
      <c r="BK346" t="s">
        <v>103</v>
      </c>
      <c r="BL346" t="s">
        <v>1308</v>
      </c>
      <c r="BM346" t="s">
        <v>6959</v>
      </c>
      <c r="BN346" t="s">
        <v>74</v>
      </c>
      <c r="BO346" t="s">
        <v>2993</v>
      </c>
      <c r="BP346" t="s">
        <v>74</v>
      </c>
      <c r="BQ346" t="s">
        <v>74</v>
      </c>
      <c r="BR346" t="s">
        <v>106</v>
      </c>
      <c r="BS346" t="s">
        <v>6960</v>
      </c>
      <c r="BT346" t="str">
        <f>HYPERLINK("https%3A%2F%2Fwww.webofscience.com%2Fwos%2Fwoscc%2Ffull-record%2FWOS:000514167500001","View Full Record in Web of Science")</f>
        <v>View Full Record in Web of Science</v>
      </c>
    </row>
    <row r="347" spans="1:72" x14ac:dyDescent="0.15">
      <c r="A347" t="s">
        <v>72</v>
      </c>
      <c r="B347" t="s">
        <v>6944</v>
      </c>
      <c r="C347" t="s">
        <v>74</v>
      </c>
      <c r="D347" t="s">
        <v>74</v>
      </c>
      <c r="E347" t="s">
        <v>74</v>
      </c>
      <c r="F347" t="s">
        <v>6945</v>
      </c>
      <c r="G347" t="s">
        <v>74</v>
      </c>
      <c r="H347" t="s">
        <v>74</v>
      </c>
      <c r="I347" t="s">
        <v>6961</v>
      </c>
      <c r="J347" t="s">
        <v>1291</v>
      </c>
      <c r="K347" t="s">
        <v>74</v>
      </c>
      <c r="L347" t="s">
        <v>74</v>
      </c>
      <c r="M347" t="s">
        <v>78</v>
      </c>
      <c r="N347" t="s">
        <v>79</v>
      </c>
      <c r="O347" t="s">
        <v>74</v>
      </c>
      <c r="P347" t="s">
        <v>74</v>
      </c>
      <c r="Q347" t="s">
        <v>74</v>
      </c>
      <c r="R347" t="s">
        <v>74</v>
      </c>
      <c r="S347" t="s">
        <v>74</v>
      </c>
      <c r="T347" t="s">
        <v>74</v>
      </c>
      <c r="U347" t="s">
        <v>6962</v>
      </c>
      <c r="V347" t="s">
        <v>6963</v>
      </c>
      <c r="W347" t="s">
        <v>6949</v>
      </c>
      <c r="X347" t="s">
        <v>6950</v>
      </c>
      <c r="Y347" t="s">
        <v>6951</v>
      </c>
      <c r="Z347" t="s">
        <v>6952</v>
      </c>
      <c r="AA347" t="s">
        <v>6964</v>
      </c>
      <c r="AB347" t="s">
        <v>6965</v>
      </c>
      <c r="AC347" t="s">
        <v>6966</v>
      </c>
      <c r="AD347" t="s">
        <v>6967</v>
      </c>
      <c r="AE347" t="s">
        <v>6968</v>
      </c>
      <c r="AF347" t="s">
        <v>74</v>
      </c>
      <c r="AG347">
        <v>75</v>
      </c>
      <c r="AH347">
        <v>28</v>
      </c>
      <c r="AI347">
        <v>35</v>
      </c>
      <c r="AJ347">
        <v>1</v>
      </c>
      <c r="AK347">
        <v>3</v>
      </c>
      <c r="AL347" t="s">
        <v>976</v>
      </c>
      <c r="AM347" t="s">
        <v>977</v>
      </c>
      <c r="AN347" t="s">
        <v>978</v>
      </c>
      <c r="AO347" t="s">
        <v>1303</v>
      </c>
      <c r="AP347" t="s">
        <v>1304</v>
      </c>
      <c r="AQ347" t="s">
        <v>74</v>
      </c>
      <c r="AR347" t="s">
        <v>1291</v>
      </c>
      <c r="AS347" t="s">
        <v>1305</v>
      </c>
      <c r="AT347" t="s">
        <v>6918</v>
      </c>
      <c r="AU347">
        <v>2020</v>
      </c>
      <c r="AV347">
        <v>14</v>
      </c>
      <c r="AW347">
        <v>2</v>
      </c>
      <c r="AX347" t="s">
        <v>74</v>
      </c>
      <c r="AY347" t="s">
        <v>74</v>
      </c>
      <c r="AZ347" t="s">
        <v>74</v>
      </c>
      <c r="BA347" t="s">
        <v>74</v>
      </c>
      <c r="BB347">
        <v>633</v>
      </c>
      <c r="BC347">
        <v>656</v>
      </c>
      <c r="BD347" t="s">
        <v>74</v>
      </c>
      <c r="BE347" t="s">
        <v>6969</v>
      </c>
      <c r="BF347" t="str">
        <f>HYPERLINK("http://dx.doi.org/10.5194/tc-14-633-2020","http://dx.doi.org/10.5194/tc-14-633-2020")</f>
        <v>http://dx.doi.org/10.5194/tc-14-633-2020</v>
      </c>
      <c r="BG347" t="s">
        <v>74</v>
      </c>
      <c r="BH347" t="s">
        <v>74</v>
      </c>
      <c r="BI347">
        <v>24</v>
      </c>
      <c r="BJ347" t="s">
        <v>1307</v>
      </c>
      <c r="BK347" t="s">
        <v>103</v>
      </c>
      <c r="BL347" t="s">
        <v>1308</v>
      </c>
      <c r="BM347" t="s">
        <v>6959</v>
      </c>
      <c r="BN347" t="s">
        <v>74</v>
      </c>
      <c r="BO347" t="s">
        <v>2368</v>
      </c>
      <c r="BP347" t="s">
        <v>74</v>
      </c>
      <c r="BQ347" t="s">
        <v>74</v>
      </c>
      <c r="BR347" t="s">
        <v>106</v>
      </c>
      <c r="BS347" t="s">
        <v>6970</v>
      </c>
      <c r="BT347" t="str">
        <f>HYPERLINK("https%3A%2F%2Fwww.webofscience.com%2Fwos%2Fwoscc%2Ffull-record%2FWOS:000514167500002","View Full Record in Web of Science")</f>
        <v>View Full Record in Web of Science</v>
      </c>
    </row>
    <row r="348" spans="1:72" x14ac:dyDescent="0.15">
      <c r="A348" t="s">
        <v>72</v>
      </c>
      <c r="B348" t="s">
        <v>6971</v>
      </c>
      <c r="C348" t="s">
        <v>74</v>
      </c>
      <c r="D348" t="s">
        <v>74</v>
      </c>
      <c r="E348" t="s">
        <v>74</v>
      </c>
      <c r="F348" t="s">
        <v>6972</v>
      </c>
      <c r="G348" t="s">
        <v>74</v>
      </c>
      <c r="H348" t="s">
        <v>74</v>
      </c>
      <c r="I348" t="s">
        <v>6973</v>
      </c>
      <c r="J348" t="s">
        <v>6974</v>
      </c>
      <c r="K348" t="s">
        <v>74</v>
      </c>
      <c r="L348" t="s">
        <v>74</v>
      </c>
      <c r="M348" t="s">
        <v>78</v>
      </c>
      <c r="N348" t="s">
        <v>79</v>
      </c>
      <c r="O348" t="s">
        <v>74</v>
      </c>
      <c r="P348" t="s">
        <v>74</v>
      </c>
      <c r="Q348" t="s">
        <v>74</v>
      </c>
      <c r="R348" t="s">
        <v>74</v>
      </c>
      <c r="S348" t="s">
        <v>74</v>
      </c>
      <c r="T348" t="s">
        <v>74</v>
      </c>
      <c r="U348" t="s">
        <v>6975</v>
      </c>
      <c r="V348" t="s">
        <v>6976</v>
      </c>
      <c r="W348" t="s">
        <v>6977</v>
      </c>
      <c r="X348" t="s">
        <v>6978</v>
      </c>
      <c r="Y348" t="s">
        <v>6979</v>
      </c>
      <c r="Z348" t="s">
        <v>6980</v>
      </c>
      <c r="AA348" t="s">
        <v>6981</v>
      </c>
      <c r="AB348" t="s">
        <v>6982</v>
      </c>
      <c r="AC348" t="s">
        <v>6983</v>
      </c>
      <c r="AD348" t="s">
        <v>6984</v>
      </c>
      <c r="AE348" t="s">
        <v>6985</v>
      </c>
      <c r="AF348" t="s">
        <v>74</v>
      </c>
      <c r="AG348">
        <v>162</v>
      </c>
      <c r="AH348">
        <v>70</v>
      </c>
      <c r="AI348">
        <v>77</v>
      </c>
      <c r="AJ348">
        <v>1</v>
      </c>
      <c r="AK348">
        <v>29</v>
      </c>
      <c r="AL348" t="s">
        <v>976</v>
      </c>
      <c r="AM348" t="s">
        <v>977</v>
      </c>
      <c r="AN348" t="s">
        <v>978</v>
      </c>
      <c r="AO348" t="s">
        <v>6986</v>
      </c>
      <c r="AP348" t="s">
        <v>6987</v>
      </c>
      <c r="AQ348" t="s">
        <v>74</v>
      </c>
      <c r="AR348" t="s">
        <v>6988</v>
      </c>
      <c r="AS348" t="s">
        <v>6989</v>
      </c>
      <c r="AT348" t="s">
        <v>6918</v>
      </c>
      <c r="AU348">
        <v>2020</v>
      </c>
      <c r="AV348">
        <v>11</v>
      </c>
      <c r="AW348">
        <v>1</v>
      </c>
      <c r="AX348" t="s">
        <v>74</v>
      </c>
      <c r="AY348" t="s">
        <v>74</v>
      </c>
      <c r="AZ348" t="s">
        <v>74</v>
      </c>
      <c r="BA348" t="s">
        <v>74</v>
      </c>
      <c r="BB348">
        <v>35</v>
      </c>
      <c r="BC348">
        <v>76</v>
      </c>
      <c r="BD348" t="s">
        <v>74</v>
      </c>
      <c r="BE348" t="s">
        <v>6990</v>
      </c>
      <c r="BF348" t="str">
        <f>HYPERLINK("http://dx.doi.org/10.5194/esd-11-35-2020","http://dx.doi.org/10.5194/esd-11-35-2020")</f>
        <v>http://dx.doi.org/10.5194/esd-11-35-2020</v>
      </c>
      <c r="BG348" t="s">
        <v>74</v>
      </c>
      <c r="BH348" t="s">
        <v>74</v>
      </c>
      <c r="BI348">
        <v>42</v>
      </c>
      <c r="BJ348" t="s">
        <v>246</v>
      </c>
      <c r="BK348" t="s">
        <v>103</v>
      </c>
      <c r="BL348" t="s">
        <v>247</v>
      </c>
      <c r="BM348" t="s">
        <v>6991</v>
      </c>
      <c r="BN348" t="s">
        <v>74</v>
      </c>
      <c r="BO348" t="s">
        <v>6992</v>
      </c>
      <c r="BP348" t="s">
        <v>74</v>
      </c>
      <c r="BQ348" t="s">
        <v>74</v>
      </c>
      <c r="BR348" t="s">
        <v>106</v>
      </c>
      <c r="BS348" t="s">
        <v>6993</v>
      </c>
      <c r="BT348" t="str">
        <f>HYPERLINK("https%3A%2F%2Fwww.webofscience.com%2Fwos%2Fwoscc%2Ffull-record%2FWOS:000514088000001","View Full Record in Web of Science")</f>
        <v>View Full Record in Web of Science</v>
      </c>
    </row>
    <row r="349" spans="1:72" x14ac:dyDescent="0.15">
      <c r="A349" t="s">
        <v>72</v>
      </c>
      <c r="B349" t="s">
        <v>6994</v>
      </c>
      <c r="C349" t="s">
        <v>74</v>
      </c>
      <c r="D349" t="s">
        <v>74</v>
      </c>
      <c r="E349" t="s">
        <v>74</v>
      </c>
      <c r="F349" t="s">
        <v>6995</v>
      </c>
      <c r="G349" t="s">
        <v>74</v>
      </c>
      <c r="H349" t="s">
        <v>74</v>
      </c>
      <c r="I349" t="s">
        <v>6996</v>
      </c>
      <c r="J349" t="s">
        <v>1339</v>
      </c>
      <c r="K349" t="s">
        <v>74</v>
      </c>
      <c r="L349" t="s">
        <v>74</v>
      </c>
      <c r="M349" t="s">
        <v>78</v>
      </c>
      <c r="N349" t="s">
        <v>79</v>
      </c>
      <c r="O349" t="s">
        <v>74</v>
      </c>
      <c r="P349" t="s">
        <v>74</v>
      </c>
      <c r="Q349" t="s">
        <v>74</v>
      </c>
      <c r="R349" t="s">
        <v>74</v>
      </c>
      <c r="S349" t="s">
        <v>74</v>
      </c>
      <c r="T349" t="s">
        <v>6997</v>
      </c>
      <c r="U349" t="s">
        <v>6998</v>
      </c>
      <c r="V349" t="s">
        <v>6999</v>
      </c>
      <c r="W349" t="s">
        <v>7000</v>
      </c>
      <c r="X349" t="s">
        <v>7001</v>
      </c>
      <c r="Y349" t="s">
        <v>7002</v>
      </c>
      <c r="Z349" t="s">
        <v>7003</v>
      </c>
      <c r="AA349" t="s">
        <v>7004</v>
      </c>
      <c r="AB349" t="s">
        <v>7005</v>
      </c>
      <c r="AC349" t="s">
        <v>7006</v>
      </c>
      <c r="AD349" t="s">
        <v>7006</v>
      </c>
      <c r="AE349" t="s">
        <v>7007</v>
      </c>
      <c r="AF349" t="s">
        <v>74</v>
      </c>
      <c r="AG349">
        <v>43</v>
      </c>
      <c r="AH349">
        <v>17</v>
      </c>
      <c r="AI349">
        <v>18</v>
      </c>
      <c r="AJ349">
        <v>2</v>
      </c>
      <c r="AK349">
        <v>13</v>
      </c>
      <c r="AL349" t="s">
        <v>658</v>
      </c>
      <c r="AM349" t="s">
        <v>659</v>
      </c>
      <c r="AN349" t="s">
        <v>660</v>
      </c>
      <c r="AO349" t="s">
        <v>74</v>
      </c>
      <c r="AP349" t="s">
        <v>1352</v>
      </c>
      <c r="AQ349" t="s">
        <v>74</v>
      </c>
      <c r="AR349" t="s">
        <v>1353</v>
      </c>
      <c r="AS349" t="s">
        <v>1354</v>
      </c>
      <c r="AT349" t="s">
        <v>6918</v>
      </c>
      <c r="AU349">
        <v>2020</v>
      </c>
      <c r="AV349">
        <v>7</v>
      </c>
      <c r="AW349" t="s">
        <v>74</v>
      </c>
      <c r="AX349" t="s">
        <v>74</v>
      </c>
      <c r="AY349" t="s">
        <v>74</v>
      </c>
      <c r="AZ349" t="s">
        <v>74</v>
      </c>
      <c r="BA349" t="s">
        <v>74</v>
      </c>
      <c r="BB349" t="s">
        <v>74</v>
      </c>
      <c r="BC349" t="s">
        <v>74</v>
      </c>
      <c r="BD349">
        <v>67</v>
      </c>
      <c r="BE349" t="s">
        <v>7008</v>
      </c>
      <c r="BF349" t="str">
        <f>HYPERLINK("http://dx.doi.org/10.3389/fmars.2020.00067","http://dx.doi.org/10.3389/fmars.2020.00067")</f>
        <v>http://dx.doi.org/10.3389/fmars.2020.00067</v>
      </c>
      <c r="BG349" t="s">
        <v>74</v>
      </c>
      <c r="BH349" t="s">
        <v>74</v>
      </c>
      <c r="BI349">
        <v>15</v>
      </c>
      <c r="BJ349" t="s">
        <v>1356</v>
      </c>
      <c r="BK349" t="s">
        <v>103</v>
      </c>
      <c r="BL349" t="s">
        <v>1357</v>
      </c>
      <c r="BM349" t="s">
        <v>7009</v>
      </c>
      <c r="BN349" t="s">
        <v>74</v>
      </c>
      <c r="BO349" t="s">
        <v>276</v>
      </c>
      <c r="BP349" t="s">
        <v>74</v>
      </c>
      <c r="BQ349" t="s">
        <v>74</v>
      </c>
      <c r="BR349" t="s">
        <v>106</v>
      </c>
      <c r="BS349" t="s">
        <v>7010</v>
      </c>
      <c r="BT349" t="str">
        <f>HYPERLINK("https%3A%2F%2Fwww.webofscience.com%2Fwos%2Fwoscc%2Ffull-record%2FWOS:000513498400001","View Full Record in Web of Science")</f>
        <v>View Full Record in Web of Science</v>
      </c>
    </row>
    <row r="350" spans="1:72" x14ac:dyDescent="0.15">
      <c r="A350" t="s">
        <v>72</v>
      </c>
      <c r="B350" t="s">
        <v>7011</v>
      </c>
      <c r="C350" t="s">
        <v>74</v>
      </c>
      <c r="D350" t="s">
        <v>74</v>
      </c>
      <c r="E350" t="s">
        <v>74</v>
      </c>
      <c r="F350" t="s">
        <v>7012</v>
      </c>
      <c r="G350" t="s">
        <v>74</v>
      </c>
      <c r="H350" t="s">
        <v>74</v>
      </c>
      <c r="I350" t="s">
        <v>7013</v>
      </c>
      <c r="J350" t="s">
        <v>1339</v>
      </c>
      <c r="K350" t="s">
        <v>74</v>
      </c>
      <c r="L350" t="s">
        <v>74</v>
      </c>
      <c r="M350" t="s">
        <v>78</v>
      </c>
      <c r="N350" t="s">
        <v>1434</v>
      </c>
      <c r="O350" t="s">
        <v>74</v>
      </c>
      <c r="P350" t="s">
        <v>74</v>
      </c>
      <c r="Q350" t="s">
        <v>74</v>
      </c>
      <c r="R350" t="s">
        <v>74</v>
      </c>
      <c r="S350" t="s">
        <v>74</v>
      </c>
      <c r="T350" t="s">
        <v>7014</v>
      </c>
      <c r="U350" t="s">
        <v>7015</v>
      </c>
      <c r="V350" t="s">
        <v>7016</v>
      </c>
      <c r="W350" t="s">
        <v>7017</v>
      </c>
      <c r="X350" t="s">
        <v>7018</v>
      </c>
      <c r="Y350" t="s">
        <v>7019</v>
      </c>
      <c r="Z350" t="s">
        <v>7020</v>
      </c>
      <c r="AA350" t="s">
        <v>7021</v>
      </c>
      <c r="AB350" t="s">
        <v>7022</v>
      </c>
      <c r="AC350" t="s">
        <v>7023</v>
      </c>
      <c r="AD350" t="s">
        <v>7024</v>
      </c>
      <c r="AE350" t="s">
        <v>7025</v>
      </c>
      <c r="AF350" t="s">
        <v>74</v>
      </c>
      <c r="AG350">
        <v>103</v>
      </c>
      <c r="AH350">
        <v>97</v>
      </c>
      <c r="AI350">
        <v>102</v>
      </c>
      <c r="AJ350">
        <v>29</v>
      </c>
      <c r="AK350">
        <v>215</v>
      </c>
      <c r="AL350" t="s">
        <v>658</v>
      </c>
      <c r="AM350" t="s">
        <v>659</v>
      </c>
      <c r="AN350" t="s">
        <v>660</v>
      </c>
      <c r="AO350" t="s">
        <v>74</v>
      </c>
      <c r="AP350" t="s">
        <v>1352</v>
      </c>
      <c r="AQ350" t="s">
        <v>74</v>
      </c>
      <c r="AR350" t="s">
        <v>1353</v>
      </c>
      <c r="AS350" t="s">
        <v>1354</v>
      </c>
      <c r="AT350" t="s">
        <v>6918</v>
      </c>
      <c r="AU350">
        <v>2020</v>
      </c>
      <c r="AV350">
        <v>7</v>
      </c>
      <c r="AW350" t="s">
        <v>74</v>
      </c>
      <c r="AX350" t="s">
        <v>74</v>
      </c>
      <c r="AY350" t="s">
        <v>74</v>
      </c>
      <c r="AZ350" t="s">
        <v>74</v>
      </c>
      <c r="BA350" t="s">
        <v>74</v>
      </c>
      <c r="BB350" t="s">
        <v>74</v>
      </c>
      <c r="BC350" t="s">
        <v>74</v>
      </c>
      <c r="BD350">
        <v>74</v>
      </c>
      <c r="BE350" t="s">
        <v>7026</v>
      </c>
      <c r="BF350" t="str">
        <f>HYPERLINK("http://dx.doi.org/10.3389/fmars.2020.00074","http://dx.doi.org/10.3389/fmars.2020.00074")</f>
        <v>http://dx.doi.org/10.3389/fmars.2020.00074</v>
      </c>
      <c r="BG350" t="s">
        <v>74</v>
      </c>
      <c r="BH350" t="s">
        <v>74</v>
      </c>
      <c r="BI350">
        <v>12</v>
      </c>
      <c r="BJ350" t="s">
        <v>1356</v>
      </c>
      <c r="BK350" t="s">
        <v>103</v>
      </c>
      <c r="BL350" t="s">
        <v>1357</v>
      </c>
      <c r="BM350" t="s">
        <v>7027</v>
      </c>
      <c r="BN350" t="s">
        <v>74</v>
      </c>
      <c r="BO350" t="s">
        <v>276</v>
      </c>
      <c r="BP350" t="s">
        <v>1869</v>
      </c>
      <c r="BQ350" t="s">
        <v>1870</v>
      </c>
      <c r="BR350" t="s">
        <v>106</v>
      </c>
      <c r="BS350" t="s">
        <v>7028</v>
      </c>
      <c r="BT350" t="str">
        <f>HYPERLINK("https%3A%2F%2Fwww.webofscience.com%2Fwos%2Fwoscc%2Ffull-record%2FWOS:000513498700001","View Full Record in Web of Science")</f>
        <v>View Full Record in Web of Science</v>
      </c>
    </row>
    <row r="351" spans="1:72" x14ac:dyDescent="0.15">
      <c r="A351" t="s">
        <v>72</v>
      </c>
      <c r="B351" t="s">
        <v>7029</v>
      </c>
      <c r="C351" t="s">
        <v>74</v>
      </c>
      <c r="D351" t="s">
        <v>74</v>
      </c>
      <c r="E351" t="s">
        <v>74</v>
      </c>
      <c r="F351" t="s">
        <v>7030</v>
      </c>
      <c r="G351" t="s">
        <v>74</v>
      </c>
      <c r="H351" t="s">
        <v>74</v>
      </c>
      <c r="I351" t="s">
        <v>7031</v>
      </c>
      <c r="J351" t="s">
        <v>6884</v>
      </c>
      <c r="K351" t="s">
        <v>74</v>
      </c>
      <c r="L351" t="s">
        <v>74</v>
      </c>
      <c r="M351" t="s">
        <v>78</v>
      </c>
      <c r="N351" t="s">
        <v>79</v>
      </c>
      <c r="O351" t="s">
        <v>74</v>
      </c>
      <c r="P351" t="s">
        <v>74</v>
      </c>
      <c r="Q351" t="s">
        <v>74</v>
      </c>
      <c r="R351" t="s">
        <v>74</v>
      </c>
      <c r="S351" t="s">
        <v>74</v>
      </c>
      <c r="T351" t="s">
        <v>7032</v>
      </c>
      <c r="U351" t="s">
        <v>7033</v>
      </c>
      <c r="V351" t="s">
        <v>7034</v>
      </c>
      <c r="W351" t="s">
        <v>7035</v>
      </c>
      <c r="X351" t="s">
        <v>7036</v>
      </c>
      <c r="Y351" t="s">
        <v>7037</v>
      </c>
      <c r="Z351" t="s">
        <v>7038</v>
      </c>
      <c r="AA351" t="s">
        <v>7039</v>
      </c>
      <c r="AB351" t="s">
        <v>7040</v>
      </c>
      <c r="AC351" t="s">
        <v>7041</v>
      </c>
      <c r="AD351" t="s">
        <v>7042</v>
      </c>
      <c r="AE351" t="s">
        <v>7043</v>
      </c>
      <c r="AF351" t="s">
        <v>74</v>
      </c>
      <c r="AG351">
        <v>73</v>
      </c>
      <c r="AH351">
        <v>27</v>
      </c>
      <c r="AI351">
        <v>28</v>
      </c>
      <c r="AJ351">
        <v>3</v>
      </c>
      <c r="AK351">
        <v>32</v>
      </c>
      <c r="AL351" t="s">
        <v>121</v>
      </c>
      <c r="AM351" t="s">
        <v>122</v>
      </c>
      <c r="AN351" t="s">
        <v>123</v>
      </c>
      <c r="AO351" t="s">
        <v>6897</v>
      </c>
      <c r="AP351" t="s">
        <v>6898</v>
      </c>
      <c r="AQ351" t="s">
        <v>74</v>
      </c>
      <c r="AR351" t="s">
        <v>6899</v>
      </c>
      <c r="AS351" t="s">
        <v>6900</v>
      </c>
      <c r="AT351" t="s">
        <v>2912</v>
      </c>
      <c r="AU351">
        <v>2020</v>
      </c>
      <c r="AV351">
        <v>30</v>
      </c>
      <c r="AW351">
        <v>1</v>
      </c>
      <c r="AX351" t="s">
        <v>74</v>
      </c>
      <c r="AY351" t="s">
        <v>74</v>
      </c>
      <c r="AZ351" t="s">
        <v>74</v>
      </c>
      <c r="BA351" t="s">
        <v>74</v>
      </c>
      <c r="BB351">
        <v>203</v>
      </c>
      <c r="BC351">
        <v>217</v>
      </c>
      <c r="BD351" t="s">
        <v>74</v>
      </c>
      <c r="BE351" t="s">
        <v>7044</v>
      </c>
      <c r="BF351" t="str">
        <f>HYPERLINK("http://dx.doi.org/10.1007/s11160-020-09597-w","http://dx.doi.org/10.1007/s11160-020-09597-w")</f>
        <v>http://dx.doi.org/10.1007/s11160-020-09597-w</v>
      </c>
      <c r="BG351" t="s">
        <v>74</v>
      </c>
      <c r="BH351" t="s">
        <v>5744</v>
      </c>
      <c r="BI351">
        <v>15</v>
      </c>
      <c r="BJ351" t="s">
        <v>735</v>
      </c>
      <c r="BK351" t="s">
        <v>1149</v>
      </c>
      <c r="BL351" t="s">
        <v>735</v>
      </c>
      <c r="BM351" t="s">
        <v>6902</v>
      </c>
      <c r="BN351" t="s">
        <v>74</v>
      </c>
      <c r="BO351" t="s">
        <v>74</v>
      </c>
      <c r="BP351" t="s">
        <v>74</v>
      </c>
      <c r="BQ351" t="s">
        <v>74</v>
      </c>
      <c r="BR351" t="s">
        <v>106</v>
      </c>
      <c r="BS351" t="s">
        <v>7045</v>
      </c>
      <c r="BT351" t="str">
        <f>HYPERLINK("https%3A%2F%2Fwww.webofscience.com%2Fwos%2Fwoscc%2Ffull-record%2FWOS:000516274500001","View Full Record in Web of Science")</f>
        <v>View Full Record in Web of Science</v>
      </c>
    </row>
    <row r="352" spans="1:72" x14ac:dyDescent="0.15">
      <c r="A352" t="s">
        <v>72</v>
      </c>
      <c r="B352" t="s">
        <v>7046</v>
      </c>
      <c r="C352" t="s">
        <v>74</v>
      </c>
      <c r="D352" t="s">
        <v>74</v>
      </c>
      <c r="E352" t="s">
        <v>74</v>
      </c>
      <c r="F352" t="s">
        <v>7047</v>
      </c>
      <c r="G352" t="s">
        <v>74</v>
      </c>
      <c r="H352" t="s">
        <v>74</v>
      </c>
      <c r="I352" t="s">
        <v>7048</v>
      </c>
      <c r="J352" t="s">
        <v>940</v>
      </c>
      <c r="K352" t="s">
        <v>74</v>
      </c>
      <c r="L352" t="s">
        <v>74</v>
      </c>
      <c r="M352" t="s">
        <v>78</v>
      </c>
      <c r="N352" t="s">
        <v>79</v>
      </c>
      <c r="O352" t="s">
        <v>74</v>
      </c>
      <c r="P352" t="s">
        <v>74</v>
      </c>
      <c r="Q352" t="s">
        <v>74</v>
      </c>
      <c r="R352" t="s">
        <v>74</v>
      </c>
      <c r="S352" t="s">
        <v>74</v>
      </c>
      <c r="T352" t="s">
        <v>74</v>
      </c>
      <c r="U352" t="s">
        <v>7049</v>
      </c>
      <c r="V352" t="s">
        <v>7050</v>
      </c>
      <c r="W352" t="s">
        <v>7051</v>
      </c>
      <c r="X352" t="s">
        <v>7052</v>
      </c>
      <c r="Y352" t="s">
        <v>7053</v>
      </c>
      <c r="Z352" t="s">
        <v>7054</v>
      </c>
      <c r="AA352" t="s">
        <v>7055</v>
      </c>
      <c r="AB352" t="s">
        <v>7056</v>
      </c>
      <c r="AC352" t="s">
        <v>7057</v>
      </c>
      <c r="AD352" t="s">
        <v>7058</v>
      </c>
      <c r="AE352" t="s">
        <v>7059</v>
      </c>
      <c r="AF352" t="s">
        <v>74</v>
      </c>
      <c r="AG352">
        <v>71</v>
      </c>
      <c r="AH352">
        <v>11</v>
      </c>
      <c r="AI352">
        <v>12</v>
      </c>
      <c r="AJ352">
        <v>1</v>
      </c>
      <c r="AK352">
        <v>11</v>
      </c>
      <c r="AL352" t="s">
        <v>951</v>
      </c>
      <c r="AM352" t="s">
        <v>952</v>
      </c>
      <c r="AN352" t="s">
        <v>953</v>
      </c>
      <c r="AO352" t="s">
        <v>954</v>
      </c>
      <c r="AP352" t="s">
        <v>74</v>
      </c>
      <c r="AQ352" t="s">
        <v>74</v>
      </c>
      <c r="AR352" t="s">
        <v>955</v>
      </c>
      <c r="AS352" t="s">
        <v>956</v>
      </c>
      <c r="AT352" t="s">
        <v>7060</v>
      </c>
      <c r="AU352">
        <v>2020</v>
      </c>
      <c r="AV352">
        <v>10</v>
      </c>
      <c r="AW352">
        <v>1</v>
      </c>
      <c r="AX352" t="s">
        <v>74</v>
      </c>
      <c r="AY352" t="s">
        <v>74</v>
      </c>
      <c r="AZ352" t="s">
        <v>74</v>
      </c>
      <c r="BA352" t="s">
        <v>74</v>
      </c>
      <c r="BB352" t="s">
        <v>74</v>
      </c>
      <c r="BC352" t="s">
        <v>74</v>
      </c>
      <c r="BD352">
        <v>2594</v>
      </c>
      <c r="BE352" t="s">
        <v>7061</v>
      </c>
      <c r="BF352" t="str">
        <f>HYPERLINK("http://dx.doi.org/10.1038/s41598-020-59375-8","http://dx.doi.org/10.1038/s41598-020-59375-8")</f>
        <v>http://dx.doi.org/10.1038/s41598-020-59375-8</v>
      </c>
      <c r="BG352" t="s">
        <v>74</v>
      </c>
      <c r="BH352" t="s">
        <v>74</v>
      </c>
      <c r="BI352">
        <v>14</v>
      </c>
      <c r="BJ352" t="s">
        <v>322</v>
      </c>
      <c r="BK352" t="s">
        <v>103</v>
      </c>
      <c r="BL352" t="s">
        <v>323</v>
      </c>
      <c r="BM352" t="s">
        <v>7062</v>
      </c>
      <c r="BN352">
        <v>32054880</v>
      </c>
      <c r="BO352" t="s">
        <v>276</v>
      </c>
      <c r="BP352" t="s">
        <v>74</v>
      </c>
      <c r="BQ352" t="s">
        <v>74</v>
      </c>
      <c r="BR352" t="s">
        <v>106</v>
      </c>
      <c r="BS352" t="s">
        <v>7063</v>
      </c>
      <c r="BT352" t="str">
        <f>HYPERLINK("https%3A%2F%2Fwww.webofscience.com%2Fwos%2Fwoscc%2Ffull-record%2FWOS:000562888900004","View Full Record in Web of Science")</f>
        <v>View Full Record in Web of Science</v>
      </c>
    </row>
    <row r="353" spans="1:72" x14ac:dyDescent="0.15">
      <c r="A353" t="s">
        <v>72</v>
      </c>
      <c r="B353" t="s">
        <v>7064</v>
      </c>
      <c r="C353" t="s">
        <v>74</v>
      </c>
      <c r="D353" t="s">
        <v>74</v>
      </c>
      <c r="E353" t="s">
        <v>74</v>
      </c>
      <c r="F353" t="s">
        <v>7065</v>
      </c>
      <c r="G353" t="s">
        <v>74</v>
      </c>
      <c r="H353" t="s">
        <v>74</v>
      </c>
      <c r="I353" t="s">
        <v>7066</v>
      </c>
      <c r="J353" t="s">
        <v>1291</v>
      </c>
      <c r="K353" t="s">
        <v>74</v>
      </c>
      <c r="L353" t="s">
        <v>74</v>
      </c>
      <c r="M353" t="s">
        <v>78</v>
      </c>
      <c r="N353" t="s">
        <v>79</v>
      </c>
      <c r="O353" t="s">
        <v>74</v>
      </c>
      <c r="P353" t="s">
        <v>74</v>
      </c>
      <c r="Q353" t="s">
        <v>74</v>
      </c>
      <c r="R353" t="s">
        <v>74</v>
      </c>
      <c r="S353" t="s">
        <v>74</v>
      </c>
      <c r="T353" t="s">
        <v>74</v>
      </c>
      <c r="U353" t="s">
        <v>7067</v>
      </c>
      <c r="V353" t="s">
        <v>7068</v>
      </c>
      <c r="W353" t="s">
        <v>7069</v>
      </c>
      <c r="X353" t="s">
        <v>7070</v>
      </c>
      <c r="Y353" t="s">
        <v>7071</v>
      </c>
      <c r="Z353" t="s">
        <v>7072</v>
      </c>
      <c r="AA353" t="s">
        <v>7073</v>
      </c>
      <c r="AB353" t="s">
        <v>7074</v>
      </c>
      <c r="AC353" t="s">
        <v>7075</v>
      </c>
      <c r="AD353" t="s">
        <v>7076</v>
      </c>
      <c r="AE353" t="s">
        <v>7077</v>
      </c>
      <c r="AF353" t="s">
        <v>74</v>
      </c>
      <c r="AG353">
        <v>51</v>
      </c>
      <c r="AH353">
        <v>48</v>
      </c>
      <c r="AI353">
        <v>51</v>
      </c>
      <c r="AJ353">
        <v>0</v>
      </c>
      <c r="AK353">
        <v>9</v>
      </c>
      <c r="AL353" t="s">
        <v>976</v>
      </c>
      <c r="AM353" t="s">
        <v>977</v>
      </c>
      <c r="AN353" t="s">
        <v>978</v>
      </c>
      <c r="AO353" t="s">
        <v>1303</v>
      </c>
      <c r="AP353" t="s">
        <v>1304</v>
      </c>
      <c r="AQ353" t="s">
        <v>74</v>
      </c>
      <c r="AR353" t="s">
        <v>1291</v>
      </c>
      <c r="AS353" t="s">
        <v>1305</v>
      </c>
      <c r="AT353" t="s">
        <v>7060</v>
      </c>
      <c r="AU353">
        <v>2020</v>
      </c>
      <c r="AV353">
        <v>14</v>
      </c>
      <c r="AW353">
        <v>2</v>
      </c>
      <c r="AX353" t="s">
        <v>74</v>
      </c>
      <c r="AY353" t="s">
        <v>74</v>
      </c>
      <c r="AZ353" t="s">
        <v>74</v>
      </c>
      <c r="BA353" t="s">
        <v>74</v>
      </c>
      <c r="BB353">
        <v>585</v>
      </c>
      <c r="BC353">
        <v>598</v>
      </c>
      <c r="BD353" t="s">
        <v>74</v>
      </c>
      <c r="BE353" t="s">
        <v>7078</v>
      </c>
      <c r="BF353" t="str">
        <f>HYPERLINK("http://dx.doi.org/10.5194/tc-14-585-2020","http://dx.doi.org/10.5194/tc-14-585-2020")</f>
        <v>http://dx.doi.org/10.5194/tc-14-585-2020</v>
      </c>
      <c r="BG353" t="s">
        <v>74</v>
      </c>
      <c r="BH353" t="s">
        <v>74</v>
      </c>
      <c r="BI353">
        <v>14</v>
      </c>
      <c r="BJ353" t="s">
        <v>1307</v>
      </c>
      <c r="BK353" t="s">
        <v>103</v>
      </c>
      <c r="BL353" t="s">
        <v>1308</v>
      </c>
      <c r="BM353" t="s">
        <v>7079</v>
      </c>
      <c r="BN353" t="s">
        <v>74</v>
      </c>
      <c r="BO353" t="s">
        <v>1805</v>
      </c>
      <c r="BP353" t="s">
        <v>74</v>
      </c>
      <c r="BQ353" t="s">
        <v>74</v>
      </c>
      <c r="BR353" t="s">
        <v>106</v>
      </c>
      <c r="BS353" t="s">
        <v>7080</v>
      </c>
      <c r="BT353" t="str">
        <f>HYPERLINK("https%3A%2F%2Fwww.webofscience.com%2Fwos%2Fwoscc%2Ffull-record%2FWOS:000514157700001","View Full Record in Web of Science")</f>
        <v>View Full Record in Web of Science</v>
      </c>
    </row>
    <row r="354" spans="1:72" x14ac:dyDescent="0.15">
      <c r="A354" t="s">
        <v>72</v>
      </c>
      <c r="B354" t="s">
        <v>7081</v>
      </c>
      <c r="C354" t="s">
        <v>74</v>
      </c>
      <c r="D354" t="s">
        <v>74</v>
      </c>
      <c r="E354" t="s">
        <v>74</v>
      </c>
      <c r="F354" t="s">
        <v>7082</v>
      </c>
      <c r="G354" t="s">
        <v>74</v>
      </c>
      <c r="H354" t="s">
        <v>74</v>
      </c>
      <c r="I354" t="s">
        <v>7083</v>
      </c>
      <c r="J354" t="s">
        <v>7084</v>
      </c>
      <c r="K354" t="s">
        <v>74</v>
      </c>
      <c r="L354" t="s">
        <v>74</v>
      </c>
      <c r="M354" t="s">
        <v>78</v>
      </c>
      <c r="N354" t="s">
        <v>79</v>
      </c>
      <c r="O354" t="s">
        <v>74</v>
      </c>
      <c r="P354" t="s">
        <v>74</v>
      </c>
      <c r="Q354" t="s">
        <v>74</v>
      </c>
      <c r="R354" t="s">
        <v>74</v>
      </c>
      <c r="S354" t="s">
        <v>74</v>
      </c>
      <c r="T354" t="s">
        <v>7085</v>
      </c>
      <c r="U354" t="s">
        <v>7086</v>
      </c>
      <c r="V354" t="s">
        <v>7087</v>
      </c>
      <c r="W354" t="s">
        <v>7088</v>
      </c>
      <c r="X354" t="s">
        <v>7089</v>
      </c>
      <c r="Y354" t="s">
        <v>7090</v>
      </c>
      <c r="Z354" t="s">
        <v>7091</v>
      </c>
      <c r="AA354" t="s">
        <v>7092</v>
      </c>
      <c r="AB354" t="s">
        <v>7093</v>
      </c>
      <c r="AC354" t="s">
        <v>7094</v>
      </c>
      <c r="AD354" t="s">
        <v>7095</v>
      </c>
      <c r="AE354" t="s">
        <v>7096</v>
      </c>
      <c r="AF354" t="s">
        <v>74</v>
      </c>
      <c r="AG354">
        <v>50</v>
      </c>
      <c r="AH354">
        <v>13</v>
      </c>
      <c r="AI354">
        <v>13</v>
      </c>
      <c r="AJ354">
        <v>1</v>
      </c>
      <c r="AK354">
        <v>10</v>
      </c>
      <c r="AL354" t="s">
        <v>2627</v>
      </c>
      <c r="AM354" t="s">
        <v>2628</v>
      </c>
      <c r="AN354" t="s">
        <v>2629</v>
      </c>
      <c r="AO354" t="s">
        <v>7097</v>
      </c>
      <c r="AP354" t="s">
        <v>7098</v>
      </c>
      <c r="AQ354" t="s">
        <v>74</v>
      </c>
      <c r="AR354" t="s">
        <v>7099</v>
      </c>
      <c r="AS354" t="s">
        <v>7100</v>
      </c>
      <c r="AT354" t="s">
        <v>7101</v>
      </c>
      <c r="AU354">
        <v>2020</v>
      </c>
      <c r="AV354">
        <v>62</v>
      </c>
      <c r="AW354">
        <v>3</v>
      </c>
      <c r="AX354" t="s">
        <v>74</v>
      </c>
      <c r="AY354" t="s">
        <v>74</v>
      </c>
      <c r="AZ354" t="s">
        <v>342</v>
      </c>
      <c r="BA354" t="s">
        <v>74</v>
      </c>
      <c r="BB354">
        <v>373</v>
      </c>
      <c r="BC354">
        <v>388</v>
      </c>
      <c r="BD354" t="s">
        <v>74</v>
      </c>
      <c r="BE354" t="s">
        <v>7102</v>
      </c>
      <c r="BF354" t="str">
        <f>HYPERLINK("http://dx.doi.org/10.1080/21664250.2020.1727402","http://dx.doi.org/10.1080/21664250.2020.1727402")</f>
        <v>http://dx.doi.org/10.1080/21664250.2020.1727402</v>
      </c>
      <c r="BG354" t="s">
        <v>74</v>
      </c>
      <c r="BH354" t="s">
        <v>5744</v>
      </c>
      <c r="BI354">
        <v>16</v>
      </c>
      <c r="BJ354" t="s">
        <v>7103</v>
      </c>
      <c r="BK354" t="s">
        <v>103</v>
      </c>
      <c r="BL354" t="s">
        <v>3997</v>
      </c>
      <c r="BM354" t="s">
        <v>7104</v>
      </c>
      <c r="BN354" t="s">
        <v>74</v>
      </c>
      <c r="BO354" t="s">
        <v>74</v>
      </c>
      <c r="BP354" t="s">
        <v>74</v>
      </c>
      <c r="BQ354" t="s">
        <v>74</v>
      </c>
      <c r="BR354" t="s">
        <v>106</v>
      </c>
      <c r="BS354" t="s">
        <v>7105</v>
      </c>
      <c r="BT354" t="str">
        <f>HYPERLINK("https%3A%2F%2Fwww.webofscience.com%2Fwos%2Fwoscc%2Ffull-record%2FWOS:000513602800001","View Full Record in Web of Science")</f>
        <v>View Full Record in Web of Science</v>
      </c>
    </row>
    <row r="355" spans="1:72" x14ac:dyDescent="0.15">
      <c r="A355" t="s">
        <v>72</v>
      </c>
      <c r="B355" t="s">
        <v>7106</v>
      </c>
      <c r="C355" t="s">
        <v>74</v>
      </c>
      <c r="D355" t="s">
        <v>74</v>
      </c>
      <c r="E355" t="s">
        <v>74</v>
      </c>
      <c r="F355" t="s">
        <v>7107</v>
      </c>
      <c r="G355" t="s">
        <v>74</v>
      </c>
      <c r="H355" t="s">
        <v>74</v>
      </c>
      <c r="I355" t="s">
        <v>7108</v>
      </c>
      <c r="J355" t="s">
        <v>6521</v>
      </c>
      <c r="K355" t="s">
        <v>74</v>
      </c>
      <c r="L355" t="s">
        <v>74</v>
      </c>
      <c r="M355" t="s">
        <v>78</v>
      </c>
      <c r="N355" t="s">
        <v>79</v>
      </c>
      <c r="O355" t="s">
        <v>74</v>
      </c>
      <c r="P355" t="s">
        <v>74</v>
      </c>
      <c r="Q355" t="s">
        <v>74</v>
      </c>
      <c r="R355" t="s">
        <v>74</v>
      </c>
      <c r="S355" t="s">
        <v>74</v>
      </c>
      <c r="T355" t="s">
        <v>7109</v>
      </c>
      <c r="U355" t="s">
        <v>7110</v>
      </c>
      <c r="V355" t="s">
        <v>7111</v>
      </c>
      <c r="W355" t="s">
        <v>7112</v>
      </c>
      <c r="X355" t="s">
        <v>7113</v>
      </c>
      <c r="Y355" t="s">
        <v>7114</v>
      </c>
      <c r="Z355" t="s">
        <v>7115</v>
      </c>
      <c r="AA355" t="s">
        <v>7116</v>
      </c>
      <c r="AB355" t="s">
        <v>7117</v>
      </c>
      <c r="AC355" t="s">
        <v>7118</v>
      </c>
      <c r="AD355" t="s">
        <v>7119</v>
      </c>
      <c r="AE355" t="s">
        <v>7120</v>
      </c>
      <c r="AF355" t="s">
        <v>74</v>
      </c>
      <c r="AG355">
        <v>106</v>
      </c>
      <c r="AH355">
        <v>11</v>
      </c>
      <c r="AI355">
        <v>12</v>
      </c>
      <c r="AJ355">
        <v>4</v>
      </c>
      <c r="AK355">
        <v>62</v>
      </c>
      <c r="AL355" t="s">
        <v>211</v>
      </c>
      <c r="AM355" t="s">
        <v>212</v>
      </c>
      <c r="AN355" t="s">
        <v>213</v>
      </c>
      <c r="AO355" t="s">
        <v>6532</v>
      </c>
      <c r="AP355" t="s">
        <v>6533</v>
      </c>
      <c r="AQ355" t="s">
        <v>74</v>
      </c>
      <c r="AR355" t="s">
        <v>6534</v>
      </c>
      <c r="AS355" t="s">
        <v>6535</v>
      </c>
      <c r="AT355" t="s">
        <v>690</v>
      </c>
      <c r="AU355">
        <v>2020</v>
      </c>
      <c r="AV355">
        <v>30</v>
      </c>
      <c r="AW355">
        <v>5</v>
      </c>
      <c r="AX355" t="s">
        <v>74</v>
      </c>
      <c r="AY355" t="s">
        <v>74</v>
      </c>
      <c r="AZ355" t="s">
        <v>74</v>
      </c>
      <c r="BA355" t="s">
        <v>74</v>
      </c>
      <c r="BB355">
        <v>937</v>
      </c>
      <c r="BC355">
        <v>948</v>
      </c>
      <c r="BD355" t="s">
        <v>74</v>
      </c>
      <c r="BE355" t="s">
        <v>7121</v>
      </c>
      <c r="BF355" t="str">
        <f>HYPERLINK("http://dx.doi.org/10.1002/aqc.3295","http://dx.doi.org/10.1002/aqc.3295")</f>
        <v>http://dx.doi.org/10.1002/aqc.3295</v>
      </c>
      <c r="BG355" t="s">
        <v>74</v>
      </c>
      <c r="BH355" t="s">
        <v>5744</v>
      </c>
      <c r="BI355">
        <v>12</v>
      </c>
      <c r="BJ355" t="s">
        <v>6537</v>
      </c>
      <c r="BK355" t="s">
        <v>103</v>
      </c>
      <c r="BL355" t="s">
        <v>6538</v>
      </c>
      <c r="BM355" t="s">
        <v>7122</v>
      </c>
      <c r="BN355" t="s">
        <v>74</v>
      </c>
      <c r="BO355" t="s">
        <v>74</v>
      </c>
      <c r="BP355" t="s">
        <v>74</v>
      </c>
      <c r="BQ355" t="s">
        <v>74</v>
      </c>
      <c r="BR355" t="s">
        <v>106</v>
      </c>
      <c r="BS355" t="s">
        <v>7123</v>
      </c>
      <c r="BT355" t="str">
        <f>HYPERLINK("https%3A%2F%2Fwww.webofscience.com%2Fwos%2Fwoscc%2Ffull-record%2FWOS:000512967000001","View Full Record in Web of Science")</f>
        <v>View Full Record in Web of Science</v>
      </c>
    </row>
    <row r="356" spans="1:72" x14ac:dyDescent="0.15">
      <c r="A356" t="s">
        <v>72</v>
      </c>
      <c r="B356" t="s">
        <v>7124</v>
      </c>
      <c r="C356" t="s">
        <v>74</v>
      </c>
      <c r="D356" t="s">
        <v>74</v>
      </c>
      <c r="E356" t="s">
        <v>74</v>
      </c>
      <c r="F356" t="s">
        <v>7125</v>
      </c>
      <c r="G356" t="s">
        <v>74</v>
      </c>
      <c r="H356" t="s">
        <v>74</v>
      </c>
      <c r="I356" t="s">
        <v>7126</v>
      </c>
      <c r="J356" t="s">
        <v>2897</v>
      </c>
      <c r="K356" t="s">
        <v>74</v>
      </c>
      <c r="L356" t="s">
        <v>74</v>
      </c>
      <c r="M356" t="s">
        <v>78</v>
      </c>
      <c r="N356" t="s">
        <v>79</v>
      </c>
      <c r="O356" t="s">
        <v>74</v>
      </c>
      <c r="P356" t="s">
        <v>74</v>
      </c>
      <c r="Q356" t="s">
        <v>74</v>
      </c>
      <c r="R356" t="s">
        <v>74</v>
      </c>
      <c r="S356" t="s">
        <v>74</v>
      </c>
      <c r="T356" t="s">
        <v>74</v>
      </c>
      <c r="U356" t="s">
        <v>7127</v>
      </c>
      <c r="V356" t="s">
        <v>7128</v>
      </c>
      <c r="W356" t="s">
        <v>7129</v>
      </c>
      <c r="X356" t="s">
        <v>7130</v>
      </c>
      <c r="Y356" t="s">
        <v>7131</v>
      </c>
      <c r="Z356" t="s">
        <v>7132</v>
      </c>
      <c r="AA356" t="s">
        <v>74</v>
      </c>
      <c r="AB356" t="s">
        <v>7133</v>
      </c>
      <c r="AC356" t="s">
        <v>7134</v>
      </c>
      <c r="AD356" t="s">
        <v>7135</v>
      </c>
      <c r="AE356" t="s">
        <v>7136</v>
      </c>
      <c r="AF356" t="s">
        <v>74</v>
      </c>
      <c r="AG356">
        <v>71</v>
      </c>
      <c r="AH356">
        <v>20</v>
      </c>
      <c r="AI356">
        <v>21</v>
      </c>
      <c r="AJ356">
        <v>1</v>
      </c>
      <c r="AK356">
        <v>16</v>
      </c>
      <c r="AL356" t="s">
        <v>211</v>
      </c>
      <c r="AM356" t="s">
        <v>212</v>
      </c>
      <c r="AN356" t="s">
        <v>213</v>
      </c>
      <c r="AO356" t="s">
        <v>2908</v>
      </c>
      <c r="AP356" t="s">
        <v>2909</v>
      </c>
      <c r="AQ356" t="s">
        <v>74</v>
      </c>
      <c r="AR356" t="s">
        <v>2910</v>
      </c>
      <c r="AS356" t="s">
        <v>2911</v>
      </c>
      <c r="AT356" t="s">
        <v>2912</v>
      </c>
      <c r="AU356">
        <v>2020</v>
      </c>
      <c r="AV356">
        <v>55</v>
      </c>
      <c r="AW356">
        <v>3</v>
      </c>
      <c r="AX356" t="s">
        <v>74</v>
      </c>
      <c r="AY356" t="s">
        <v>74</v>
      </c>
      <c r="AZ356" t="s">
        <v>74</v>
      </c>
      <c r="BA356" t="s">
        <v>74</v>
      </c>
      <c r="BB356">
        <v>496</v>
      </c>
      <c r="BC356">
        <v>523</v>
      </c>
      <c r="BD356" t="s">
        <v>74</v>
      </c>
      <c r="BE356" t="s">
        <v>7137</v>
      </c>
      <c r="BF356" t="str">
        <f>HYPERLINK("http://dx.doi.org/10.1111/maps.13450","http://dx.doi.org/10.1111/maps.13450")</f>
        <v>http://dx.doi.org/10.1111/maps.13450</v>
      </c>
      <c r="BG356" t="s">
        <v>74</v>
      </c>
      <c r="BH356" t="s">
        <v>5744</v>
      </c>
      <c r="BI356">
        <v>28</v>
      </c>
      <c r="BJ356" t="s">
        <v>442</v>
      </c>
      <c r="BK356" t="s">
        <v>103</v>
      </c>
      <c r="BL356" t="s">
        <v>442</v>
      </c>
      <c r="BM356" t="s">
        <v>2914</v>
      </c>
      <c r="BN356" t="s">
        <v>74</v>
      </c>
      <c r="BO356" t="s">
        <v>517</v>
      </c>
      <c r="BP356" t="s">
        <v>74</v>
      </c>
      <c r="BQ356" t="s">
        <v>74</v>
      </c>
      <c r="BR356" t="s">
        <v>106</v>
      </c>
      <c r="BS356" t="s">
        <v>7138</v>
      </c>
      <c r="BT356" t="str">
        <f>HYPERLINK("https%3A%2F%2Fwww.webofscience.com%2Fwos%2Fwoscc%2Ffull-record%2FWOS:000512964800001","View Full Record in Web of Science")</f>
        <v>View Full Record in Web of Science</v>
      </c>
    </row>
    <row r="357" spans="1:72" x14ac:dyDescent="0.15">
      <c r="A357" t="s">
        <v>72</v>
      </c>
      <c r="B357" t="s">
        <v>7139</v>
      </c>
      <c r="C357" t="s">
        <v>74</v>
      </c>
      <c r="D357" t="s">
        <v>74</v>
      </c>
      <c r="E357" t="s">
        <v>74</v>
      </c>
      <c r="F357" t="s">
        <v>7140</v>
      </c>
      <c r="G357" t="s">
        <v>74</v>
      </c>
      <c r="H357" t="s">
        <v>74</v>
      </c>
      <c r="I357" t="s">
        <v>7141</v>
      </c>
      <c r="J357" t="s">
        <v>940</v>
      </c>
      <c r="K357" t="s">
        <v>74</v>
      </c>
      <c r="L357" t="s">
        <v>74</v>
      </c>
      <c r="M357" t="s">
        <v>78</v>
      </c>
      <c r="N357" t="s">
        <v>79</v>
      </c>
      <c r="O357" t="s">
        <v>74</v>
      </c>
      <c r="P357" t="s">
        <v>74</v>
      </c>
      <c r="Q357" t="s">
        <v>74</v>
      </c>
      <c r="R357" t="s">
        <v>74</v>
      </c>
      <c r="S357" t="s">
        <v>74</v>
      </c>
      <c r="T357" t="s">
        <v>74</v>
      </c>
      <c r="U357" t="s">
        <v>7142</v>
      </c>
      <c r="V357" t="s">
        <v>7143</v>
      </c>
      <c r="W357" t="s">
        <v>7144</v>
      </c>
      <c r="X357" t="s">
        <v>7145</v>
      </c>
      <c r="Y357" t="s">
        <v>7146</v>
      </c>
      <c r="Z357" t="s">
        <v>7147</v>
      </c>
      <c r="AA357" t="s">
        <v>7148</v>
      </c>
      <c r="AB357" t="s">
        <v>7149</v>
      </c>
      <c r="AC357" t="s">
        <v>7150</v>
      </c>
      <c r="AD357" t="s">
        <v>7151</v>
      </c>
      <c r="AE357" t="s">
        <v>7152</v>
      </c>
      <c r="AF357" t="s">
        <v>74</v>
      </c>
      <c r="AG357">
        <v>57</v>
      </c>
      <c r="AH357">
        <v>9</v>
      </c>
      <c r="AI357">
        <v>10</v>
      </c>
      <c r="AJ357">
        <v>0</v>
      </c>
      <c r="AK357">
        <v>3</v>
      </c>
      <c r="AL357" t="s">
        <v>951</v>
      </c>
      <c r="AM357" t="s">
        <v>952</v>
      </c>
      <c r="AN357" t="s">
        <v>953</v>
      </c>
      <c r="AO357" t="s">
        <v>954</v>
      </c>
      <c r="AP357" t="s">
        <v>74</v>
      </c>
      <c r="AQ357" t="s">
        <v>74</v>
      </c>
      <c r="AR357" t="s">
        <v>955</v>
      </c>
      <c r="AS357" t="s">
        <v>956</v>
      </c>
      <c r="AT357" t="s">
        <v>7153</v>
      </c>
      <c r="AU357">
        <v>2020</v>
      </c>
      <c r="AV357">
        <v>10</v>
      </c>
      <c r="AW357">
        <v>1</v>
      </c>
      <c r="AX357" t="s">
        <v>74</v>
      </c>
      <c r="AY357" t="s">
        <v>74</v>
      </c>
      <c r="AZ357" t="s">
        <v>74</v>
      </c>
      <c r="BA357" t="s">
        <v>74</v>
      </c>
      <c r="BB357" t="s">
        <v>74</v>
      </c>
      <c r="BC357" t="s">
        <v>74</v>
      </c>
      <c r="BD357">
        <v>2492</v>
      </c>
      <c r="BE357" t="s">
        <v>7154</v>
      </c>
      <c r="BF357" t="str">
        <f>HYPERLINK("http://dx.doi.org/10.1038/s41598-020-58317-8","http://dx.doi.org/10.1038/s41598-020-58317-8")</f>
        <v>http://dx.doi.org/10.1038/s41598-020-58317-8</v>
      </c>
      <c r="BG357" t="s">
        <v>74</v>
      </c>
      <c r="BH357" t="s">
        <v>74</v>
      </c>
      <c r="BI357">
        <v>10</v>
      </c>
      <c r="BJ357" t="s">
        <v>322</v>
      </c>
      <c r="BK357" t="s">
        <v>103</v>
      </c>
      <c r="BL357" t="s">
        <v>323</v>
      </c>
      <c r="BM357" t="s">
        <v>7155</v>
      </c>
      <c r="BN357">
        <v>32051432</v>
      </c>
      <c r="BO357" t="s">
        <v>276</v>
      </c>
      <c r="BP357" t="s">
        <v>74</v>
      </c>
      <c r="BQ357" t="s">
        <v>74</v>
      </c>
      <c r="BR357" t="s">
        <v>106</v>
      </c>
      <c r="BS357" t="s">
        <v>7156</v>
      </c>
      <c r="BT357" t="str">
        <f>HYPERLINK("https%3A%2F%2Fwww.webofscience.com%2Fwos%2Fwoscc%2Ffull-record%2FWOS:000562873200006","View Full Record in Web of Science")</f>
        <v>View Full Record in Web of Science</v>
      </c>
    </row>
    <row r="358" spans="1:72" x14ac:dyDescent="0.15">
      <c r="A358" t="s">
        <v>72</v>
      </c>
      <c r="B358" t="s">
        <v>7157</v>
      </c>
      <c r="C358" t="s">
        <v>74</v>
      </c>
      <c r="D358" t="s">
        <v>74</v>
      </c>
      <c r="E358" t="s">
        <v>74</v>
      </c>
      <c r="F358" t="s">
        <v>7158</v>
      </c>
      <c r="G358" t="s">
        <v>74</v>
      </c>
      <c r="H358" t="s">
        <v>74</v>
      </c>
      <c r="I358" t="s">
        <v>7159</v>
      </c>
      <c r="J358" t="s">
        <v>7160</v>
      </c>
      <c r="K358" t="s">
        <v>74</v>
      </c>
      <c r="L358" t="s">
        <v>74</v>
      </c>
      <c r="M358" t="s">
        <v>78</v>
      </c>
      <c r="N358" t="s">
        <v>79</v>
      </c>
      <c r="O358" t="s">
        <v>74</v>
      </c>
      <c r="P358" t="s">
        <v>74</v>
      </c>
      <c r="Q358" t="s">
        <v>74</v>
      </c>
      <c r="R358" t="s">
        <v>74</v>
      </c>
      <c r="S358" t="s">
        <v>74</v>
      </c>
      <c r="T358" t="s">
        <v>7161</v>
      </c>
      <c r="U358" t="s">
        <v>7162</v>
      </c>
      <c r="V358" t="s">
        <v>7163</v>
      </c>
      <c r="W358" t="s">
        <v>7164</v>
      </c>
      <c r="X358" t="s">
        <v>7165</v>
      </c>
      <c r="Y358" t="s">
        <v>7166</v>
      </c>
      <c r="Z358" t="s">
        <v>7167</v>
      </c>
      <c r="AA358" t="s">
        <v>7168</v>
      </c>
      <c r="AB358" t="s">
        <v>7169</v>
      </c>
      <c r="AC358" t="s">
        <v>7170</v>
      </c>
      <c r="AD358" t="s">
        <v>7171</v>
      </c>
      <c r="AE358" t="s">
        <v>7172</v>
      </c>
      <c r="AF358" t="s">
        <v>74</v>
      </c>
      <c r="AG358">
        <v>36</v>
      </c>
      <c r="AH358">
        <v>7</v>
      </c>
      <c r="AI358">
        <v>7</v>
      </c>
      <c r="AJ358">
        <v>0</v>
      </c>
      <c r="AK358">
        <v>16</v>
      </c>
      <c r="AL358" t="s">
        <v>5586</v>
      </c>
      <c r="AM358" t="s">
        <v>5587</v>
      </c>
      <c r="AN358" t="s">
        <v>5588</v>
      </c>
      <c r="AO358" t="s">
        <v>7173</v>
      </c>
      <c r="AP358" t="s">
        <v>7174</v>
      </c>
      <c r="AQ358" t="s">
        <v>74</v>
      </c>
      <c r="AR358" t="s">
        <v>7175</v>
      </c>
      <c r="AS358" t="s">
        <v>7176</v>
      </c>
      <c r="AT358" t="s">
        <v>7153</v>
      </c>
      <c r="AU358">
        <v>2020</v>
      </c>
      <c r="AV358">
        <v>522</v>
      </c>
      <c r="AW358">
        <v>3</v>
      </c>
      <c r="AX358" t="s">
        <v>74</v>
      </c>
      <c r="AY358" t="s">
        <v>74</v>
      </c>
      <c r="AZ358" t="s">
        <v>74</v>
      </c>
      <c r="BA358" t="s">
        <v>74</v>
      </c>
      <c r="BB358">
        <v>585</v>
      </c>
      <c r="BC358">
        <v>591</v>
      </c>
      <c r="BD358" t="s">
        <v>74</v>
      </c>
      <c r="BE358" t="s">
        <v>7177</v>
      </c>
      <c r="BF358" t="str">
        <f>HYPERLINK("http://dx.doi.org/10.1016/j.bbrc.2019.11.139","http://dx.doi.org/10.1016/j.bbrc.2019.11.139")</f>
        <v>http://dx.doi.org/10.1016/j.bbrc.2019.11.139</v>
      </c>
      <c r="BG358" t="s">
        <v>74</v>
      </c>
      <c r="BH358" t="s">
        <v>74</v>
      </c>
      <c r="BI358">
        <v>7</v>
      </c>
      <c r="BJ358" t="s">
        <v>7178</v>
      </c>
      <c r="BK358" t="s">
        <v>103</v>
      </c>
      <c r="BL358" t="s">
        <v>7178</v>
      </c>
      <c r="BM358" t="s">
        <v>7179</v>
      </c>
      <c r="BN358">
        <v>31785813</v>
      </c>
      <c r="BO358" t="s">
        <v>74</v>
      </c>
      <c r="BP358" t="s">
        <v>74</v>
      </c>
      <c r="BQ358" t="s">
        <v>74</v>
      </c>
      <c r="BR358" t="s">
        <v>106</v>
      </c>
      <c r="BS358" t="s">
        <v>7180</v>
      </c>
      <c r="BT358" t="str">
        <f>HYPERLINK("https%3A%2F%2Fwww.webofscience.com%2Fwos%2Fwoscc%2Ffull-record%2FWOS:000524706600006","View Full Record in Web of Science")</f>
        <v>View Full Record in Web of Science</v>
      </c>
    </row>
    <row r="359" spans="1:72" x14ac:dyDescent="0.15">
      <c r="A359" t="s">
        <v>72</v>
      </c>
      <c r="B359" t="s">
        <v>7181</v>
      </c>
      <c r="C359" t="s">
        <v>74</v>
      </c>
      <c r="D359" t="s">
        <v>74</v>
      </c>
      <c r="E359" t="s">
        <v>74</v>
      </c>
      <c r="F359" t="s">
        <v>7182</v>
      </c>
      <c r="G359" t="s">
        <v>74</v>
      </c>
      <c r="H359" t="s">
        <v>74</v>
      </c>
      <c r="I359" t="s">
        <v>7183</v>
      </c>
      <c r="J359" t="s">
        <v>7184</v>
      </c>
      <c r="K359" t="s">
        <v>74</v>
      </c>
      <c r="L359" t="s">
        <v>74</v>
      </c>
      <c r="M359" t="s">
        <v>78</v>
      </c>
      <c r="N359" t="s">
        <v>79</v>
      </c>
      <c r="O359" t="s">
        <v>74</v>
      </c>
      <c r="P359" t="s">
        <v>74</v>
      </c>
      <c r="Q359" t="s">
        <v>74</v>
      </c>
      <c r="R359" t="s">
        <v>74</v>
      </c>
      <c r="S359" t="s">
        <v>74</v>
      </c>
      <c r="T359" t="s">
        <v>7185</v>
      </c>
      <c r="U359" t="s">
        <v>7186</v>
      </c>
      <c r="V359" t="s">
        <v>7187</v>
      </c>
      <c r="W359" t="s">
        <v>7188</v>
      </c>
      <c r="X359" t="s">
        <v>7189</v>
      </c>
      <c r="Y359" t="s">
        <v>7190</v>
      </c>
      <c r="Z359" t="s">
        <v>7191</v>
      </c>
      <c r="AA359" t="s">
        <v>7192</v>
      </c>
      <c r="AB359" t="s">
        <v>7193</v>
      </c>
      <c r="AC359" t="s">
        <v>74</v>
      </c>
      <c r="AD359" t="s">
        <v>74</v>
      </c>
      <c r="AE359" t="s">
        <v>74</v>
      </c>
      <c r="AF359" t="s">
        <v>74</v>
      </c>
      <c r="AG359">
        <v>91</v>
      </c>
      <c r="AH359">
        <v>6</v>
      </c>
      <c r="AI359">
        <v>6</v>
      </c>
      <c r="AJ359">
        <v>0</v>
      </c>
      <c r="AK359">
        <v>7</v>
      </c>
      <c r="AL359" t="s">
        <v>658</v>
      </c>
      <c r="AM359" t="s">
        <v>659</v>
      </c>
      <c r="AN359" t="s">
        <v>660</v>
      </c>
      <c r="AO359" t="s">
        <v>74</v>
      </c>
      <c r="AP359" t="s">
        <v>7194</v>
      </c>
      <c r="AQ359" t="s">
        <v>74</v>
      </c>
      <c r="AR359" t="s">
        <v>7195</v>
      </c>
      <c r="AS359" t="s">
        <v>7196</v>
      </c>
      <c r="AT359" t="s">
        <v>7153</v>
      </c>
      <c r="AU359">
        <v>2020</v>
      </c>
      <c r="AV359">
        <v>8</v>
      </c>
      <c r="AW359" t="s">
        <v>74</v>
      </c>
      <c r="AX359" t="s">
        <v>74</v>
      </c>
      <c r="AY359" t="s">
        <v>74</v>
      </c>
      <c r="AZ359" t="s">
        <v>74</v>
      </c>
      <c r="BA359" t="s">
        <v>74</v>
      </c>
      <c r="BB359" t="s">
        <v>74</v>
      </c>
      <c r="BC359" t="s">
        <v>74</v>
      </c>
      <c r="BD359">
        <v>23</v>
      </c>
      <c r="BE359" t="s">
        <v>7197</v>
      </c>
      <c r="BF359" t="str">
        <f>HYPERLINK("http://dx.doi.org/10.3389/feart.2020.00023","http://dx.doi.org/10.3389/feart.2020.00023")</f>
        <v>http://dx.doi.org/10.3389/feart.2020.00023</v>
      </c>
      <c r="BG359" t="s">
        <v>74</v>
      </c>
      <c r="BH359" t="s">
        <v>74</v>
      </c>
      <c r="BI359">
        <v>13</v>
      </c>
      <c r="BJ359" t="s">
        <v>246</v>
      </c>
      <c r="BK359" t="s">
        <v>103</v>
      </c>
      <c r="BL359" t="s">
        <v>247</v>
      </c>
      <c r="BM359" t="s">
        <v>7198</v>
      </c>
      <c r="BN359" t="s">
        <v>74</v>
      </c>
      <c r="BO359" t="s">
        <v>276</v>
      </c>
      <c r="BP359" t="s">
        <v>74</v>
      </c>
      <c r="BQ359" t="s">
        <v>74</v>
      </c>
      <c r="BR359" t="s">
        <v>106</v>
      </c>
      <c r="BS359" t="s">
        <v>7199</v>
      </c>
      <c r="BT359" t="str">
        <f>HYPERLINK("https%3A%2F%2Fwww.webofscience.com%2Fwos%2Fwoscc%2Ffull-record%2FWOS:000517431700001","View Full Record in Web of Science")</f>
        <v>View Full Record in Web of Science</v>
      </c>
    </row>
    <row r="360" spans="1:72" x14ac:dyDescent="0.15">
      <c r="A360" t="s">
        <v>72</v>
      </c>
      <c r="B360" t="s">
        <v>7200</v>
      </c>
      <c r="C360" t="s">
        <v>74</v>
      </c>
      <c r="D360" t="s">
        <v>74</v>
      </c>
      <c r="E360" t="s">
        <v>74</v>
      </c>
      <c r="F360" t="s">
        <v>7201</v>
      </c>
      <c r="G360" t="s">
        <v>74</v>
      </c>
      <c r="H360" t="s">
        <v>74</v>
      </c>
      <c r="I360" t="s">
        <v>7202</v>
      </c>
      <c r="J360" t="s">
        <v>7203</v>
      </c>
      <c r="K360" t="s">
        <v>74</v>
      </c>
      <c r="L360" t="s">
        <v>74</v>
      </c>
      <c r="M360" t="s">
        <v>78</v>
      </c>
      <c r="N360" t="s">
        <v>79</v>
      </c>
      <c r="O360" t="s">
        <v>74</v>
      </c>
      <c r="P360" t="s">
        <v>74</v>
      </c>
      <c r="Q360" t="s">
        <v>74</v>
      </c>
      <c r="R360" t="s">
        <v>74</v>
      </c>
      <c r="S360" t="s">
        <v>74</v>
      </c>
      <c r="T360" t="s">
        <v>7204</v>
      </c>
      <c r="U360" t="s">
        <v>7205</v>
      </c>
      <c r="V360" t="s">
        <v>7206</v>
      </c>
      <c r="W360" t="s">
        <v>7207</v>
      </c>
      <c r="X360" t="s">
        <v>7208</v>
      </c>
      <c r="Y360" t="s">
        <v>7209</v>
      </c>
      <c r="Z360" t="s">
        <v>7210</v>
      </c>
      <c r="AA360" t="s">
        <v>7211</v>
      </c>
      <c r="AB360" t="s">
        <v>7212</v>
      </c>
      <c r="AC360" t="s">
        <v>7213</v>
      </c>
      <c r="AD360" t="s">
        <v>7214</v>
      </c>
      <c r="AE360" t="s">
        <v>7215</v>
      </c>
      <c r="AF360" t="s">
        <v>74</v>
      </c>
      <c r="AG360">
        <v>103</v>
      </c>
      <c r="AH360">
        <v>16</v>
      </c>
      <c r="AI360">
        <v>16</v>
      </c>
      <c r="AJ360">
        <v>0</v>
      </c>
      <c r="AK360">
        <v>18</v>
      </c>
      <c r="AL360" t="s">
        <v>211</v>
      </c>
      <c r="AM360" t="s">
        <v>212</v>
      </c>
      <c r="AN360" t="s">
        <v>213</v>
      </c>
      <c r="AO360" t="s">
        <v>7216</v>
      </c>
      <c r="AP360" t="s">
        <v>74</v>
      </c>
      <c r="AQ360" t="s">
        <v>74</v>
      </c>
      <c r="AR360" t="s">
        <v>7217</v>
      </c>
      <c r="AS360" t="s">
        <v>7218</v>
      </c>
      <c r="AT360" t="s">
        <v>690</v>
      </c>
      <c r="AU360">
        <v>2020</v>
      </c>
      <c r="AV360">
        <v>13</v>
      </c>
      <c r="AW360">
        <v>5</v>
      </c>
      <c r="AX360" t="s">
        <v>74</v>
      </c>
      <c r="AY360" t="s">
        <v>74</v>
      </c>
      <c r="AZ360" t="s">
        <v>74</v>
      </c>
      <c r="BA360" t="s">
        <v>74</v>
      </c>
      <c r="BB360">
        <v>960</v>
      </c>
      <c r="BC360">
        <v>973</v>
      </c>
      <c r="BD360" t="s">
        <v>74</v>
      </c>
      <c r="BE360" t="s">
        <v>7219</v>
      </c>
      <c r="BF360" t="str">
        <f>HYPERLINK("http://dx.doi.org/10.1111/eva.12913","http://dx.doi.org/10.1111/eva.12913")</f>
        <v>http://dx.doi.org/10.1111/eva.12913</v>
      </c>
      <c r="BG360" t="s">
        <v>74</v>
      </c>
      <c r="BH360" t="s">
        <v>5744</v>
      </c>
      <c r="BI360">
        <v>14</v>
      </c>
      <c r="BJ360" t="s">
        <v>7220</v>
      </c>
      <c r="BK360" t="s">
        <v>103</v>
      </c>
      <c r="BL360" t="s">
        <v>7220</v>
      </c>
      <c r="BM360" t="s">
        <v>7221</v>
      </c>
      <c r="BN360">
        <v>32431746</v>
      </c>
      <c r="BO360" t="s">
        <v>276</v>
      </c>
      <c r="BP360" t="s">
        <v>74</v>
      </c>
      <c r="BQ360" t="s">
        <v>74</v>
      </c>
      <c r="BR360" t="s">
        <v>106</v>
      </c>
      <c r="BS360" t="s">
        <v>7222</v>
      </c>
      <c r="BT360" t="str">
        <f>HYPERLINK("https%3A%2F%2Fwww.webofscience.com%2Fwos%2Fwoscc%2Ffull-record%2FWOS:000512802500001","View Full Record in Web of Science")</f>
        <v>View Full Record in Web of Science</v>
      </c>
    </row>
    <row r="361" spans="1:72" x14ac:dyDescent="0.15">
      <c r="A361" t="s">
        <v>72</v>
      </c>
      <c r="B361" t="s">
        <v>7223</v>
      </c>
      <c r="C361" t="s">
        <v>74</v>
      </c>
      <c r="D361" t="s">
        <v>74</v>
      </c>
      <c r="E361" t="s">
        <v>74</v>
      </c>
      <c r="F361" t="s">
        <v>7224</v>
      </c>
      <c r="G361" t="s">
        <v>74</v>
      </c>
      <c r="H361" t="s">
        <v>74</v>
      </c>
      <c r="I361" t="s">
        <v>7225</v>
      </c>
      <c r="J361" t="s">
        <v>7226</v>
      </c>
      <c r="K361" t="s">
        <v>74</v>
      </c>
      <c r="L361" t="s">
        <v>74</v>
      </c>
      <c r="M361" t="s">
        <v>78</v>
      </c>
      <c r="N361" t="s">
        <v>79</v>
      </c>
      <c r="O361" t="s">
        <v>74</v>
      </c>
      <c r="P361" t="s">
        <v>74</v>
      </c>
      <c r="Q361" t="s">
        <v>74</v>
      </c>
      <c r="R361" t="s">
        <v>74</v>
      </c>
      <c r="S361" t="s">
        <v>74</v>
      </c>
      <c r="T361" t="s">
        <v>7227</v>
      </c>
      <c r="U361" t="s">
        <v>7228</v>
      </c>
      <c r="V361" t="s">
        <v>7229</v>
      </c>
      <c r="W361" t="s">
        <v>7230</v>
      </c>
      <c r="X361" t="s">
        <v>7231</v>
      </c>
      <c r="Y361" t="s">
        <v>7232</v>
      </c>
      <c r="Z361" t="s">
        <v>7233</v>
      </c>
      <c r="AA361" t="s">
        <v>7234</v>
      </c>
      <c r="AB361" t="s">
        <v>7235</v>
      </c>
      <c r="AC361" t="s">
        <v>7236</v>
      </c>
      <c r="AD361" t="s">
        <v>74</v>
      </c>
      <c r="AE361" t="s">
        <v>7237</v>
      </c>
      <c r="AF361" t="s">
        <v>74</v>
      </c>
      <c r="AG361">
        <v>32</v>
      </c>
      <c r="AH361">
        <v>4</v>
      </c>
      <c r="AI361">
        <v>5</v>
      </c>
      <c r="AJ361">
        <v>2</v>
      </c>
      <c r="AK361">
        <v>9</v>
      </c>
      <c r="AL361" t="s">
        <v>211</v>
      </c>
      <c r="AM361" t="s">
        <v>212</v>
      </c>
      <c r="AN361" t="s">
        <v>213</v>
      </c>
      <c r="AO361" t="s">
        <v>7238</v>
      </c>
      <c r="AP361" t="s">
        <v>7239</v>
      </c>
      <c r="AQ361" t="s">
        <v>74</v>
      </c>
      <c r="AR361" t="s">
        <v>7240</v>
      </c>
      <c r="AS361" t="s">
        <v>7241</v>
      </c>
      <c r="AT361" t="s">
        <v>1635</v>
      </c>
      <c r="AU361">
        <v>2020</v>
      </c>
      <c r="AV361">
        <v>24</v>
      </c>
      <c r="AW361">
        <v>4</v>
      </c>
      <c r="AX361" t="s">
        <v>74</v>
      </c>
      <c r="AY361" t="s">
        <v>74</v>
      </c>
      <c r="AZ361" t="s">
        <v>74</v>
      </c>
      <c r="BA361" t="s">
        <v>74</v>
      </c>
      <c r="BB361">
        <v>791</v>
      </c>
      <c r="BC361">
        <v>803</v>
      </c>
      <c r="BD361" t="s">
        <v>74</v>
      </c>
      <c r="BE361" t="s">
        <v>7242</v>
      </c>
      <c r="BF361" t="str">
        <f>HYPERLINK("http://dx.doi.org/10.1111/jiec.12972","http://dx.doi.org/10.1111/jiec.12972")</f>
        <v>http://dx.doi.org/10.1111/jiec.12972</v>
      </c>
      <c r="BG361" t="s">
        <v>74</v>
      </c>
      <c r="BH361" t="s">
        <v>5744</v>
      </c>
      <c r="BI361">
        <v>13</v>
      </c>
      <c r="BJ361" t="s">
        <v>7243</v>
      </c>
      <c r="BK361" t="s">
        <v>103</v>
      </c>
      <c r="BL361" t="s">
        <v>7244</v>
      </c>
      <c r="BM361" t="s">
        <v>7245</v>
      </c>
      <c r="BN361" t="s">
        <v>74</v>
      </c>
      <c r="BO361" t="s">
        <v>74</v>
      </c>
      <c r="BP361" t="s">
        <v>74</v>
      </c>
      <c r="BQ361" t="s">
        <v>74</v>
      </c>
      <c r="BR361" t="s">
        <v>106</v>
      </c>
      <c r="BS361" t="s">
        <v>7246</v>
      </c>
      <c r="BT361" t="str">
        <f>HYPERLINK("https%3A%2F%2Fwww.webofscience.com%2Fwos%2Fwoscc%2Ffull-record%2FWOS:000512819800001","View Full Record in Web of Science")</f>
        <v>View Full Record in Web of Science</v>
      </c>
    </row>
    <row r="362" spans="1:72" x14ac:dyDescent="0.15">
      <c r="A362" t="s">
        <v>72</v>
      </c>
      <c r="B362" t="s">
        <v>7247</v>
      </c>
      <c r="C362" t="s">
        <v>74</v>
      </c>
      <c r="D362" t="s">
        <v>74</v>
      </c>
      <c r="E362" t="s">
        <v>74</v>
      </c>
      <c r="F362" t="s">
        <v>7248</v>
      </c>
      <c r="G362" t="s">
        <v>74</v>
      </c>
      <c r="H362" t="s">
        <v>74</v>
      </c>
      <c r="I362" t="s">
        <v>7249</v>
      </c>
      <c r="J362" t="s">
        <v>7226</v>
      </c>
      <c r="K362" t="s">
        <v>74</v>
      </c>
      <c r="L362" t="s">
        <v>74</v>
      </c>
      <c r="M362" t="s">
        <v>78</v>
      </c>
      <c r="N362" t="s">
        <v>79</v>
      </c>
      <c r="O362" t="s">
        <v>74</v>
      </c>
      <c r="P362" t="s">
        <v>74</v>
      </c>
      <c r="Q362" t="s">
        <v>74</v>
      </c>
      <c r="R362" t="s">
        <v>74</v>
      </c>
      <c r="S362" t="s">
        <v>74</v>
      </c>
      <c r="T362" t="s">
        <v>7250</v>
      </c>
      <c r="U362" t="s">
        <v>7251</v>
      </c>
      <c r="V362" t="s">
        <v>7252</v>
      </c>
      <c r="W362" t="s">
        <v>7253</v>
      </c>
      <c r="X362" t="s">
        <v>7254</v>
      </c>
      <c r="Y362" t="s">
        <v>7255</v>
      </c>
      <c r="Z362" t="s">
        <v>7256</v>
      </c>
      <c r="AA362" t="s">
        <v>7234</v>
      </c>
      <c r="AB362" t="s">
        <v>7235</v>
      </c>
      <c r="AC362" t="s">
        <v>7236</v>
      </c>
      <c r="AD362" t="s">
        <v>74</v>
      </c>
      <c r="AE362" t="s">
        <v>7237</v>
      </c>
      <c r="AF362" t="s">
        <v>74</v>
      </c>
      <c r="AG362">
        <v>34</v>
      </c>
      <c r="AH362">
        <v>0</v>
      </c>
      <c r="AI362">
        <v>0</v>
      </c>
      <c r="AJ362">
        <v>0</v>
      </c>
      <c r="AK362">
        <v>12</v>
      </c>
      <c r="AL362" t="s">
        <v>211</v>
      </c>
      <c r="AM362" t="s">
        <v>212</v>
      </c>
      <c r="AN362" t="s">
        <v>213</v>
      </c>
      <c r="AO362" t="s">
        <v>7238</v>
      </c>
      <c r="AP362" t="s">
        <v>7239</v>
      </c>
      <c r="AQ362" t="s">
        <v>74</v>
      </c>
      <c r="AR362" t="s">
        <v>7240</v>
      </c>
      <c r="AS362" t="s">
        <v>7241</v>
      </c>
      <c r="AT362" t="s">
        <v>1635</v>
      </c>
      <c r="AU362">
        <v>2020</v>
      </c>
      <c r="AV362">
        <v>24</v>
      </c>
      <c r="AW362">
        <v>4</v>
      </c>
      <c r="AX362" t="s">
        <v>74</v>
      </c>
      <c r="AY362" t="s">
        <v>74</v>
      </c>
      <c r="AZ362" t="s">
        <v>74</v>
      </c>
      <c r="BA362" t="s">
        <v>74</v>
      </c>
      <c r="BB362">
        <v>804</v>
      </c>
      <c r="BC362">
        <v>814</v>
      </c>
      <c r="BD362" t="s">
        <v>74</v>
      </c>
      <c r="BE362" t="s">
        <v>7257</v>
      </c>
      <c r="BF362" t="str">
        <f>HYPERLINK("http://dx.doi.org/10.1111/jiec.12970","http://dx.doi.org/10.1111/jiec.12970")</f>
        <v>http://dx.doi.org/10.1111/jiec.12970</v>
      </c>
      <c r="BG362" t="s">
        <v>74</v>
      </c>
      <c r="BH362" t="s">
        <v>5744</v>
      </c>
      <c r="BI362">
        <v>11</v>
      </c>
      <c r="BJ362" t="s">
        <v>7243</v>
      </c>
      <c r="BK362" t="s">
        <v>103</v>
      </c>
      <c r="BL362" t="s">
        <v>7244</v>
      </c>
      <c r="BM362" t="s">
        <v>7245</v>
      </c>
      <c r="BN362" t="s">
        <v>74</v>
      </c>
      <c r="BO362" t="s">
        <v>74</v>
      </c>
      <c r="BP362" t="s">
        <v>74</v>
      </c>
      <c r="BQ362" t="s">
        <v>74</v>
      </c>
      <c r="BR362" t="s">
        <v>106</v>
      </c>
      <c r="BS362" t="s">
        <v>7258</v>
      </c>
      <c r="BT362" t="str">
        <f>HYPERLINK("https%3A%2F%2Fwww.webofscience.com%2Fwos%2Fwoscc%2Ffull-record%2FWOS:000512820600001","View Full Record in Web of Science")</f>
        <v>View Full Record in Web of Science</v>
      </c>
    </row>
    <row r="363" spans="1:72" x14ac:dyDescent="0.15">
      <c r="A363" t="s">
        <v>72</v>
      </c>
      <c r="B363" t="s">
        <v>7259</v>
      </c>
      <c r="C363" t="s">
        <v>74</v>
      </c>
      <c r="D363" t="s">
        <v>74</v>
      </c>
      <c r="E363" t="s">
        <v>74</v>
      </c>
      <c r="F363" t="s">
        <v>7260</v>
      </c>
      <c r="G363" t="s">
        <v>74</v>
      </c>
      <c r="H363" t="s">
        <v>74</v>
      </c>
      <c r="I363" t="s">
        <v>7261</v>
      </c>
      <c r="J363" t="s">
        <v>1240</v>
      </c>
      <c r="K363" t="s">
        <v>74</v>
      </c>
      <c r="L363" t="s">
        <v>74</v>
      </c>
      <c r="M363" t="s">
        <v>78</v>
      </c>
      <c r="N363" t="s">
        <v>79</v>
      </c>
      <c r="O363" t="s">
        <v>74</v>
      </c>
      <c r="P363" t="s">
        <v>74</v>
      </c>
      <c r="Q363" t="s">
        <v>74</v>
      </c>
      <c r="R363" t="s">
        <v>74</v>
      </c>
      <c r="S363" t="s">
        <v>74</v>
      </c>
      <c r="T363" t="s">
        <v>74</v>
      </c>
      <c r="U363" t="s">
        <v>7262</v>
      </c>
      <c r="V363" t="s">
        <v>7263</v>
      </c>
      <c r="W363" t="s">
        <v>7264</v>
      </c>
      <c r="X363" t="s">
        <v>7265</v>
      </c>
      <c r="Y363" t="s">
        <v>7266</v>
      </c>
      <c r="Z363" t="s">
        <v>7267</v>
      </c>
      <c r="AA363" t="s">
        <v>7268</v>
      </c>
      <c r="AB363" t="s">
        <v>7269</v>
      </c>
      <c r="AC363" t="s">
        <v>7270</v>
      </c>
      <c r="AD363" t="s">
        <v>7271</v>
      </c>
      <c r="AE363" t="s">
        <v>7272</v>
      </c>
      <c r="AF363" t="s">
        <v>74</v>
      </c>
      <c r="AG363">
        <v>56</v>
      </c>
      <c r="AH363">
        <v>49</v>
      </c>
      <c r="AI363">
        <v>52</v>
      </c>
      <c r="AJ363">
        <v>5</v>
      </c>
      <c r="AK363">
        <v>38</v>
      </c>
      <c r="AL363" t="s">
        <v>753</v>
      </c>
      <c r="AM363" t="s">
        <v>545</v>
      </c>
      <c r="AN363" t="s">
        <v>1097</v>
      </c>
      <c r="AO363" t="s">
        <v>1252</v>
      </c>
      <c r="AP363" t="s">
        <v>74</v>
      </c>
      <c r="AQ363" t="s">
        <v>74</v>
      </c>
      <c r="AR363" t="s">
        <v>1253</v>
      </c>
      <c r="AS363" t="s">
        <v>1254</v>
      </c>
      <c r="AT363" t="s">
        <v>7273</v>
      </c>
      <c r="AU363">
        <v>2020</v>
      </c>
      <c r="AV363">
        <v>11</v>
      </c>
      <c r="AW363">
        <v>1</v>
      </c>
      <c r="AX363" t="s">
        <v>74</v>
      </c>
      <c r="AY363" t="s">
        <v>74</v>
      </c>
      <c r="AZ363" t="s">
        <v>74</v>
      </c>
      <c r="BA363" t="s">
        <v>74</v>
      </c>
      <c r="BB363" t="s">
        <v>74</v>
      </c>
      <c r="BC363" t="s">
        <v>74</v>
      </c>
      <c r="BD363">
        <v>825</v>
      </c>
      <c r="BE363" t="s">
        <v>7274</v>
      </c>
      <c r="BF363" t="str">
        <f>HYPERLINK("http://dx.doi.org/10.1038/s41467-020-14464-0","http://dx.doi.org/10.1038/s41467-020-14464-0")</f>
        <v>http://dx.doi.org/10.1038/s41467-020-14464-0</v>
      </c>
      <c r="BG363" t="s">
        <v>74</v>
      </c>
      <c r="BH363" t="s">
        <v>74</v>
      </c>
      <c r="BI363">
        <v>8</v>
      </c>
      <c r="BJ363" t="s">
        <v>322</v>
      </c>
      <c r="BK363" t="s">
        <v>103</v>
      </c>
      <c r="BL363" t="s">
        <v>323</v>
      </c>
      <c r="BM363" t="s">
        <v>7275</v>
      </c>
      <c r="BN363">
        <v>32047154</v>
      </c>
      <c r="BO363" t="s">
        <v>276</v>
      </c>
      <c r="BP363" t="s">
        <v>74</v>
      </c>
      <c r="BQ363" t="s">
        <v>74</v>
      </c>
      <c r="BR363" t="s">
        <v>106</v>
      </c>
      <c r="BS363" t="s">
        <v>7276</v>
      </c>
      <c r="BT363" t="str">
        <f>HYPERLINK("https%3A%2F%2Fwww.webofscience.com%2Fwos%2Fwoscc%2Ffull-record%2FWOS:000514433900002","View Full Record in Web of Science")</f>
        <v>View Full Record in Web of Science</v>
      </c>
    </row>
    <row r="364" spans="1:72" x14ac:dyDescent="0.15">
      <c r="A364" t="s">
        <v>72</v>
      </c>
      <c r="B364" t="s">
        <v>7277</v>
      </c>
      <c r="C364" t="s">
        <v>74</v>
      </c>
      <c r="D364" t="s">
        <v>74</v>
      </c>
      <c r="E364" t="s">
        <v>74</v>
      </c>
      <c r="F364" t="s">
        <v>7278</v>
      </c>
      <c r="G364" t="s">
        <v>74</v>
      </c>
      <c r="H364" t="s">
        <v>74</v>
      </c>
      <c r="I364" t="s">
        <v>7279</v>
      </c>
      <c r="J364" t="s">
        <v>5887</v>
      </c>
      <c r="K364" t="s">
        <v>74</v>
      </c>
      <c r="L364" t="s">
        <v>74</v>
      </c>
      <c r="M364" t="s">
        <v>78</v>
      </c>
      <c r="N364" t="s">
        <v>79</v>
      </c>
      <c r="O364" t="s">
        <v>74</v>
      </c>
      <c r="P364" t="s">
        <v>74</v>
      </c>
      <c r="Q364" t="s">
        <v>74</v>
      </c>
      <c r="R364" t="s">
        <v>74</v>
      </c>
      <c r="S364" t="s">
        <v>74</v>
      </c>
      <c r="T364" t="s">
        <v>7280</v>
      </c>
      <c r="U364" t="s">
        <v>7281</v>
      </c>
      <c r="V364" t="s">
        <v>7282</v>
      </c>
      <c r="W364" t="s">
        <v>7283</v>
      </c>
      <c r="X364" t="s">
        <v>7284</v>
      </c>
      <c r="Y364" t="s">
        <v>7285</v>
      </c>
      <c r="Z364" t="s">
        <v>7286</v>
      </c>
      <c r="AA364" t="s">
        <v>74</v>
      </c>
      <c r="AB364" t="s">
        <v>74</v>
      </c>
      <c r="AC364" t="s">
        <v>7287</v>
      </c>
      <c r="AD364" t="s">
        <v>7288</v>
      </c>
      <c r="AE364" t="s">
        <v>7289</v>
      </c>
      <c r="AF364" t="s">
        <v>74</v>
      </c>
      <c r="AG364">
        <v>67</v>
      </c>
      <c r="AH364">
        <v>1</v>
      </c>
      <c r="AI364">
        <v>1</v>
      </c>
      <c r="AJ364">
        <v>1</v>
      </c>
      <c r="AK364">
        <v>19</v>
      </c>
      <c r="AL364" t="s">
        <v>211</v>
      </c>
      <c r="AM364" t="s">
        <v>212</v>
      </c>
      <c r="AN364" t="s">
        <v>213</v>
      </c>
      <c r="AO364" t="s">
        <v>5897</v>
      </c>
      <c r="AP364" t="s">
        <v>5898</v>
      </c>
      <c r="AQ364" t="s">
        <v>74</v>
      </c>
      <c r="AR364" t="s">
        <v>5899</v>
      </c>
      <c r="AS364" t="s">
        <v>5900</v>
      </c>
      <c r="AT364" t="s">
        <v>690</v>
      </c>
      <c r="AU364">
        <v>2020</v>
      </c>
      <c r="AV364">
        <v>51</v>
      </c>
      <c r="AW364">
        <v>5</v>
      </c>
      <c r="AX364" t="s">
        <v>74</v>
      </c>
      <c r="AY364" t="s">
        <v>74</v>
      </c>
      <c r="AZ364" t="s">
        <v>74</v>
      </c>
      <c r="BA364" t="s">
        <v>74</v>
      </c>
      <c r="BB364">
        <v>1867</v>
      </c>
      <c r="BC364">
        <v>1879</v>
      </c>
      <c r="BD364" t="s">
        <v>74</v>
      </c>
      <c r="BE364" t="s">
        <v>7290</v>
      </c>
      <c r="BF364" t="str">
        <f>HYPERLINK("http://dx.doi.org/10.1111/are.14537","http://dx.doi.org/10.1111/are.14537")</f>
        <v>http://dx.doi.org/10.1111/are.14537</v>
      </c>
      <c r="BG364" t="s">
        <v>74</v>
      </c>
      <c r="BH364" t="s">
        <v>5744</v>
      </c>
      <c r="BI364">
        <v>13</v>
      </c>
      <c r="BJ364" t="s">
        <v>593</v>
      </c>
      <c r="BK364" t="s">
        <v>103</v>
      </c>
      <c r="BL364" t="s">
        <v>593</v>
      </c>
      <c r="BM364" t="s">
        <v>7291</v>
      </c>
      <c r="BN364" t="s">
        <v>74</v>
      </c>
      <c r="BO364" t="s">
        <v>2592</v>
      </c>
      <c r="BP364" t="s">
        <v>74</v>
      </c>
      <c r="BQ364" t="s">
        <v>74</v>
      </c>
      <c r="BR364" t="s">
        <v>106</v>
      </c>
      <c r="BS364" t="s">
        <v>7292</v>
      </c>
      <c r="BT364" t="str">
        <f>HYPERLINK("https%3A%2F%2Fwww.webofscience.com%2Fwos%2Fwoscc%2Ffull-record%2FWOS:000512422900001","View Full Record in Web of Science")</f>
        <v>View Full Record in Web of Science</v>
      </c>
    </row>
    <row r="365" spans="1:72" x14ac:dyDescent="0.15">
      <c r="A365" t="s">
        <v>72</v>
      </c>
      <c r="B365" t="s">
        <v>7293</v>
      </c>
      <c r="C365" t="s">
        <v>74</v>
      </c>
      <c r="D365" t="s">
        <v>74</v>
      </c>
      <c r="E365" t="s">
        <v>74</v>
      </c>
      <c r="F365" t="s">
        <v>7294</v>
      </c>
      <c r="G365" t="s">
        <v>74</v>
      </c>
      <c r="H365" t="s">
        <v>74</v>
      </c>
      <c r="I365" t="s">
        <v>7295</v>
      </c>
      <c r="J365" t="s">
        <v>940</v>
      </c>
      <c r="K365" t="s">
        <v>74</v>
      </c>
      <c r="L365" t="s">
        <v>74</v>
      </c>
      <c r="M365" t="s">
        <v>78</v>
      </c>
      <c r="N365" t="s">
        <v>79</v>
      </c>
      <c r="O365" t="s">
        <v>74</v>
      </c>
      <c r="P365" t="s">
        <v>74</v>
      </c>
      <c r="Q365" t="s">
        <v>74</v>
      </c>
      <c r="R365" t="s">
        <v>74</v>
      </c>
      <c r="S365" t="s">
        <v>74</v>
      </c>
      <c r="T365" t="s">
        <v>74</v>
      </c>
      <c r="U365" t="s">
        <v>7296</v>
      </c>
      <c r="V365" t="s">
        <v>7297</v>
      </c>
      <c r="W365" t="s">
        <v>74</v>
      </c>
      <c r="X365" t="s">
        <v>74</v>
      </c>
      <c r="Y365" t="s">
        <v>74</v>
      </c>
      <c r="Z365" t="s">
        <v>7298</v>
      </c>
      <c r="AA365" t="s">
        <v>7299</v>
      </c>
      <c r="AB365" t="s">
        <v>7300</v>
      </c>
      <c r="AC365" t="s">
        <v>7301</v>
      </c>
      <c r="AD365" t="s">
        <v>7301</v>
      </c>
      <c r="AE365" t="s">
        <v>7302</v>
      </c>
      <c r="AF365" t="s">
        <v>74</v>
      </c>
      <c r="AG365">
        <v>60</v>
      </c>
      <c r="AH365">
        <v>82</v>
      </c>
      <c r="AI365">
        <v>92</v>
      </c>
      <c r="AJ365">
        <v>0</v>
      </c>
      <c r="AK365">
        <v>13</v>
      </c>
      <c r="AL365" t="s">
        <v>753</v>
      </c>
      <c r="AM365" t="s">
        <v>545</v>
      </c>
      <c r="AN365" t="s">
        <v>1097</v>
      </c>
      <c r="AO365" t="s">
        <v>954</v>
      </c>
      <c r="AP365" t="s">
        <v>74</v>
      </c>
      <c r="AQ365" t="s">
        <v>74</v>
      </c>
      <c r="AR365" t="s">
        <v>955</v>
      </c>
      <c r="AS365" t="s">
        <v>956</v>
      </c>
      <c r="AT365" t="s">
        <v>7273</v>
      </c>
      <c r="AU365">
        <v>2020</v>
      </c>
      <c r="AV365">
        <v>10</v>
      </c>
      <c r="AW365">
        <v>1</v>
      </c>
      <c r="AX365" t="s">
        <v>74</v>
      </c>
      <c r="AY365" t="s">
        <v>74</v>
      </c>
      <c r="AZ365" t="s">
        <v>74</v>
      </c>
      <c r="BA365" t="s">
        <v>74</v>
      </c>
      <c r="BB365" t="s">
        <v>74</v>
      </c>
      <c r="BC365" t="s">
        <v>74</v>
      </c>
      <c r="BD365">
        <v>2314</v>
      </c>
      <c r="BE365" t="s">
        <v>7303</v>
      </c>
      <c r="BF365" t="str">
        <f>HYPERLINK("http://dx.doi.org/10.1038/s41598-020-59223-9","http://dx.doi.org/10.1038/s41598-020-59223-9")</f>
        <v>http://dx.doi.org/10.1038/s41598-020-59223-9</v>
      </c>
      <c r="BG365" t="s">
        <v>74</v>
      </c>
      <c r="BH365" t="s">
        <v>74</v>
      </c>
      <c r="BI365">
        <v>9</v>
      </c>
      <c r="BJ365" t="s">
        <v>322</v>
      </c>
      <c r="BK365" t="s">
        <v>103</v>
      </c>
      <c r="BL365" t="s">
        <v>323</v>
      </c>
      <c r="BM365" t="s">
        <v>7304</v>
      </c>
      <c r="BN365">
        <v>32047241</v>
      </c>
      <c r="BO365" t="s">
        <v>1359</v>
      </c>
      <c r="BP365" t="s">
        <v>74</v>
      </c>
      <c r="BQ365" t="s">
        <v>74</v>
      </c>
      <c r="BR365" t="s">
        <v>106</v>
      </c>
      <c r="BS365" t="s">
        <v>7305</v>
      </c>
      <c r="BT365" t="str">
        <f>HYPERLINK("https%3A%2F%2Fwww.webofscience.com%2Fwos%2Fwoscc%2Ffull-record%2FWOS:000562857400006","View Full Record in Web of Science")</f>
        <v>View Full Record in Web of Science</v>
      </c>
    </row>
    <row r="366" spans="1:72" x14ac:dyDescent="0.15">
      <c r="A366" t="s">
        <v>72</v>
      </c>
      <c r="B366" t="s">
        <v>7306</v>
      </c>
      <c r="C366" t="s">
        <v>74</v>
      </c>
      <c r="D366" t="s">
        <v>74</v>
      </c>
      <c r="E366" t="s">
        <v>74</v>
      </c>
      <c r="F366" t="s">
        <v>7307</v>
      </c>
      <c r="G366" t="s">
        <v>74</v>
      </c>
      <c r="H366" t="s">
        <v>74</v>
      </c>
      <c r="I366" t="s">
        <v>7308</v>
      </c>
      <c r="J366" t="s">
        <v>7309</v>
      </c>
      <c r="K366" t="s">
        <v>74</v>
      </c>
      <c r="L366" t="s">
        <v>74</v>
      </c>
      <c r="M366" t="s">
        <v>78</v>
      </c>
      <c r="N366" t="s">
        <v>79</v>
      </c>
      <c r="O366" t="s">
        <v>74</v>
      </c>
      <c r="P366" t="s">
        <v>74</v>
      </c>
      <c r="Q366" t="s">
        <v>74</v>
      </c>
      <c r="R366" t="s">
        <v>74</v>
      </c>
      <c r="S366" t="s">
        <v>74</v>
      </c>
      <c r="T366" t="s">
        <v>7310</v>
      </c>
      <c r="U366" t="s">
        <v>7311</v>
      </c>
      <c r="V366" t="s">
        <v>7312</v>
      </c>
      <c r="W366" t="s">
        <v>7313</v>
      </c>
      <c r="X366" t="s">
        <v>7314</v>
      </c>
      <c r="Y366" t="s">
        <v>7315</v>
      </c>
      <c r="Z366" t="s">
        <v>7316</v>
      </c>
      <c r="AA366" t="s">
        <v>7317</v>
      </c>
      <c r="AB366" t="s">
        <v>74</v>
      </c>
      <c r="AC366" t="s">
        <v>7318</v>
      </c>
      <c r="AD366" t="s">
        <v>7319</v>
      </c>
      <c r="AE366" t="s">
        <v>7320</v>
      </c>
      <c r="AF366" t="s">
        <v>74</v>
      </c>
      <c r="AG366">
        <v>29</v>
      </c>
      <c r="AH366">
        <v>1</v>
      </c>
      <c r="AI366">
        <v>1</v>
      </c>
      <c r="AJ366">
        <v>1</v>
      </c>
      <c r="AK366">
        <v>21</v>
      </c>
      <c r="AL366" t="s">
        <v>7321</v>
      </c>
      <c r="AM366" t="s">
        <v>7322</v>
      </c>
      <c r="AN366" t="s">
        <v>7323</v>
      </c>
      <c r="AO366" t="s">
        <v>7324</v>
      </c>
      <c r="AP366" t="s">
        <v>7325</v>
      </c>
      <c r="AQ366" t="s">
        <v>74</v>
      </c>
      <c r="AR366" t="s">
        <v>7326</v>
      </c>
      <c r="AS366" t="s">
        <v>7327</v>
      </c>
      <c r="AT366" t="s">
        <v>7328</v>
      </c>
      <c r="AU366">
        <v>2020</v>
      </c>
      <c r="AV366">
        <v>43</v>
      </c>
      <c r="AW366">
        <v>3</v>
      </c>
      <c r="AX366" t="s">
        <v>74</v>
      </c>
      <c r="AY366" t="s">
        <v>74</v>
      </c>
      <c r="AZ366" t="s">
        <v>342</v>
      </c>
      <c r="BA366" t="s">
        <v>74</v>
      </c>
      <c r="BB366">
        <v>285</v>
      </c>
      <c r="BC366">
        <v>301</v>
      </c>
      <c r="BD366" t="s">
        <v>74</v>
      </c>
      <c r="BE366" t="s">
        <v>7329</v>
      </c>
      <c r="BF366" t="str">
        <f>HYPERLINK("http://dx.doi.org/10.1080/01490419.2020.1718256","http://dx.doi.org/10.1080/01490419.2020.1718256")</f>
        <v>http://dx.doi.org/10.1080/01490419.2020.1718256</v>
      </c>
      <c r="BG366" t="s">
        <v>74</v>
      </c>
      <c r="BH366" t="s">
        <v>5744</v>
      </c>
      <c r="BI366">
        <v>17</v>
      </c>
      <c r="BJ366" t="s">
        <v>7330</v>
      </c>
      <c r="BK366" t="s">
        <v>103</v>
      </c>
      <c r="BL366" t="s">
        <v>7330</v>
      </c>
      <c r="BM366" t="s">
        <v>7331</v>
      </c>
      <c r="BN366" t="s">
        <v>74</v>
      </c>
      <c r="BO366" t="s">
        <v>74</v>
      </c>
      <c r="BP366" t="s">
        <v>74</v>
      </c>
      <c r="BQ366" t="s">
        <v>74</v>
      </c>
      <c r="BR366" t="s">
        <v>106</v>
      </c>
      <c r="BS366" t="s">
        <v>7332</v>
      </c>
      <c r="BT366" t="str">
        <f>HYPERLINK("https%3A%2F%2Fwww.webofscience.com%2Fwos%2Fwoscc%2Ffull-record%2FWOS:000514563200001","View Full Record in Web of Science")</f>
        <v>View Full Record in Web of Science</v>
      </c>
    </row>
    <row r="367" spans="1:72" x14ac:dyDescent="0.15">
      <c r="A367" t="s">
        <v>72</v>
      </c>
      <c r="B367" t="s">
        <v>7333</v>
      </c>
      <c r="C367" t="s">
        <v>74</v>
      </c>
      <c r="D367" t="s">
        <v>74</v>
      </c>
      <c r="E367" t="s">
        <v>74</v>
      </c>
      <c r="F367" t="s">
        <v>7334</v>
      </c>
      <c r="G367" t="s">
        <v>74</v>
      </c>
      <c r="H367" t="s">
        <v>74</v>
      </c>
      <c r="I367" t="s">
        <v>7335</v>
      </c>
      <c r="J367" t="s">
        <v>7336</v>
      </c>
      <c r="K367" t="s">
        <v>74</v>
      </c>
      <c r="L367" t="s">
        <v>74</v>
      </c>
      <c r="M367" t="s">
        <v>78</v>
      </c>
      <c r="N367" t="s">
        <v>79</v>
      </c>
      <c r="O367" t="s">
        <v>74</v>
      </c>
      <c r="P367" t="s">
        <v>74</v>
      </c>
      <c r="Q367" t="s">
        <v>74</v>
      </c>
      <c r="R367" t="s">
        <v>74</v>
      </c>
      <c r="S367" t="s">
        <v>74</v>
      </c>
      <c r="T367" t="s">
        <v>7337</v>
      </c>
      <c r="U367" t="s">
        <v>7338</v>
      </c>
      <c r="V367" t="s">
        <v>7339</v>
      </c>
      <c r="W367" t="s">
        <v>7340</v>
      </c>
      <c r="X367" t="s">
        <v>7341</v>
      </c>
      <c r="Y367" t="s">
        <v>7342</v>
      </c>
      <c r="Z367" t="s">
        <v>7343</v>
      </c>
      <c r="AA367" t="s">
        <v>7344</v>
      </c>
      <c r="AB367" t="s">
        <v>74</v>
      </c>
      <c r="AC367" t="s">
        <v>7345</v>
      </c>
      <c r="AD367" t="s">
        <v>7346</v>
      </c>
      <c r="AE367" t="s">
        <v>7347</v>
      </c>
      <c r="AF367" t="s">
        <v>74</v>
      </c>
      <c r="AG367">
        <v>44</v>
      </c>
      <c r="AH367">
        <v>19</v>
      </c>
      <c r="AI367">
        <v>21</v>
      </c>
      <c r="AJ367">
        <v>25</v>
      </c>
      <c r="AK367">
        <v>122</v>
      </c>
      <c r="AL367" t="s">
        <v>7321</v>
      </c>
      <c r="AM367" t="s">
        <v>7322</v>
      </c>
      <c r="AN367" t="s">
        <v>7323</v>
      </c>
      <c r="AO367" t="s">
        <v>7348</v>
      </c>
      <c r="AP367" t="s">
        <v>7349</v>
      </c>
      <c r="AQ367" t="s">
        <v>74</v>
      </c>
      <c r="AR367" t="s">
        <v>7350</v>
      </c>
      <c r="AS367" t="s">
        <v>7351</v>
      </c>
      <c r="AT367" t="s">
        <v>2091</v>
      </c>
      <c r="AU367">
        <v>2020</v>
      </c>
      <c r="AV367">
        <v>29</v>
      </c>
      <c r="AW367">
        <v>3</v>
      </c>
      <c r="AX367" t="s">
        <v>74</v>
      </c>
      <c r="AY367" t="s">
        <v>74</v>
      </c>
      <c r="AZ367" t="s">
        <v>74</v>
      </c>
      <c r="BA367" t="s">
        <v>74</v>
      </c>
      <c r="BB367">
        <v>279</v>
      </c>
      <c r="BC367">
        <v>292</v>
      </c>
      <c r="BD367" t="s">
        <v>74</v>
      </c>
      <c r="BE367" t="s">
        <v>7352</v>
      </c>
      <c r="BF367" t="str">
        <f>HYPERLINK("http://dx.doi.org/10.1080/10498850.2020.1723764","http://dx.doi.org/10.1080/10498850.2020.1723764")</f>
        <v>http://dx.doi.org/10.1080/10498850.2020.1723764</v>
      </c>
      <c r="BG367" t="s">
        <v>74</v>
      </c>
      <c r="BH367" t="s">
        <v>5744</v>
      </c>
      <c r="BI367">
        <v>14</v>
      </c>
      <c r="BJ367" t="s">
        <v>7353</v>
      </c>
      <c r="BK367" t="s">
        <v>103</v>
      </c>
      <c r="BL367" t="s">
        <v>7353</v>
      </c>
      <c r="BM367" t="s">
        <v>7354</v>
      </c>
      <c r="BN367" t="s">
        <v>74</v>
      </c>
      <c r="BO367" t="s">
        <v>74</v>
      </c>
      <c r="BP367" t="s">
        <v>74</v>
      </c>
      <c r="BQ367" t="s">
        <v>74</v>
      </c>
      <c r="BR367" t="s">
        <v>106</v>
      </c>
      <c r="BS367" t="s">
        <v>7355</v>
      </c>
      <c r="BT367" t="str">
        <f>HYPERLINK("https%3A%2F%2Fwww.webofscience.com%2Fwos%2Fwoscc%2Ffull-record%2FWOS:000513415500001","View Full Record in Web of Science")</f>
        <v>View Full Record in Web of Science</v>
      </c>
    </row>
    <row r="368" spans="1:72" x14ac:dyDescent="0.15">
      <c r="A368" t="s">
        <v>72</v>
      </c>
      <c r="B368" t="s">
        <v>7356</v>
      </c>
      <c r="C368" t="s">
        <v>74</v>
      </c>
      <c r="D368" t="s">
        <v>74</v>
      </c>
      <c r="E368" t="s">
        <v>74</v>
      </c>
      <c r="F368" t="s">
        <v>7357</v>
      </c>
      <c r="G368" t="s">
        <v>74</v>
      </c>
      <c r="H368" t="s">
        <v>74</v>
      </c>
      <c r="I368" t="s">
        <v>7358</v>
      </c>
      <c r="J368" t="s">
        <v>766</v>
      </c>
      <c r="K368" t="s">
        <v>74</v>
      </c>
      <c r="L368" t="s">
        <v>74</v>
      </c>
      <c r="M368" t="s">
        <v>78</v>
      </c>
      <c r="N368" t="s">
        <v>79</v>
      </c>
      <c r="O368" t="s">
        <v>74</v>
      </c>
      <c r="P368" t="s">
        <v>74</v>
      </c>
      <c r="Q368" t="s">
        <v>74</v>
      </c>
      <c r="R368" t="s">
        <v>74</v>
      </c>
      <c r="S368" t="s">
        <v>74</v>
      </c>
      <c r="T368" t="s">
        <v>7359</v>
      </c>
      <c r="U368" t="s">
        <v>7360</v>
      </c>
      <c r="V368" t="s">
        <v>7361</v>
      </c>
      <c r="W368" t="s">
        <v>7362</v>
      </c>
      <c r="X368" t="s">
        <v>7363</v>
      </c>
      <c r="Y368" t="s">
        <v>7364</v>
      </c>
      <c r="Z368" t="s">
        <v>7365</v>
      </c>
      <c r="AA368" t="s">
        <v>7366</v>
      </c>
      <c r="AB368" t="s">
        <v>7367</v>
      </c>
      <c r="AC368" t="s">
        <v>7368</v>
      </c>
      <c r="AD368" t="s">
        <v>7369</v>
      </c>
      <c r="AE368" t="s">
        <v>7370</v>
      </c>
      <c r="AF368" t="s">
        <v>74</v>
      </c>
      <c r="AG368">
        <v>188</v>
      </c>
      <c r="AH368">
        <v>14</v>
      </c>
      <c r="AI368">
        <v>15</v>
      </c>
      <c r="AJ368">
        <v>5</v>
      </c>
      <c r="AK368">
        <v>58</v>
      </c>
      <c r="AL368" t="s">
        <v>211</v>
      </c>
      <c r="AM368" t="s">
        <v>212</v>
      </c>
      <c r="AN368" t="s">
        <v>213</v>
      </c>
      <c r="AO368" t="s">
        <v>779</v>
      </c>
      <c r="AP368" t="s">
        <v>780</v>
      </c>
      <c r="AQ368" t="s">
        <v>74</v>
      </c>
      <c r="AR368" t="s">
        <v>781</v>
      </c>
      <c r="AS368" t="s">
        <v>782</v>
      </c>
      <c r="AT368" t="s">
        <v>128</v>
      </c>
      <c r="AU368">
        <v>2020</v>
      </c>
      <c r="AV368">
        <v>26</v>
      </c>
      <c r="AW368">
        <v>4</v>
      </c>
      <c r="AX368" t="s">
        <v>74</v>
      </c>
      <c r="AY368" t="s">
        <v>74</v>
      </c>
      <c r="AZ368" t="s">
        <v>74</v>
      </c>
      <c r="BA368" t="s">
        <v>74</v>
      </c>
      <c r="BB368">
        <v>2161</v>
      </c>
      <c r="BC368">
        <v>2180</v>
      </c>
      <c r="BD368" t="s">
        <v>74</v>
      </c>
      <c r="BE368" t="s">
        <v>7371</v>
      </c>
      <c r="BF368" t="str">
        <f>HYPERLINK("http://dx.doi.org/10.1111/gcb.14988","http://dx.doi.org/10.1111/gcb.14988")</f>
        <v>http://dx.doi.org/10.1111/gcb.14988</v>
      </c>
      <c r="BG368" t="s">
        <v>74</v>
      </c>
      <c r="BH368" t="s">
        <v>5744</v>
      </c>
      <c r="BI368">
        <v>20</v>
      </c>
      <c r="BJ368" t="s">
        <v>784</v>
      </c>
      <c r="BK368" t="s">
        <v>103</v>
      </c>
      <c r="BL368" t="s">
        <v>131</v>
      </c>
      <c r="BM368" t="s">
        <v>6100</v>
      </c>
      <c r="BN368">
        <v>31919925</v>
      </c>
      <c r="BO368" t="s">
        <v>694</v>
      </c>
      <c r="BP368" t="s">
        <v>74</v>
      </c>
      <c r="BQ368" t="s">
        <v>74</v>
      </c>
      <c r="BR368" t="s">
        <v>106</v>
      </c>
      <c r="BS368" t="s">
        <v>7372</v>
      </c>
      <c r="BT368" t="str">
        <f>HYPERLINK("https%3A%2F%2Fwww.webofscience.com%2Fwos%2Fwoscc%2Ffull-record%2FWOS:000512195000001","View Full Record in Web of Science")</f>
        <v>View Full Record in Web of Science</v>
      </c>
    </row>
    <row r="369" spans="1:72" x14ac:dyDescent="0.15">
      <c r="A369" t="s">
        <v>72</v>
      </c>
      <c r="B369" t="s">
        <v>7373</v>
      </c>
      <c r="C369" t="s">
        <v>74</v>
      </c>
      <c r="D369" t="s">
        <v>74</v>
      </c>
      <c r="E369" t="s">
        <v>74</v>
      </c>
      <c r="F369" t="s">
        <v>7374</v>
      </c>
      <c r="G369" t="s">
        <v>74</v>
      </c>
      <c r="H369" t="s">
        <v>74</v>
      </c>
      <c r="I369" t="s">
        <v>7375</v>
      </c>
      <c r="J369" t="s">
        <v>1179</v>
      </c>
      <c r="K369" t="s">
        <v>74</v>
      </c>
      <c r="L369" t="s">
        <v>74</v>
      </c>
      <c r="M369" t="s">
        <v>78</v>
      </c>
      <c r="N369" t="s">
        <v>79</v>
      </c>
      <c r="O369" t="s">
        <v>74</v>
      </c>
      <c r="P369" t="s">
        <v>74</v>
      </c>
      <c r="Q369" t="s">
        <v>74</v>
      </c>
      <c r="R369" t="s">
        <v>74</v>
      </c>
      <c r="S369" t="s">
        <v>74</v>
      </c>
      <c r="T369" t="s">
        <v>7376</v>
      </c>
      <c r="U369" t="s">
        <v>7377</v>
      </c>
      <c r="V369" t="s">
        <v>7378</v>
      </c>
      <c r="W369" t="s">
        <v>7379</v>
      </c>
      <c r="X369" t="s">
        <v>7380</v>
      </c>
      <c r="Y369" t="s">
        <v>7381</v>
      </c>
      <c r="Z369" t="s">
        <v>7382</v>
      </c>
      <c r="AA369" t="s">
        <v>7383</v>
      </c>
      <c r="AB369" t="s">
        <v>7384</v>
      </c>
      <c r="AC369" t="s">
        <v>7385</v>
      </c>
      <c r="AD369" t="s">
        <v>6428</v>
      </c>
      <c r="AE369" t="s">
        <v>7386</v>
      </c>
      <c r="AF369" t="s">
        <v>74</v>
      </c>
      <c r="AG369">
        <v>79</v>
      </c>
      <c r="AH369">
        <v>16</v>
      </c>
      <c r="AI369">
        <v>23</v>
      </c>
      <c r="AJ369">
        <v>13</v>
      </c>
      <c r="AK369">
        <v>115</v>
      </c>
      <c r="AL369" t="s">
        <v>289</v>
      </c>
      <c r="AM369" t="s">
        <v>290</v>
      </c>
      <c r="AN369" t="s">
        <v>291</v>
      </c>
      <c r="AO369" t="s">
        <v>1191</v>
      </c>
      <c r="AP369" t="s">
        <v>1192</v>
      </c>
      <c r="AQ369" t="s">
        <v>74</v>
      </c>
      <c r="AR369" t="s">
        <v>1193</v>
      </c>
      <c r="AS369" t="s">
        <v>1194</v>
      </c>
      <c r="AT369" t="s">
        <v>7387</v>
      </c>
      <c r="AU369">
        <v>2020</v>
      </c>
      <c r="AV369">
        <v>703</v>
      </c>
      <c r="AW369" t="s">
        <v>74</v>
      </c>
      <c r="AX369" t="s">
        <v>74</v>
      </c>
      <c r="AY369" t="s">
        <v>74</v>
      </c>
      <c r="AZ369" t="s">
        <v>74</v>
      </c>
      <c r="BA369" t="s">
        <v>74</v>
      </c>
      <c r="BB369" t="s">
        <v>74</v>
      </c>
      <c r="BC369" t="s">
        <v>74</v>
      </c>
      <c r="BD369">
        <v>135591</v>
      </c>
      <c r="BE369" t="s">
        <v>7388</v>
      </c>
      <c r="BF369" t="str">
        <f>HYPERLINK("http://dx.doi.org/10.1016/j.scitotenv.2019.135591","http://dx.doi.org/10.1016/j.scitotenv.2019.135591")</f>
        <v>http://dx.doi.org/10.1016/j.scitotenv.2019.135591</v>
      </c>
      <c r="BG369" t="s">
        <v>74</v>
      </c>
      <c r="BH369" t="s">
        <v>74</v>
      </c>
      <c r="BI369">
        <v>7</v>
      </c>
      <c r="BJ369" t="s">
        <v>1196</v>
      </c>
      <c r="BK369" t="s">
        <v>103</v>
      </c>
      <c r="BL369" t="s">
        <v>219</v>
      </c>
      <c r="BM369" t="s">
        <v>7389</v>
      </c>
      <c r="BN369">
        <v>31767317</v>
      </c>
      <c r="BO369" t="s">
        <v>74</v>
      </c>
      <c r="BP369" t="s">
        <v>74</v>
      </c>
      <c r="BQ369" t="s">
        <v>74</v>
      </c>
      <c r="BR369" t="s">
        <v>106</v>
      </c>
      <c r="BS369" t="s">
        <v>7390</v>
      </c>
      <c r="BT369" t="str">
        <f>HYPERLINK("https%3A%2F%2Fwww.webofscience.com%2Fwos%2Fwoscc%2Ffull-record%2FWOS:000505924300190","View Full Record in Web of Science")</f>
        <v>View Full Record in Web of Science</v>
      </c>
    </row>
    <row r="370" spans="1:72" x14ac:dyDescent="0.15">
      <c r="A370" t="s">
        <v>72</v>
      </c>
      <c r="B370" t="s">
        <v>7391</v>
      </c>
      <c r="C370" t="s">
        <v>74</v>
      </c>
      <c r="D370" t="s">
        <v>74</v>
      </c>
      <c r="E370" t="s">
        <v>74</v>
      </c>
      <c r="F370" t="s">
        <v>7392</v>
      </c>
      <c r="G370" t="s">
        <v>74</v>
      </c>
      <c r="H370" t="s">
        <v>74</v>
      </c>
      <c r="I370" t="s">
        <v>7393</v>
      </c>
      <c r="J370" t="s">
        <v>6521</v>
      </c>
      <c r="K370" t="s">
        <v>74</v>
      </c>
      <c r="L370" t="s">
        <v>74</v>
      </c>
      <c r="M370" t="s">
        <v>78</v>
      </c>
      <c r="N370" t="s">
        <v>79</v>
      </c>
      <c r="O370" t="s">
        <v>74</v>
      </c>
      <c r="P370" t="s">
        <v>74</v>
      </c>
      <c r="Q370" t="s">
        <v>74</v>
      </c>
      <c r="R370" t="s">
        <v>74</v>
      </c>
      <c r="S370" t="s">
        <v>74</v>
      </c>
      <c r="T370" t="s">
        <v>7394</v>
      </c>
      <c r="U370" t="s">
        <v>7395</v>
      </c>
      <c r="V370" t="s">
        <v>7396</v>
      </c>
      <c r="W370" t="s">
        <v>7397</v>
      </c>
      <c r="X370" t="s">
        <v>7398</v>
      </c>
      <c r="Y370" t="s">
        <v>7399</v>
      </c>
      <c r="Z370" t="s">
        <v>7400</v>
      </c>
      <c r="AA370" t="s">
        <v>74</v>
      </c>
      <c r="AB370" t="s">
        <v>7401</v>
      </c>
      <c r="AC370" t="s">
        <v>7402</v>
      </c>
      <c r="AD370" t="s">
        <v>7403</v>
      </c>
      <c r="AE370" t="s">
        <v>7404</v>
      </c>
      <c r="AF370" t="s">
        <v>74</v>
      </c>
      <c r="AG370">
        <v>66</v>
      </c>
      <c r="AH370">
        <v>1</v>
      </c>
      <c r="AI370">
        <v>2</v>
      </c>
      <c r="AJ370">
        <v>0</v>
      </c>
      <c r="AK370">
        <v>11</v>
      </c>
      <c r="AL370" t="s">
        <v>211</v>
      </c>
      <c r="AM370" t="s">
        <v>212</v>
      </c>
      <c r="AN370" t="s">
        <v>213</v>
      </c>
      <c r="AO370" t="s">
        <v>6532</v>
      </c>
      <c r="AP370" t="s">
        <v>6533</v>
      </c>
      <c r="AQ370" t="s">
        <v>74</v>
      </c>
      <c r="AR370" t="s">
        <v>6534</v>
      </c>
      <c r="AS370" t="s">
        <v>6535</v>
      </c>
      <c r="AT370" t="s">
        <v>2912</v>
      </c>
      <c r="AU370">
        <v>2020</v>
      </c>
      <c r="AV370">
        <v>30</v>
      </c>
      <c r="AW370">
        <v>3</v>
      </c>
      <c r="AX370" t="s">
        <v>74</v>
      </c>
      <c r="AY370" t="s">
        <v>74</v>
      </c>
      <c r="AZ370" t="s">
        <v>74</v>
      </c>
      <c r="BA370" t="s">
        <v>74</v>
      </c>
      <c r="BB370">
        <v>554</v>
      </c>
      <c r="BC370">
        <v>564</v>
      </c>
      <c r="BD370" t="s">
        <v>74</v>
      </c>
      <c r="BE370" t="s">
        <v>7405</v>
      </c>
      <c r="BF370" t="str">
        <f>HYPERLINK("http://dx.doi.org/10.1002/aqc.3240","http://dx.doi.org/10.1002/aqc.3240")</f>
        <v>http://dx.doi.org/10.1002/aqc.3240</v>
      </c>
      <c r="BG370" t="s">
        <v>74</v>
      </c>
      <c r="BH370" t="s">
        <v>5744</v>
      </c>
      <c r="BI370">
        <v>11</v>
      </c>
      <c r="BJ370" t="s">
        <v>6537</v>
      </c>
      <c r="BK370" t="s">
        <v>103</v>
      </c>
      <c r="BL370" t="s">
        <v>6538</v>
      </c>
      <c r="BM370" t="s">
        <v>6539</v>
      </c>
      <c r="BN370" t="s">
        <v>74</v>
      </c>
      <c r="BO370" t="s">
        <v>74</v>
      </c>
      <c r="BP370" t="s">
        <v>74</v>
      </c>
      <c r="BQ370" t="s">
        <v>74</v>
      </c>
      <c r="BR370" t="s">
        <v>106</v>
      </c>
      <c r="BS370" t="s">
        <v>7406</v>
      </c>
      <c r="BT370" t="str">
        <f>HYPERLINK("https%3A%2F%2Fwww.webofscience.com%2Fwos%2Fwoscc%2Ffull-record%2FWOS:000511652900001","View Full Record in Web of Science")</f>
        <v>View Full Record in Web of Science</v>
      </c>
    </row>
    <row r="371" spans="1:72" x14ac:dyDescent="0.15">
      <c r="A371" t="s">
        <v>72</v>
      </c>
      <c r="B371" t="s">
        <v>7407</v>
      </c>
      <c r="C371" t="s">
        <v>74</v>
      </c>
      <c r="D371" t="s">
        <v>74</v>
      </c>
      <c r="E371" t="s">
        <v>74</v>
      </c>
      <c r="F371" t="s">
        <v>7408</v>
      </c>
      <c r="G371" t="s">
        <v>74</v>
      </c>
      <c r="H371" t="s">
        <v>74</v>
      </c>
      <c r="I371" t="s">
        <v>7409</v>
      </c>
      <c r="J371" t="s">
        <v>645</v>
      </c>
      <c r="K371" t="s">
        <v>74</v>
      </c>
      <c r="L371" t="s">
        <v>74</v>
      </c>
      <c r="M371" t="s">
        <v>78</v>
      </c>
      <c r="N371" t="s">
        <v>79</v>
      </c>
      <c r="O371" t="s">
        <v>74</v>
      </c>
      <c r="P371" t="s">
        <v>74</v>
      </c>
      <c r="Q371" t="s">
        <v>74</v>
      </c>
      <c r="R371" t="s">
        <v>74</v>
      </c>
      <c r="S371" t="s">
        <v>74</v>
      </c>
      <c r="T371" t="s">
        <v>7410</v>
      </c>
      <c r="U371" t="s">
        <v>7411</v>
      </c>
      <c r="V371" t="s">
        <v>7412</v>
      </c>
      <c r="W371" t="s">
        <v>7413</v>
      </c>
      <c r="X371" t="s">
        <v>7414</v>
      </c>
      <c r="Y371" t="s">
        <v>7415</v>
      </c>
      <c r="Z371" t="s">
        <v>74</v>
      </c>
      <c r="AA371" t="s">
        <v>7416</v>
      </c>
      <c r="AB371" t="s">
        <v>7417</v>
      </c>
      <c r="AC371" t="s">
        <v>7418</v>
      </c>
      <c r="AD371" t="s">
        <v>7419</v>
      </c>
      <c r="AE371" t="s">
        <v>7420</v>
      </c>
      <c r="AF371" t="s">
        <v>74</v>
      </c>
      <c r="AG371">
        <v>159</v>
      </c>
      <c r="AH371">
        <v>63</v>
      </c>
      <c r="AI371">
        <v>65</v>
      </c>
      <c r="AJ371">
        <v>7</v>
      </c>
      <c r="AK371">
        <v>48</v>
      </c>
      <c r="AL371" t="s">
        <v>658</v>
      </c>
      <c r="AM371" t="s">
        <v>659</v>
      </c>
      <c r="AN371" t="s">
        <v>660</v>
      </c>
      <c r="AO371" t="s">
        <v>74</v>
      </c>
      <c r="AP371" t="s">
        <v>661</v>
      </c>
      <c r="AQ371" t="s">
        <v>74</v>
      </c>
      <c r="AR371" t="s">
        <v>662</v>
      </c>
      <c r="AS371" t="s">
        <v>663</v>
      </c>
      <c r="AT371" t="s">
        <v>7421</v>
      </c>
      <c r="AU371">
        <v>2020</v>
      </c>
      <c r="AV371">
        <v>11</v>
      </c>
      <c r="AW371" t="s">
        <v>74</v>
      </c>
      <c r="AX371" t="s">
        <v>74</v>
      </c>
      <c r="AY371" t="s">
        <v>74</v>
      </c>
      <c r="AZ371" t="s">
        <v>74</v>
      </c>
      <c r="BA371" t="s">
        <v>74</v>
      </c>
      <c r="BB371" t="s">
        <v>74</v>
      </c>
      <c r="BC371" t="s">
        <v>74</v>
      </c>
      <c r="BD371">
        <v>126</v>
      </c>
      <c r="BE371" t="s">
        <v>7422</v>
      </c>
      <c r="BF371" t="str">
        <f>HYPERLINK("http://dx.doi.org/10.3389/fmicb.2020.00126","http://dx.doi.org/10.3389/fmicb.2020.00126")</f>
        <v>http://dx.doi.org/10.3389/fmicb.2020.00126</v>
      </c>
      <c r="BG371" t="s">
        <v>74</v>
      </c>
      <c r="BH371" t="s">
        <v>74</v>
      </c>
      <c r="BI371">
        <v>19</v>
      </c>
      <c r="BJ371" t="s">
        <v>273</v>
      </c>
      <c r="BK371" t="s">
        <v>103</v>
      </c>
      <c r="BL371" t="s">
        <v>273</v>
      </c>
      <c r="BM371" t="s">
        <v>7423</v>
      </c>
      <c r="BN371">
        <v>32117148</v>
      </c>
      <c r="BO371" t="s">
        <v>1359</v>
      </c>
      <c r="BP371" t="s">
        <v>74</v>
      </c>
      <c r="BQ371" t="s">
        <v>74</v>
      </c>
      <c r="BR371" t="s">
        <v>106</v>
      </c>
      <c r="BS371" t="s">
        <v>7424</v>
      </c>
      <c r="BT371" t="str">
        <f>HYPERLINK("https%3A%2F%2Fwww.webofscience.com%2Fwos%2Fwoscc%2Ffull-record%2FWOS:000517601900001","View Full Record in Web of Science")</f>
        <v>View Full Record in Web of Science</v>
      </c>
    </row>
    <row r="372" spans="1:72" x14ac:dyDescent="0.15">
      <c r="A372" t="s">
        <v>72</v>
      </c>
      <c r="B372" t="s">
        <v>7425</v>
      </c>
      <c r="C372" t="s">
        <v>74</v>
      </c>
      <c r="D372" t="s">
        <v>74</v>
      </c>
      <c r="E372" t="s">
        <v>74</v>
      </c>
      <c r="F372" t="s">
        <v>7426</v>
      </c>
      <c r="G372" t="s">
        <v>74</v>
      </c>
      <c r="H372" t="s">
        <v>74</v>
      </c>
      <c r="I372" t="s">
        <v>7427</v>
      </c>
      <c r="J372" t="s">
        <v>7428</v>
      </c>
      <c r="K372" t="s">
        <v>74</v>
      </c>
      <c r="L372" t="s">
        <v>74</v>
      </c>
      <c r="M372" t="s">
        <v>78</v>
      </c>
      <c r="N372" t="s">
        <v>79</v>
      </c>
      <c r="O372" t="s">
        <v>74</v>
      </c>
      <c r="P372" t="s">
        <v>74</v>
      </c>
      <c r="Q372" t="s">
        <v>74</v>
      </c>
      <c r="R372" t="s">
        <v>74</v>
      </c>
      <c r="S372" t="s">
        <v>74</v>
      </c>
      <c r="T372" t="s">
        <v>7429</v>
      </c>
      <c r="U372" t="s">
        <v>7430</v>
      </c>
      <c r="V372" t="s">
        <v>7431</v>
      </c>
      <c r="W372" t="s">
        <v>7432</v>
      </c>
      <c r="X372" t="s">
        <v>7433</v>
      </c>
      <c r="Y372" t="s">
        <v>7434</v>
      </c>
      <c r="Z372" t="s">
        <v>7435</v>
      </c>
      <c r="AA372" t="s">
        <v>7436</v>
      </c>
      <c r="AB372" t="s">
        <v>7437</v>
      </c>
      <c r="AC372" t="s">
        <v>7438</v>
      </c>
      <c r="AD372" t="s">
        <v>7439</v>
      </c>
      <c r="AE372" t="s">
        <v>7440</v>
      </c>
      <c r="AF372" t="s">
        <v>74</v>
      </c>
      <c r="AG372">
        <v>76</v>
      </c>
      <c r="AH372">
        <v>6</v>
      </c>
      <c r="AI372">
        <v>6</v>
      </c>
      <c r="AJ372">
        <v>0</v>
      </c>
      <c r="AK372">
        <v>11</v>
      </c>
      <c r="AL372" t="s">
        <v>2627</v>
      </c>
      <c r="AM372" t="s">
        <v>2628</v>
      </c>
      <c r="AN372" t="s">
        <v>2629</v>
      </c>
      <c r="AO372" t="s">
        <v>7441</v>
      </c>
      <c r="AP372" t="s">
        <v>7442</v>
      </c>
      <c r="AQ372" t="s">
        <v>74</v>
      </c>
      <c r="AR372" t="s">
        <v>7443</v>
      </c>
      <c r="AS372" t="s">
        <v>7444</v>
      </c>
      <c r="AT372" t="s">
        <v>7421</v>
      </c>
      <c r="AU372">
        <v>2020</v>
      </c>
      <c r="AV372">
        <v>32</v>
      </c>
      <c r="AW372">
        <v>2</v>
      </c>
      <c r="AX372" t="s">
        <v>74</v>
      </c>
      <c r="AY372" t="s">
        <v>74</v>
      </c>
      <c r="AZ372" t="s">
        <v>74</v>
      </c>
      <c r="BA372" t="s">
        <v>74</v>
      </c>
      <c r="BB372">
        <v>164</v>
      </c>
      <c r="BC372">
        <v>173</v>
      </c>
      <c r="BD372" t="s">
        <v>74</v>
      </c>
      <c r="BE372" t="s">
        <v>7445</v>
      </c>
      <c r="BF372" t="str">
        <f>HYPERLINK("http://dx.doi.org/10.1080/08912963.2018.1472255","http://dx.doi.org/10.1080/08912963.2018.1472255")</f>
        <v>http://dx.doi.org/10.1080/08912963.2018.1472255</v>
      </c>
      <c r="BG372" t="s">
        <v>74</v>
      </c>
      <c r="BH372" t="s">
        <v>74</v>
      </c>
      <c r="BI372">
        <v>10</v>
      </c>
      <c r="BJ372" t="s">
        <v>7446</v>
      </c>
      <c r="BK372" t="s">
        <v>103</v>
      </c>
      <c r="BL372" t="s">
        <v>7447</v>
      </c>
      <c r="BM372" t="s">
        <v>7448</v>
      </c>
      <c r="BN372" t="s">
        <v>74</v>
      </c>
      <c r="BO372" t="s">
        <v>74</v>
      </c>
      <c r="BP372" t="s">
        <v>74</v>
      </c>
      <c r="BQ372" t="s">
        <v>74</v>
      </c>
      <c r="BR372" t="s">
        <v>106</v>
      </c>
      <c r="BS372" t="s">
        <v>7449</v>
      </c>
      <c r="BT372" t="str">
        <f>HYPERLINK("https%3A%2F%2Fwww.webofscience.com%2Fwos%2Fwoscc%2Ffull-record%2FWOS:000515549400003","View Full Record in Web of Science")</f>
        <v>View Full Record in Web of Science</v>
      </c>
    </row>
    <row r="373" spans="1:72" x14ac:dyDescent="0.15">
      <c r="A373" t="s">
        <v>72</v>
      </c>
      <c r="B373" t="s">
        <v>7450</v>
      </c>
      <c r="C373" t="s">
        <v>74</v>
      </c>
      <c r="D373" t="s">
        <v>74</v>
      </c>
      <c r="E373" t="s">
        <v>74</v>
      </c>
      <c r="F373" t="s">
        <v>7451</v>
      </c>
      <c r="G373" t="s">
        <v>74</v>
      </c>
      <c r="H373" t="s">
        <v>74</v>
      </c>
      <c r="I373" t="s">
        <v>7452</v>
      </c>
      <c r="J373" t="s">
        <v>1291</v>
      </c>
      <c r="K373" t="s">
        <v>74</v>
      </c>
      <c r="L373" t="s">
        <v>74</v>
      </c>
      <c r="M373" t="s">
        <v>78</v>
      </c>
      <c r="N373" t="s">
        <v>79</v>
      </c>
      <c r="O373" t="s">
        <v>74</v>
      </c>
      <c r="P373" t="s">
        <v>74</v>
      </c>
      <c r="Q373" t="s">
        <v>74</v>
      </c>
      <c r="R373" t="s">
        <v>74</v>
      </c>
      <c r="S373" t="s">
        <v>74</v>
      </c>
      <c r="T373" t="s">
        <v>74</v>
      </c>
      <c r="U373" t="s">
        <v>7453</v>
      </c>
      <c r="V373" t="s">
        <v>7454</v>
      </c>
      <c r="W373" t="s">
        <v>7455</v>
      </c>
      <c r="X373" t="s">
        <v>7456</v>
      </c>
      <c r="Y373" t="s">
        <v>7457</v>
      </c>
      <c r="Z373" t="s">
        <v>7458</v>
      </c>
      <c r="AA373" t="s">
        <v>7459</v>
      </c>
      <c r="AB373" t="s">
        <v>7460</v>
      </c>
      <c r="AC373" t="s">
        <v>7461</v>
      </c>
      <c r="AD373" t="s">
        <v>7462</v>
      </c>
      <c r="AE373" t="s">
        <v>7463</v>
      </c>
      <c r="AF373" t="s">
        <v>74</v>
      </c>
      <c r="AG373">
        <v>56</v>
      </c>
      <c r="AH373">
        <v>30</v>
      </c>
      <c r="AI373">
        <v>32</v>
      </c>
      <c r="AJ373">
        <v>2</v>
      </c>
      <c r="AK373">
        <v>14</v>
      </c>
      <c r="AL373" t="s">
        <v>976</v>
      </c>
      <c r="AM373" t="s">
        <v>977</v>
      </c>
      <c r="AN373" t="s">
        <v>978</v>
      </c>
      <c r="AO373" t="s">
        <v>1303</v>
      </c>
      <c r="AP373" t="s">
        <v>1304</v>
      </c>
      <c r="AQ373" t="s">
        <v>74</v>
      </c>
      <c r="AR373" t="s">
        <v>1291</v>
      </c>
      <c r="AS373" t="s">
        <v>1305</v>
      </c>
      <c r="AT373" t="s">
        <v>7421</v>
      </c>
      <c r="AU373">
        <v>2020</v>
      </c>
      <c r="AV373">
        <v>14</v>
      </c>
      <c r="AW373">
        <v>2</v>
      </c>
      <c r="AX373" t="s">
        <v>74</v>
      </c>
      <c r="AY373" t="s">
        <v>74</v>
      </c>
      <c r="AZ373" t="s">
        <v>74</v>
      </c>
      <c r="BA373" t="s">
        <v>74</v>
      </c>
      <c r="BB373">
        <v>497</v>
      </c>
      <c r="BC373">
        <v>519</v>
      </c>
      <c r="BD373" t="s">
        <v>74</v>
      </c>
      <c r="BE373" t="s">
        <v>7464</v>
      </c>
      <c r="BF373" t="str">
        <f>HYPERLINK("http://dx.doi.org/10.5194/tc-14-497-2020","http://dx.doi.org/10.5194/tc-14-497-2020")</f>
        <v>http://dx.doi.org/10.5194/tc-14-497-2020</v>
      </c>
      <c r="BG373" t="s">
        <v>74</v>
      </c>
      <c r="BH373" t="s">
        <v>74</v>
      </c>
      <c r="BI373">
        <v>23</v>
      </c>
      <c r="BJ373" t="s">
        <v>1307</v>
      </c>
      <c r="BK373" t="s">
        <v>103</v>
      </c>
      <c r="BL373" t="s">
        <v>1308</v>
      </c>
      <c r="BM373" t="s">
        <v>7465</v>
      </c>
      <c r="BN373" t="s">
        <v>74</v>
      </c>
      <c r="BO373" t="s">
        <v>4810</v>
      </c>
      <c r="BP373" t="s">
        <v>74</v>
      </c>
      <c r="BQ373" t="s">
        <v>74</v>
      </c>
      <c r="BR373" t="s">
        <v>106</v>
      </c>
      <c r="BS373" t="s">
        <v>7466</v>
      </c>
      <c r="BT373" t="str">
        <f>HYPERLINK("https%3A%2F%2Fwww.webofscience.com%2Fwos%2Fwoscc%2Ffull-record%2FWOS:000513070900001","View Full Record in Web of Science")</f>
        <v>View Full Record in Web of Science</v>
      </c>
    </row>
    <row r="374" spans="1:72" x14ac:dyDescent="0.15">
      <c r="A374" t="s">
        <v>72</v>
      </c>
      <c r="B374" t="s">
        <v>7467</v>
      </c>
      <c r="C374" t="s">
        <v>74</v>
      </c>
      <c r="D374" t="s">
        <v>74</v>
      </c>
      <c r="E374" t="s">
        <v>74</v>
      </c>
      <c r="F374" t="s">
        <v>7468</v>
      </c>
      <c r="G374" t="s">
        <v>74</v>
      </c>
      <c r="H374" t="s">
        <v>74</v>
      </c>
      <c r="I374" t="s">
        <v>7469</v>
      </c>
      <c r="J374" t="s">
        <v>7470</v>
      </c>
      <c r="K374" t="s">
        <v>74</v>
      </c>
      <c r="L374" t="s">
        <v>74</v>
      </c>
      <c r="M374" t="s">
        <v>78</v>
      </c>
      <c r="N374" t="s">
        <v>79</v>
      </c>
      <c r="O374" t="s">
        <v>74</v>
      </c>
      <c r="P374" t="s">
        <v>74</v>
      </c>
      <c r="Q374" t="s">
        <v>74</v>
      </c>
      <c r="R374" t="s">
        <v>74</v>
      </c>
      <c r="S374" t="s">
        <v>74</v>
      </c>
      <c r="T374" t="s">
        <v>7471</v>
      </c>
      <c r="U374" t="s">
        <v>7472</v>
      </c>
      <c r="V374" t="s">
        <v>7473</v>
      </c>
      <c r="W374" t="s">
        <v>7474</v>
      </c>
      <c r="X374" t="s">
        <v>7475</v>
      </c>
      <c r="Y374" t="s">
        <v>7476</v>
      </c>
      <c r="Z374" t="s">
        <v>7477</v>
      </c>
      <c r="AA374" t="s">
        <v>7478</v>
      </c>
      <c r="AB374" t="s">
        <v>7479</v>
      </c>
      <c r="AC374" t="s">
        <v>7480</v>
      </c>
      <c r="AD374" t="s">
        <v>7481</v>
      </c>
      <c r="AE374" t="s">
        <v>7482</v>
      </c>
      <c r="AF374" t="s">
        <v>74</v>
      </c>
      <c r="AG374">
        <v>113</v>
      </c>
      <c r="AH374">
        <v>18</v>
      </c>
      <c r="AI374">
        <v>20</v>
      </c>
      <c r="AJ374">
        <v>6</v>
      </c>
      <c r="AK374">
        <v>28</v>
      </c>
      <c r="AL374" t="s">
        <v>1607</v>
      </c>
      <c r="AM374" t="s">
        <v>545</v>
      </c>
      <c r="AN374" t="s">
        <v>1608</v>
      </c>
      <c r="AO374" t="s">
        <v>7483</v>
      </c>
      <c r="AP374" t="s">
        <v>74</v>
      </c>
      <c r="AQ374" t="s">
        <v>74</v>
      </c>
      <c r="AR374" t="s">
        <v>7484</v>
      </c>
      <c r="AS374" t="s">
        <v>7485</v>
      </c>
      <c r="AT374" t="s">
        <v>7421</v>
      </c>
      <c r="AU374">
        <v>2020</v>
      </c>
      <c r="AV374">
        <v>8</v>
      </c>
      <c r="AW374">
        <v>1</v>
      </c>
      <c r="AX374" t="s">
        <v>74</v>
      </c>
      <c r="AY374" t="s">
        <v>74</v>
      </c>
      <c r="AZ374" t="s">
        <v>74</v>
      </c>
      <c r="BA374" t="s">
        <v>74</v>
      </c>
      <c r="BB374" t="s">
        <v>74</v>
      </c>
      <c r="BC374" t="s">
        <v>74</v>
      </c>
      <c r="BD374">
        <v>7</v>
      </c>
      <c r="BE374" t="s">
        <v>7486</v>
      </c>
      <c r="BF374" t="str">
        <f>HYPERLINK("http://dx.doi.org/10.1186/s40462-020-0194-0","http://dx.doi.org/10.1186/s40462-020-0194-0")</f>
        <v>http://dx.doi.org/10.1186/s40462-020-0194-0</v>
      </c>
      <c r="BG374" t="s">
        <v>74</v>
      </c>
      <c r="BH374" t="s">
        <v>74</v>
      </c>
      <c r="BI374">
        <v>17</v>
      </c>
      <c r="BJ374" t="s">
        <v>216</v>
      </c>
      <c r="BK374" t="s">
        <v>103</v>
      </c>
      <c r="BL374" t="s">
        <v>219</v>
      </c>
      <c r="BM374" t="s">
        <v>7487</v>
      </c>
      <c r="BN374">
        <v>32047635</v>
      </c>
      <c r="BO374" t="s">
        <v>1518</v>
      </c>
      <c r="BP374" t="s">
        <v>74</v>
      </c>
      <c r="BQ374" t="s">
        <v>74</v>
      </c>
      <c r="BR374" t="s">
        <v>106</v>
      </c>
      <c r="BS374" t="s">
        <v>7488</v>
      </c>
      <c r="BT374" t="str">
        <f>HYPERLINK("https%3A%2F%2Fwww.webofscience.com%2Fwos%2Fwoscc%2Ffull-record%2FWOS:000512687600001","View Full Record in Web of Science")</f>
        <v>View Full Record in Web of Science</v>
      </c>
    </row>
    <row r="375" spans="1:72" x14ac:dyDescent="0.15">
      <c r="A375" t="s">
        <v>72</v>
      </c>
      <c r="B375" t="s">
        <v>7489</v>
      </c>
      <c r="C375" t="s">
        <v>74</v>
      </c>
      <c r="D375" t="s">
        <v>74</v>
      </c>
      <c r="E375" t="s">
        <v>74</v>
      </c>
      <c r="F375" t="s">
        <v>7490</v>
      </c>
      <c r="G375" t="s">
        <v>74</v>
      </c>
      <c r="H375" t="s">
        <v>74</v>
      </c>
      <c r="I375" t="s">
        <v>7491</v>
      </c>
      <c r="J375" t="s">
        <v>2775</v>
      </c>
      <c r="K375" t="s">
        <v>74</v>
      </c>
      <c r="L375" t="s">
        <v>74</v>
      </c>
      <c r="M375" t="s">
        <v>78</v>
      </c>
      <c r="N375" t="s">
        <v>79</v>
      </c>
      <c r="O375" t="s">
        <v>74</v>
      </c>
      <c r="P375" t="s">
        <v>74</v>
      </c>
      <c r="Q375" t="s">
        <v>74</v>
      </c>
      <c r="R375" t="s">
        <v>74</v>
      </c>
      <c r="S375" t="s">
        <v>74</v>
      </c>
      <c r="T375" t="s">
        <v>74</v>
      </c>
      <c r="U375" t="s">
        <v>7492</v>
      </c>
      <c r="V375" t="s">
        <v>7493</v>
      </c>
      <c r="W375" t="s">
        <v>7494</v>
      </c>
      <c r="X375" t="s">
        <v>7495</v>
      </c>
      <c r="Y375" t="s">
        <v>7496</v>
      </c>
      <c r="Z375" t="s">
        <v>7497</v>
      </c>
      <c r="AA375" t="s">
        <v>7498</v>
      </c>
      <c r="AB375" t="s">
        <v>7499</v>
      </c>
      <c r="AC375" t="s">
        <v>7500</v>
      </c>
      <c r="AD375" t="s">
        <v>7501</v>
      </c>
      <c r="AE375" t="s">
        <v>7502</v>
      </c>
      <c r="AF375" t="s">
        <v>74</v>
      </c>
      <c r="AG375">
        <v>70</v>
      </c>
      <c r="AH375">
        <v>17</v>
      </c>
      <c r="AI375">
        <v>18</v>
      </c>
      <c r="AJ375">
        <v>0</v>
      </c>
      <c r="AK375">
        <v>17</v>
      </c>
      <c r="AL375" t="s">
        <v>2787</v>
      </c>
      <c r="AM375" t="s">
        <v>2788</v>
      </c>
      <c r="AN375" t="s">
        <v>2789</v>
      </c>
      <c r="AO375" t="s">
        <v>2790</v>
      </c>
      <c r="AP375" t="s">
        <v>2791</v>
      </c>
      <c r="AQ375" t="s">
        <v>74</v>
      </c>
      <c r="AR375" t="s">
        <v>2792</v>
      </c>
      <c r="AS375" t="s">
        <v>2793</v>
      </c>
      <c r="AT375" t="s">
        <v>7503</v>
      </c>
      <c r="AU375">
        <v>2020</v>
      </c>
      <c r="AV375">
        <v>167</v>
      </c>
      <c r="AW375">
        <v>3</v>
      </c>
      <c r="AX375" t="s">
        <v>74</v>
      </c>
      <c r="AY375" t="s">
        <v>74</v>
      </c>
      <c r="AZ375" t="s">
        <v>74</v>
      </c>
      <c r="BA375" t="s">
        <v>74</v>
      </c>
      <c r="BB375" t="s">
        <v>74</v>
      </c>
      <c r="BC375" t="s">
        <v>74</v>
      </c>
      <c r="BD375">
        <v>29</v>
      </c>
      <c r="BE375" t="s">
        <v>7504</v>
      </c>
      <c r="BF375" t="str">
        <f>HYPERLINK("http://dx.doi.org/10.1007/s00227-019-3630-1","http://dx.doi.org/10.1007/s00227-019-3630-1")</f>
        <v>http://dx.doi.org/10.1007/s00227-019-3630-1</v>
      </c>
      <c r="BG375" t="s">
        <v>74</v>
      </c>
      <c r="BH375" t="s">
        <v>74</v>
      </c>
      <c r="BI375">
        <v>12</v>
      </c>
      <c r="BJ375" t="s">
        <v>344</v>
      </c>
      <c r="BK375" t="s">
        <v>103</v>
      </c>
      <c r="BL375" t="s">
        <v>344</v>
      </c>
      <c r="BM375" t="s">
        <v>7505</v>
      </c>
      <c r="BN375" t="s">
        <v>74</v>
      </c>
      <c r="BO375" t="s">
        <v>74</v>
      </c>
      <c r="BP375" t="s">
        <v>74</v>
      </c>
      <c r="BQ375" t="s">
        <v>74</v>
      </c>
      <c r="BR375" t="s">
        <v>106</v>
      </c>
      <c r="BS375" t="s">
        <v>7506</v>
      </c>
      <c r="BT375" t="str">
        <f>HYPERLINK("https%3A%2F%2Fwww.webofscience.com%2Fwos%2Fwoscc%2Ffull-record%2FWOS:000520974400010","View Full Record in Web of Science")</f>
        <v>View Full Record in Web of Science</v>
      </c>
    </row>
    <row r="376" spans="1:72" x14ac:dyDescent="0.15">
      <c r="A376" t="s">
        <v>72</v>
      </c>
      <c r="B376" t="s">
        <v>7507</v>
      </c>
      <c r="C376" t="s">
        <v>74</v>
      </c>
      <c r="D376" t="s">
        <v>74</v>
      </c>
      <c r="E376" t="s">
        <v>74</v>
      </c>
      <c r="F376" t="s">
        <v>7508</v>
      </c>
      <c r="G376" t="s">
        <v>74</v>
      </c>
      <c r="H376" t="s">
        <v>74</v>
      </c>
      <c r="I376" t="s">
        <v>7509</v>
      </c>
      <c r="J376" t="s">
        <v>7510</v>
      </c>
      <c r="K376" t="s">
        <v>74</v>
      </c>
      <c r="L376" t="s">
        <v>74</v>
      </c>
      <c r="M376" t="s">
        <v>78</v>
      </c>
      <c r="N376" t="s">
        <v>1434</v>
      </c>
      <c r="O376" t="s">
        <v>74</v>
      </c>
      <c r="P376" t="s">
        <v>74</v>
      </c>
      <c r="Q376" t="s">
        <v>74</v>
      </c>
      <c r="R376" t="s">
        <v>74</v>
      </c>
      <c r="S376" t="s">
        <v>74</v>
      </c>
      <c r="T376" t="s">
        <v>7511</v>
      </c>
      <c r="U376" t="s">
        <v>7512</v>
      </c>
      <c r="V376" t="s">
        <v>7513</v>
      </c>
      <c r="W376" t="s">
        <v>7514</v>
      </c>
      <c r="X376" t="s">
        <v>7515</v>
      </c>
      <c r="Y376" t="s">
        <v>7516</v>
      </c>
      <c r="Z376" t="s">
        <v>7517</v>
      </c>
      <c r="AA376" t="s">
        <v>7518</v>
      </c>
      <c r="AB376" t="s">
        <v>7519</v>
      </c>
      <c r="AC376" t="s">
        <v>7520</v>
      </c>
      <c r="AD376" t="s">
        <v>7521</v>
      </c>
      <c r="AE376" t="s">
        <v>7522</v>
      </c>
      <c r="AF376" t="s">
        <v>74</v>
      </c>
      <c r="AG376">
        <v>155</v>
      </c>
      <c r="AH376">
        <v>35</v>
      </c>
      <c r="AI376">
        <v>36</v>
      </c>
      <c r="AJ376">
        <v>6</v>
      </c>
      <c r="AK376">
        <v>29</v>
      </c>
      <c r="AL376" t="s">
        <v>121</v>
      </c>
      <c r="AM376" t="s">
        <v>122</v>
      </c>
      <c r="AN376" t="s">
        <v>123</v>
      </c>
      <c r="AO376" t="s">
        <v>7523</v>
      </c>
      <c r="AP376" t="s">
        <v>7524</v>
      </c>
      <c r="AQ376" t="s">
        <v>74</v>
      </c>
      <c r="AR376" t="s">
        <v>7525</v>
      </c>
      <c r="AS376" t="s">
        <v>7526</v>
      </c>
      <c r="AT376" t="s">
        <v>7527</v>
      </c>
      <c r="AU376">
        <v>2020</v>
      </c>
      <c r="AV376">
        <v>216</v>
      </c>
      <c r="AW376">
        <v>1</v>
      </c>
      <c r="AX376" t="s">
        <v>74</v>
      </c>
      <c r="AY376" t="s">
        <v>74</v>
      </c>
      <c r="AZ376" t="s">
        <v>74</v>
      </c>
      <c r="BA376" t="s">
        <v>74</v>
      </c>
      <c r="BB376" t="s">
        <v>74</v>
      </c>
      <c r="BC376" t="s">
        <v>74</v>
      </c>
      <c r="BD376">
        <v>15</v>
      </c>
      <c r="BE376" t="s">
        <v>7528</v>
      </c>
      <c r="BF376" t="str">
        <f>HYPERLINK("http://dx.doi.org/10.1007/s11214-020-0637-3","http://dx.doi.org/10.1007/s11214-020-0637-3")</f>
        <v>http://dx.doi.org/10.1007/s11214-020-0637-3</v>
      </c>
      <c r="BG376" t="s">
        <v>74</v>
      </c>
      <c r="BH376" t="s">
        <v>74</v>
      </c>
      <c r="BI376">
        <v>44</v>
      </c>
      <c r="BJ376" t="s">
        <v>102</v>
      </c>
      <c r="BK376" t="s">
        <v>103</v>
      </c>
      <c r="BL376" t="s">
        <v>102</v>
      </c>
      <c r="BM376" t="s">
        <v>7529</v>
      </c>
      <c r="BN376" t="s">
        <v>74</v>
      </c>
      <c r="BO376" t="s">
        <v>1385</v>
      </c>
      <c r="BP376" t="s">
        <v>74</v>
      </c>
      <c r="BQ376" t="s">
        <v>74</v>
      </c>
      <c r="BR376" t="s">
        <v>106</v>
      </c>
      <c r="BS376" t="s">
        <v>7530</v>
      </c>
      <c r="BT376" t="str">
        <f>HYPERLINK("https%3A%2F%2Fwww.webofscience.com%2Fwos%2Fwoscc%2Ffull-record%2FWOS:000519128900001","View Full Record in Web of Science")</f>
        <v>View Full Record in Web of Science</v>
      </c>
    </row>
    <row r="377" spans="1:72" x14ac:dyDescent="0.15">
      <c r="A377" t="s">
        <v>72</v>
      </c>
      <c r="B377" t="s">
        <v>7531</v>
      </c>
      <c r="C377" t="s">
        <v>74</v>
      </c>
      <c r="D377" t="s">
        <v>74</v>
      </c>
      <c r="E377" t="s">
        <v>74</v>
      </c>
      <c r="F377" t="s">
        <v>7532</v>
      </c>
      <c r="G377" t="s">
        <v>74</v>
      </c>
      <c r="H377" t="s">
        <v>74</v>
      </c>
      <c r="I377" t="s">
        <v>7533</v>
      </c>
      <c r="J377" t="s">
        <v>7534</v>
      </c>
      <c r="K377" t="s">
        <v>74</v>
      </c>
      <c r="L377" t="s">
        <v>74</v>
      </c>
      <c r="M377" t="s">
        <v>78</v>
      </c>
      <c r="N377" t="s">
        <v>79</v>
      </c>
      <c r="O377" t="s">
        <v>74</v>
      </c>
      <c r="P377" t="s">
        <v>74</v>
      </c>
      <c r="Q377" t="s">
        <v>74</v>
      </c>
      <c r="R377" t="s">
        <v>74</v>
      </c>
      <c r="S377" t="s">
        <v>74</v>
      </c>
      <c r="T377" t="s">
        <v>7535</v>
      </c>
      <c r="U377" t="s">
        <v>7536</v>
      </c>
      <c r="V377" t="s">
        <v>7537</v>
      </c>
      <c r="W377" t="s">
        <v>7538</v>
      </c>
      <c r="X377" t="s">
        <v>7539</v>
      </c>
      <c r="Y377" t="s">
        <v>7540</v>
      </c>
      <c r="Z377" t="s">
        <v>7541</v>
      </c>
      <c r="AA377" t="s">
        <v>7542</v>
      </c>
      <c r="AB377" t="s">
        <v>7543</v>
      </c>
      <c r="AC377" t="s">
        <v>7544</v>
      </c>
      <c r="AD377" t="s">
        <v>7545</v>
      </c>
      <c r="AE377" t="s">
        <v>7546</v>
      </c>
      <c r="AF377" t="s">
        <v>74</v>
      </c>
      <c r="AG377">
        <v>72</v>
      </c>
      <c r="AH377">
        <v>11</v>
      </c>
      <c r="AI377">
        <v>12</v>
      </c>
      <c r="AJ377">
        <v>0</v>
      </c>
      <c r="AK377">
        <v>10</v>
      </c>
      <c r="AL377" t="s">
        <v>544</v>
      </c>
      <c r="AM377" t="s">
        <v>545</v>
      </c>
      <c r="AN377" t="s">
        <v>546</v>
      </c>
      <c r="AO377" t="s">
        <v>7547</v>
      </c>
      <c r="AP377" t="s">
        <v>7548</v>
      </c>
      <c r="AQ377" t="s">
        <v>74</v>
      </c>
      <c r="AR377" t="s">
        <v>7549</v>
      </c>
      <c r="AS377" t="s">
        <v>7550</v>
      </c>
      <c r="AT377" t="s">
        <v>7527</v>
      </c>
      <c r="AU377">
        <v>2020</v>
      </c>
      <c r="AV377">
        <v>233</v>
      </c>
      <c r="AW377" t="s">
        <v>74</v>
      </c>
      <c r="AX377" t="s">
        <v>74</v>
      </c>
      <c r="AY377" t="s">
        <v>74</v>
      </c>
      <c r="AZ377" t="s">
        <v>74</v>
      </c>
      <c r="BA377" t="s">
        <v>74</v>
      </c>
      <c r="BB377" t="s">
        <v>74</v>
      </c>
      <c r="BC377" t="s">
        <v>74</v>
      </c>
      <c r="BD377">
        <v>106536</v>
      </c>
      <c r="BE377" t="s">
        <v>7551</v>
      </c>
      <c r="BF377" t="str">
        <f>HYPERLINK("http://dx.doi.org/10.1016/j.ecss.2019.106536","http://dx.doi.org/10.1016/j.ecss.2019.106536")</f>
        <v>http://dx.doi.org/10.1016/j.ecss.2019.106536</v>
      </c>
      <c r="BG377" t="s">
        <v>74</v>
      </c>
      <c r="BH377" t="s">
        <v>74</v>
      </c>
      <c r="BI377">
        <v>12</v>
      </c>
      <c r="BJ377" t="s">
        <v>1383</v>
      </c>
      <c r="BK377" t="s">
        <v>103</v>
      </c>
      <c r="BL377" t="s">
        <v>1383</v>
      </c>
      <c r="BM377" t="s">
        <v>7552</v>
      </c>
      <c r="BN377" t="s">
        <v>74</v>
      </c>
      <c r="BO377" t="s">
        <v>74</v>
      </c>
      <c r="BP377" t="s">
        <v>74</v>
      </c>
      <c r="BQ377" t="s">
        <v>74</v>
      </c>
      <c r="BR377" t="s">
        <v>106</v>
      </c>
      <c r="BS377" t="s">
        <v>7553</v>
      </c>
      <c r="BT377" t="str">
        <f>HYPERLINK("https%3A%2F%2Fwww.webofscience.com%2Fwos%2Fwoscc%2Ffull-record%2FWOS:000515445400015","View Full Record in Web of Science")</f>
        <v>View Full Record in Web of Science</v>
      </c>
    </row>
    <row r="378" spans="1:72" x14ac:dyDescent="0.15">
      <c r="A378" t="s">
        <v>72</v>
      </c>
      <c r="B378" t="s">
        <v>7554</v>
      </c>
      <c r="C378" t="s">
        <v>74</v>
      </c>
      <c r="D378" t="s">
        <v>74</v>
      </c>
      <c r="E378" t="s">
        <v>74</v>
      </c>
      <c r="F378" t="s">
        <v>7555</v>
      </c>
      <c r="G378" t="s">
        <v>74</v>
      </c>
      <c r="H378" t="s">
        <v>74</v>
      </c>
      <c r="I378" t="s">
        <v>7556</v>
      </c>
      <c r="J378" t="s">
        <v>964</v>
      </c>
      <c r="K378" t="s">
        <v>74</v>
      </c>
      <c r="L378" t="s">
        <v>74</v>
      </c>
      <c r="M378" t="s">
        <v>78</v>
      </c>
      <c r="N378" t="s">
        <v>79</v>
      </c>
      <c r="O378" t="s">
        <v>74</v>
      </c>
      <c r="P378" t="s">
        <v>74</v>
      </c>
      <c r="Q378" t="s">
        <v>74</v>
      </c>
      <c r="R378" t="s">
        <v>74</v>
      </c>
      <c r="S378" t="s">
        <v>74</v>
      </c>
      <c r="T378" t="s">
        <v>74</v>
      </c>
      <c r="U378" t="s">
        <v>7557</v>
      </c>
      <c r="V378" t="s">
        <v>7558</v>
      </c>
      <c r="W378" t="s">
        <v>7559</v>
      </c>
      <c r="X378" t="s">
        <v>7560</v>
      </c>
      <c r="Y378" t="s">
        <v>7561</v>
      </c>
      <c r="Z378" t="s">
        <v>7562</v>
      </c>
      <c r="AA378" t="s">
        <v>7563</v>
      </c>
      <c r="AB378" t="s">
        <v>7564</v>
      </c>
      <c r="AC378" t="s">
        <v>7565</v>
      </c>
      <c r="AD378" t="s">
        <v>7566</v>
      </c>
      <c r="AE378" t="s">
        <v>7567</v>
      </c>
      <c r="AF378" t="s">
        <v>74</v>
      </c>
      <c r="AG378">
        <v>73</v>
      </c>
      <c r="AH378">
        <v>22</v>
      </c>
      <c r="AI378">
        <v>23</v>
      </c>
      <c r="AJ378">
        <v>2</v>
      </c>
      <c r="AK378">
        <v>16</v>
      </c>
      <c r="AL378" t="s">
        <v>976</v>
      </c>
      <c r="AM378" t="s">
        <v>977</v>
      </c>
      <c r="AN378" t="s">
        <v>978</v>
      </c>
      <c r="AO378" t="s">
        <v>979</v>
      </c>
      <c r="AP378" t="s">
        <v>980</v>
      </c>
      <c r="AQ378" t="s">
        <v>74</v>
      </c>
      <c r="AR378" t="s">
        <v>981</v>
      </c>
      <c r="AS378" t="s">
        <v>982</v>
      </c>
      <c r="AT378" t="s">
        <v>7527</v>
      </c>
      <c r="AU378">
        <v>2020</v>
      </c>
      <c r="AV378">
        <v>20</v>
      </c>
      <c r="AW378">
        <v>3</v>
      </c>
      <c r="AX378" t="s">
        <v>74</v>
      </c>
      <c r="AY378" t="s">
        <v>74</v>
      </c>
      <c r="AZ378" t="s">
        <v>74</v>
      </c>
      <c r="BA378" t="s">
        <v>74</v>
      </c>
      <c r="BB378">
        <v>1341</v>
      </c>
      <c r="BC378">
        <v>1361</v>
      </c>
      <c r="BD378" t="s">
        <v>74</v>
      </c>
      <c r="BE378" t="s">
        <v>7568</v>
      </c>
      <c r="BF378" t="str">
        <f>HYPERLINK("http://dx.doi.org/10.5194/acp-20-1341-2020","http://dx.doi.org/10.5194/acp-20-1341-2020")</f>
        <v>http://dx.doi.org/10.5194/acp-20-1341-2020</v>
      </c>
      <c r="BG378" t="s">
        <v>74</v>
      </c>
      <c r="BH378" t="s">
        <v>74</v>
      </c>
      <c r="BI378">
        <v>21</v>
      </c>
      <c r="BJ378" t="s">
        <v>984</v>
      </c>
      <c r="BK378" t="s">
        <v>103</v>
      </c>
      <c r="BL378" t="s">
        <v>985</v>
      </c>
      <c r="BM378" t="s">
        <v>7569</v>
      </c>
      <c r="BN378" t="s">
        <v>74</v>
      </c>
      <c r="BO378" t="s">
        <v>2074</v>
      </c>
      <c r="BP378" t="s">
        <v>74</v>
      </c>
      <c r="BQ378" t="s">
        <v>74</v>
      </c>
      <c r="BR378" t="s">
        <v>106</v>
      </c>
      <c r="BS378" t="s">
        <v>7570</v>
      </c>
      <c r="BT378" t="str">
        <f>HYPERLINK("https%3A%2F%2Fwww.webofscience.com%2Fwos%2Fwoscc%2Ffull-record%2FWOS:000512999100002","View Full Record in Web of Science")</f>
        <v>View Full Record in Web of Science</v>
      </c>
    </row>
    <row r="379" spans="1:72" x14ac:dyDescent="0.15">
      <c r="A379" t="s">
        <v>72</v>
      </c>
      <c r="B379" t="s">
        <v>7571</v>
      </c>
      <c r="C379" t="s">
        <v>74</v>
      </c>
      <c r="D379" t="s">
        <v>74</v>
      </c>
      <c r="E379" t="s">
        <v>74</v>
      </c>
      <c r="F379" t="s">
        <v>7572</v>
      </c>
      <c r="G379" t="s">
        <v>74</v>
      </c>
      <c r="H379" t="s">
        <v>74</v>
      </c>
      <c r="I379" t="s">
        <v>7573</v>
      </c>
      <c r="J379" t="s">
        <v>7574</v>
      </c>
      <c r="K379" t="s">
        <v>74</v>
      </c>
      <c r="L379" t="s">
        <v>74</v>
      </c>
      <c r="M379" t="s">
        <v>78</v>
      </c>
      <c r="N379" t="s">
        <v>79</v>
      </c>
      <c r="O379" t="s">
        <v>74</v>
      </c>
      <c r="P379" t="s">
        <v>74</v>
      </c>
      <c r="Q379" t="s">
        <v>74</v>
      </c>
      <c r="R379" t="s">
        <v>74</v>
      </c>
      <c r="S379" t="s">
        <v>74</v>
      </c>
      <c r="T379" t="s">
        <v>7575</v>
      </c>
      <c r="U379" t="s">
        <v>7576</v>
      </c>
      <c r="V379" t="s">
        <v>7577</v>
      </c>
      <c r="W379" t="s">
        <v>7578</v>
      </c>
      <c r="X379" t="s">
        <v>7579</v>
      </c>
      <c r="Y379" t="s">
        <v>7580</v>
      </c>
      <c r="Z379" t="s">
        <v>7581</v>
      </c>
      <c r="AA379" t="s">
        <v>7582</v>
      </c>
      <c r="AB379" t="s">
        <v>7583</v>
      </c>
      <c r="AC379" t="s">
        <v>7584</v>
      </c>
      <c r="AD379" t="s">
        <v>7585</v>
      </c>
      <c r="AE379" t="s">
        <v>7586</v>
      </c>
      <c r="AF379" t="s">
        <v>74</v>
      </c>
      <c r="AG379">
        <v>112</v>
      </c>
      <c r="AH379">
        <v>16</v>
      </c>
      <c r="AI379">
        <v>16</v>
      </c>
      <c r="AJ379">
        <v>1</v>
      </c>
      <c r="AK379">
        <v>6</v>
      </c>
      <c r="AL379" t="s">
        <v>211</v>
      </c>
      <c r="AM379" t="s">
        <v>212</v>
      </c>
      <c r="AN379" t="s">
        <v>2548</v>
      </c>
      <c r="AO379" t="s">
        <v>7587</v>
      </c>
      <c r="AP379" t="s">
        <v>7588</v>
      </c>
      <c r="AQ379" t="s">
        <v>74</v>
      </c>
      <c r="AR379" t="s">
        <v>7589</v>
      </c>
      <c r="AS379" t="s">
        <v>7590</v>
      </c>
      <c r="AT379" t="s">
        <v>1635</v>
      </c>
      <c r="AU379">
        <v>2020</v>
      </c>
      <c r="AV379">
        <v>6</v>
      </c>
      <c r="AW379">
        <v>3</v>
      </c>
      <c r="AX379" t="s">
        <v>74</v>
      </c>
      <c r="AY379" t="s">
        <v>74</v>
      </c>
      <c r="AZ379" t="s">
        <v>74</v>
      </c>
      <c r="BA379" t="s">
        <v>74</v>
      </c>
      <c r="BB379">
        <v>349</v>
      </c>
      <c r="BC379">
        <v>383</v>
      </c>
      <c r="BD379" t="s">
        <v>74</v>
      </c>
      <c r="BE379" t="s">
        <v>7591</v>
      </c>
      <c r="BF379" t="str">
        <f>HYPERLINK("http://dx.doi.org/10.1002/spp2.1295","http://dx.doi.org/10.1002/spp2.1295")</f>
        <v>http://dx.doi.org/10.1002/spp2.1295</v>
      </c>
      <c r="BG379" t="s">
        <v>74</v>
      </c>
      <c r="BH379" t="s">
        <v>5744</v>
      </c>
      <c r="BI379">
        <v>35</v>
      </c>
      <c r="BJ379" t="s">
        <v>7592</v>
      </c>
      <c r="BK379" t="s">
        <v>103</v>
      </c>
      <c r="BL379" t="s">
        <v>7592</v>
      </c>
      <c r="BM379" t="s">
        <v>7593</v>
      </c>
      <c r="BN379" t="s">
        <v>74</v>
      </c>
      <c r="BO379" t="s">
        <v>193</v>
      </c>
      <c r="BP379" t="s">
        <v>74</v>
      </c>
      <c r="BQ379" t="s">
        <v>74</v>
      </c>
      <c r="BR379" t="s">
        <v>106</v>
      </c>
      <c r="BS379" t="s">
        <v>7594</v>
      </c>
      <c r="BT379" t="str">
        <f>HYPERLINK("https%3A%2F%2Fwww.webofscience.com%2Fwos%2Fwoscc%2Ffull-record%2FWOS:000512342600001","View Full Record in Web of Science")</f>
        <v>View Full Record in Web of Science</v>
      </c>
    </row>
    <row r="380" spans="1:72" x14ac:dyDescent="0.15">
      <c r="A380" t="s">
        <v>72</v>
      </c>
      <c r="B380" t="s">
        <v>7595</v>
      </c>
      <c r="C380" t="s">
        <v>74</v>
      </c>
      <c r="D380" t="s">
        <v>74</v>
      </c>
      <c r="E380" t="s">
        <v>74</v>
      </c>
      <c r="F380" t="s">
        <v>7596</v>
      </c>
      <c r="G380" t="s">
        <v>74</v>
      </c>
      <c r="H380" t="s">
        <v>74</v>
      </c>
      <c r="I380" t="s">
        <v>7597</v>
      </c>
      <c r="J380" t="s">
        <v>7598</v>
      </c>
      <c r="K380" t="s">
        <v>74</v>
      </c>
      <c r="L380" t="s">
        <v>74</v>
      </c>
      <c r="M380" t="s">
        <v>78</v>
      </c>
      <c r="N380" t="s">
        <v>79</v>
      </c>
      <c r="O380" t="s">
        <v>74</v>
      </c>
      <c r="P380" t="s">
        <v>74</v>
      </c>
      <c r="Q380" t="s">
        <v>74</v>
      </c>
      <c r="R380" t="s">
        <v>74</v>
      </c>
      <c r="S380" t="s">
        <v>74</v>
      </c>
      <c r="T380" t="s">
        <v>7599</v>
      </c>
      <c r="U380" t="s">
        <v>7600</v>
      </c>
      <c r="V380" t="s">
        <v>7601</v>
      </c>
      <c r="W380" t="s">
        <v>7602</v>
      </c>
      <c r="X380" t="s">
        <v>4166</v>
      </c>
      <c r="Y380" t="s">
        <v>7603</v>
      </c>
      <c r="Z380" t="s">
        <v>7604</v>
      </c>
      <c r="AA380" t="s">
        <v>7605</v>
      </c>
      <c r="AB380" t="s">
        <v>7606</v>
      </c>
      <c r="AC380" t="s">
        <v>74</v>
      </c>
      <c r="AD380" t="s">
        <v>74</v>
      </c>
      <c r="AE380" t="s">
        <v>74</v>
      </c>
      <c r="AF380" t="s">
        <v>74</v>
      </c>
      <c r="AG380">
        <v>329</v>
      </c>
      <c r="AH380">
        <v>34</v>
      </c>
      <c r="AI380">
        <v>38</v>
      </c>
      <c r="AJ380">
        <v>2</v>
      </c>
      <c r="AK380">
        <v>40</v>
      </c>
      <c r="AL380" t="s">
        <v>211</v>
      </c>
      <c r="AM380" t="s">
        <v>212</v>
      </c>
      <c r="AN380" t="s">
        <v>213</v>
      </c>
      <c r="AO380" t="s">
        <v>7607</v>
      </c>
      <c r="AP380" t="s">
        <v>7608</v>
      </c>
      <c r="AQ380" t="s">
        <v>74</v>
      </c>
      <c r="AR380" t="s">
        <v>7609</v>
      </c>
      <c r="AS380" t="s">
        <v>7610</v>
      </c>
      <c r="AT380" t="s">
        <v>733</v>
      </c>
      <c r="AU380">
        <v>2020</v>
      </c>
      <c r="AV380">
        <v>95</v>
      </c>
      <c r="AW380">
        <v>3</v>
      </c>
      <c r="AX380" t="s">
        <v>74</v>
      </c>
      <c r="AY380" t="s">
        <v>74</v>
      </c>
      <c r="AZ380" t="s">
        <v>74</v>
      </c>
      <c r="BA380" t="s">
        <v>74</v>
      </c>
      <c r="BB380">
        <v>625</v>
      </c>
      <c r="BC380">
        <v>651</v>
      </c>
      <c r="BD380" t="s">
        <v>74</v>
      </c>
      <c r="BE380" t="s">
        <v>7611</v>
      </c>
      <c r="BF380" t="str">
        <f>HYPERLINK("http://dx.doi.org/10.1111/brv.12580","http://dx.doi.org/10.1111/brv.12580")</f>
        <v>http://dx.doi.org/10.1111/brv.12580</v>
      </c>
      <c r="BG380" t="s">
        <v>74</v>
      </c>
      <c r="BH380" t="s">
        <v>5744</v>
      </c>
      <c r="BI380">
        <v>27</v>
      </c>
      <c r="BJ380" t="s">
        <v>1498</v>
      </c>
      <c r="BK380" t="s">
        <v>103</v>
      </c>
      <c r="BL380" t="s">
        <v>1499</v>
      </c>
      <c r="BM380" t="s">
        <v>7612</v>
      </c>
      <c r="BN380">
        <v>32022401</v>
      </c>
      <c r="BO380" t="s">
        <v>74</v>
      </c>
      <c r="BP380" t="s">
        <v>74</v>
      </c>
      <c r="BQ380" t="s">
        <v>74</v>
      </c>
      <c r="BR380" t="s">
        <v>106</v>
      </c>
      <c r="BS380" t="s">
        <v>7613</v>
      </c>
      <c r="BT380" t="str">
        <f>HYPERLINK("https%3A%2F%2Fwww.webofscience.com%2Fwos%2Fwoscc%2Ffull-record%2FWOS:000511003600001","View Full Record in Web of Science")</f>
        <v>View Full Record in Web of Science</v>
      </c>
    </row>
    <row r="381" spans="1:72" x14ac:dyDescent="0.15">
      <c r="A381" t="s">
        <v>72</v>
      </c>
      <c r="B381" t="s">
        <v>7614</v>
      </c>
      <c r="C381" t="s">
        <v>74</v>
      </c>
      <c r="D381" t="s">
        <v>74</v>
      </c>
      <c r="E381" t="s">
        <v>74</v>
      </c>
      <c r="F381" t="s">
        <v>7615</v>
      </c>
      <c r="G381" t="s">
        <v>74</v>
      </c>
      <c r="H381" t="s">
        <v>74</v>
      </c>
      <c r="I381" t="s">
        <v>7616</v>
      </c>
      <c r="J381" t="s">
        <v>1291</v>
      </c>
      <c r="K381" t="s">
        <v>74</v>
      </c>
      <c r="L381" t="s">
        <v>74</v>
      </c>
      <c r="M381" t="s">
        <v>78</v>
      </c>
      <c r="N381" t="s">
        <v>79</v>
      </c>
      <c r="O381" t="s">
        <v>74</v>
      </c>
      <c r="P381" t="s">
        <v>74</v>
      </c>
      <c r="Q381" t="s">
        <v>74</v>
      </c>
      <c r="R381" t="s">
        <v>74</v>
      </c>
      <c r="S381" t="s">
        <v>74</v>
      </c>
      <c r="T381" t="s">
        <v>74</v>
      </c>
      <c r="U381" t="s">
        <v>7617</v>
      </c>
      <c r="V381" t="s">
        <v>7618</v>
      </c>
      <c r="W381" t="s">
        <v>7619</v>
      </c>
      <c r="X381" t="s">
        <v>7620</v>
      </c>
      <c r="Y381" t="s">
        <v>7621</v>
      </c>
      <c r="Z381" t="s">
        <v>7622</v>
      </c>
      <c r="AA381" t="s">
        <v>7623</v>
      </c>
      <c r="AB381" t="s">
        <v>7624</v>
      </c>
      <c r="AC381" t="s">
        <v>7625</v>
      </c>
      <c r="AD381" t="s">
        <v>7626</v>
      </c>
      <c r="AE381" t="s">
        <v>7627</v>
      </c>
      <c r="AF381" t="s">
        <v>74</v>
      </c>
      <c r="AG381">
        <v>98</v>
      </c>
      <c r="AH381">
        <v>22</v>
      </c>
      <c r="AI381">
        <v>23</v>
      </c>
      <c r="AJ381">
        <v>0</v>
      </c>
      <c r="AK381">
        <v>9</v>
      </c>
      <c r="AL381" t="s">
        <v>976</v>
      </c>
      <c r="AM381" t="s">
        <v>977</v>
      </c>
      <c r="AN381" t="s">
        <v>978</v>
      </c>
      <c r="AO381" t="s">
        <v>1303</v>
      </c>
      <c r="AP381" t="s">
        <v>1304</v>
      </c>
      <c r="AQ381" t="s">
        <v>74</v>
      </c>
      <c r="AR381" t="s">
        <v>1291</v>
      </c>
      <c r="AS381" t="s">
        <v>1305</v>
      </c>
      <c r="AT381" t="s">
        <v>7527</v>
      </c>
      <c r="AU381">
        <v>2020</v>
      </c>
      <c r="AV381">
        <v>14</v>
      </c>
      <c r="AW381">
        <v>2</v>
      </c>
      <c r="AX381" t="s">
        <v>74</v>
      </c>
      <c r="AY381" t="s">
        <v>74</v>
      </c>
      <c r="AZ381" t="s">
        <v>74</v>
      </c>
      <c r="BA381" t="s">
        <v>74</v>
      </c>
      <c r="BB381">
        <v>477</v>
      </c>
      <c r="BC381">
        <v>495</v>
      </c>
      <c r="BD381" t="s">
        <v>74</v>
      </c>
      <c r="BE381" t="s">
        <v>7628</v>
      </c>
      <c r="BF381" t="str">
        <f>HYPERLINK("http://dx.doi.org/10.5194/tc-14-477-2020","http://dx.doi.org/10.5194/tc-14-477-2020")</f>
        <v>http://dx.doi.org/10.5194/tc-14-477-2020</v>
      </c>
      <c r="BG381" t="s">
        <v>74</v>
      </c>
      <c r="BH381" t="s">
        <v>74</v>
      </c>
      <c r="BI381">
        <v>19</v>
      </c>
      <c r="BJ381" t="s">
        <v>1307</v>
      </c>
      <c r="BK381" t="s">
        <v>103</v>
      </c>
      <c r="BL381" t="s">
        <v>1308</v>
      </c>
      <c r="BM381" t="s">
        <v>7629</v>
      </c>
      <c r="BN381" t="s">
        <v>74</v>
      </c>
      <c r="BO381" t="s">
        <v>987</v>
      </c>
      <c r="BP381" t="s">
        <v>74</v>
      </c>
      <c r="BQ381" t="s">
        <v>74</v>
      </c>
      <c r="BR381" t="s">
        <v>106</v>
      </c>
      <c r="BS381" t="s">
        <v>7630</v>
      </c>
      <c r="BT381" t="str">
        <f>HYPERLINK("https%3A%2F%2Fwww.webofscience.com%2Fwos%2Fwoscc%2Ffull-record%2FWOS:000513000800003","View Full Record in Web of Science")</f>
        <v>View Full Record in Web of Science</v>
      </c>
    </row>
    <row r="382" spans="1:72" x14ac:dyDescent="0.15">
      <c r="A382" t="s">
        <v>72</v>
      </c>
      <c r="B382" t="s">
        <v>7631</v>
      </c>
      <c r="C382" t="s">
        <v>74</v>
      </c>
      <c r="D382" t="s">
        <v>74</v>
      </c>
      <c r="E382" t="s">
        <v>74</v>
      </c>
      <c r="F382" t="s">
        <v>7632</v>
      </c>
      <c r="G382" t="s">
        <v>74</v>
      </c>
      <c r="H382" t="s">
        <v>74</v>
      </c>
      <c r="I382" t="s">
        <v>7633</v>
      </c>
      <c r="J382" t="s">
        <v>2332</v>
      </c>
      <c r="K382" t="s">
        <v>74</v>
      </c>
      <c r="L382" t="s">
        <v>74</v>
      </c>
      <c r="M382" t="s">
        <v>78</v>
      </c>
      <c r="N382" t="s">
        <v>79</v>
      </c>
      <c r="O382" t="s">
        <v>74</v>
      </c>
      <c r="P382" t="s">
        <v>74</v>
      </c>
      <c r="Q382" t="s">
        <v>74</v>
      </c>
      <c r="R382" t="s">
        <v>74</v>
      </c>
      <c r="S382" t="s">
        <v>74</v>
      </c>
      <c r="T382" t="s">
        <v>74</v>
      </c>
      <c r="U382" t="s">
        <v>7634</v>
      </c>
      <c r="V382" t="s">
        <v>7635</v>
      </c>
      <c r="W382" t="s">
        <v>7636</v>
      </c>
      <c r="X382" t="s">
        <v>7637</v>
      </c>
      <c r="Y382" t="s">
        <v>7638</v>
      </c>
      <c r="Z382" t="s">
        <v>7639</v>
      </c>
      <c r="AA382" t="s">
        <v>7640</v>
      </c>
      <c r="AB382" t="s">
        <v>7641</v>
      </c>
      <c r="AC382" t="s">
        <v>7642</v>
      </c>
      <c r="AD382" t="s">
        <v>7643</v>
      </c>
      <c r="AE382" t="s">
        <v>7644</v>
      </c>
      <c r="AF382" t="s">
        <v>74</v>
      </c>
      <c r="AG382">
        <v>158</v>
      </c>
      <c r="AH382">
        <v>99</v>
      </c>
      <c r="AI382">
        <v>100</v>
      </c>
      <c r="AJ382">
        <v>6</v>
      </c>
      <c r="AK382">
        <v>27</v>
      </c>
      <c r="AL382" t="s">
        <v>976</v>
      </c>
      <c r="AM382" t="s">
        <v>977</v>
      </c>
      <c r="AN382" t="s">
        <v>978</v>
      </c>
      <c r="AO382" t="s">
        <v>2344</v>
      </c>
      <c r="AP382" t="s">
        <v>2345</v>
      </c>
      <c r="AQ382" t="s">
        <v>74</v>
      </c>
      <c r="AR382" t="s">
        <v>2346</v>
      </c>
      <c r="AS382" t="s">
        <v>2347</v>
      </c>
      <c r="AT382" t="s">
        <v>7527</v>
      </c>
      <c r="AU382">
        <v>2020</v>
      </c>
      <c r="AV382">
        <v>13</v>
      </c>
      <c r="AW382">
        <v>2</v>
      </c>
      <c r="AX382" t="s">
        <v>74</v>
      </c>
      <c r="AY382" t="s">
        <v>74</v>
      </c>
      <c r="AZ382" t="s">
        <v>74</v>
      </c>
      <c r="BA382" t="s">
        <v>74</v>
      </c>
      <c r="BB382">
        <v>401</v>
      </c>
      <c r="BC382">
        <v>442</v>
      </c>
      <c r="BD382" t="s">
        <v>74</v>
      </c>
      <c r="BE382" t="s">
        <v>7645</v>
      </c>
      <c r="BF382" t="str">
        <f>HYPERLINK("http://dx.doi.org/10.5194/gmd-13-401-2020","http://dx.doi.org/10.5194/gmd-13-401-2020")</f>
        <v>http://dx.doi.org/10.5194/gmd-13-401-2020</v>
      </c>
      <c r="BG382" t="s">
        <v>74</v>
      </c>
      <c r="BH382" t="s">
        <v>74</v>
      </c>
      <c r="BI382">
        <v>42</v>
      </c>
      <c r="BJ382" t="s">
        <v>246</v>
      </c>
      <c r="BK382" t="s">
        <v>103</v>
      </c>
      <c r="BL382" t="s">
        <v>247</v>
      </c>
      <c r="BM382" t="s">
        <v>7646</v>
      </c>
      <c r="BN382" t="s">
        <v>74</v>
      </c>
      <c r="BO382" t="s">
        <v>7647</v>
      </c>
      <c r="BP382" t="s">
        <v>74</v>
      </c>
      <c r="BQ382" t="s">
        <v>74</v>
      </c>
      <c r="BR382" t="s">
        <v>106</v>
      </c>
      <c r="BS382" t="s">
        <v>7648</v>
      </c>
      <c r="BT382" t="str">
        <f>HYPERLINK("https%3A%2F%2Fwww.webofscience.com%2Fwos%2Fwoscc%2Ffull-record%2FWOS:000512999900002","View Full Record in Web of Science")</f>
        <v>View Full Record in Web of Science</v>
      </c>
    </row>
    <row r="383" spans="1:72" x14ac:dyDescent="0.15">
      <c r="A383" t="s">
        <v>72</v>
      </c>
      <c r="B383" t="s">
        <v>7649</v>
      </c>
      <c r="C383" t="s">
        <v>74</v>
      </c>
      <c r="D383" t="s">
        <v>74</v>
      </c>
      <c r="E383" t="s">
        <v>74</v>
      </c>
      <c r="F383" t="s">
        <v>7650</v>
      </c>
      <c r="G383" t="s">
        <v>74</v>
      </c>
      <c r="H383" t="s">
        <v>74</v>
      </c>
      <c r="I383" t="s">
        <v>7651</v>
      </c>
      <c r="J383" t="s">
        <v>7652</v>
      </c>
      <c r="K383" t="s">
        <v>74</v>
      </c>
      <c r="L383" t="s">
        <v>74</v>
      </c>
      <c r="M383" t="s">
        <v>78</v>
      </c>
      <c r="N383" t="s">
        <v>79</v>
      </c>
      <c r="O383" t="s">
        <v>74</v>
      </c>
      <c r="P383" t="s">
        <v>74</v>
      </c>
      <c r="Q383" t="s">
        <v>74</v>
      </c>
      <c r="R383" t="s">
        <v>74</v>
      </c>
      <c r="S383" t="s">
        <v>74</v>
      </c>
      <c r="T383" t="s">
        <v>7653</v>
      </c>
      <c r="U383" t="s">
        <v>7654</v>
      </c>
      <c r="V383" t="s">
        <v>7655</v>
      </c>
      <c r="W383" t="s">
        <v>7656</v>
      </c>
      <c r="X383" t="s">
        <v>7657</v>
      </c>
      <c r="Y383" t="s">
        <v>7658</v>
      </c>
      <c r="Z383" t="s">
        <v>7659</v>
      </c>
      <c r="AA383" t="s">
        <v>7660</v>
      </c>
      <c r="AB383" t="s">
        <v>7661</v>
      </c>
      <c r="AC383" t="s">
        <v>7662</v>
      </c>
      <c r="AD383" t="s">
        <v>7663</v>
      </c>
      <c r="AE383" t="s">
        <v>7664</v>
      </c>
      <c r="AF383" t="s">
        <v>74</v>
      </c>
      <c r="AG383">
        <v>47</v>
      </c>
      <c r="AH383">
        <v>27</v>
      </c>
      <c r="AI383">
        <v>32</v>
      </c>
      <c r="AJ383">
        <v>12</v>
      </c>
      <c r="AK383">
        <v>71</v>
      </c>
      <c r="AL383" t="s">
        <v>925</v>
      </c>
      <c r="AM383" t="s">
        <v>266</v>
      </c>
      <c r="AN383" t="s">
        <v>926</v>
      </c>
      <c r="AO383" t="s">
        <v>7665</v>
      </c>
      <c r="AP383" t="s">
        <v>7666</v>
      </c>
      <c r="AQ383" t="s">
        <v>74</v>
      </c>
      <c r="AR383" t="s">
        <v>7667</v>
      </c>
      <c r="AS383" t="s">
        <v>7668</v>
      </c>
      <c r="AT383" t="s">
        <v>7527</v>
      </c>
      <c r="AU383">
        <v>2020</v>
      </c>
      <c r="AV383">
        <v>68</v>
      </c>
      <c r="AW383">
        <v>5</v>
      </c>
      <c r="AX383" t="s">
        <v>74</v>
      </c>
      <c r="AY383" t="s">
        <v>74</v>
      </c>
      <c r="AZ383" t="s">
        <v>74</v>
      </c>
      <c r="BA383" t="s">
        <v>74</v>
      </c>
      <c r="BB383">
        <v>1457</v>
      </c>
      <c r="BC383">
        <v>1467</v>
      </c>
      <c r="BD383" t="s">
        <v>74</v>
      </c>
      <c r="BE383" t="s">
        <v>7669</v>
      </c>
      <c r="BF383" t="str">
        <f>HYPERLINK("http://dx.doi.org/10.1021/acs.jafc.9b07370","http://dx.doi.org/10.1021/acs.jafc.9b07370")</f>
        <v>http://dx.doi.org/10.1021/acs.jafc.9b07370</v>
      </c>
      <c r="BG383" t="s">
        <v>74</v>
      </c>
      <c r="BH383" t="s">
        <v>74</v>
      </c>
      <c r="BI383">
        <v>11</v>
      </c>
      <c r="BJ383" t="s">
        <v>7670</v>
      </c>
      <c r="BK383" t="s">
        <v>103</v>
      </c>
      <c r="BL383" t="s">
        <v>7671</v>
      </c>
      <c r="BM383" t="s">
        <v>7672</v>
      </c>
      <c r="BN383">
        <v>31931568</v>
      </c>
      <c r="BO383" t="s">
        <v>74</v>
      </c>
      <c r="BP383" t="s">
        <v>74</v>
      </c>
      <c r="BQ383" t="s">
        <v>74</v>
      </c>
      <c r="BR383" t="s">
        <v>106</v>
      </c>
      <c r="BS383" t="s">
        <v>7673</v>
      </c>
      <c r="BT383" t="str">
        <f>HYPERLINK("https%3A%2F%2Fwww.webofscience.com%2Fwos%2Fwoscc%2Ffull-record%2FWOS:000512222600030","View Full Record in Web of Science")</f>
        <v>View Full Record in Web of Science</v>
      </c>
    </row>
    <row r="384" spans="1:72" x14ac:dyDescent="0.15">
      <c r="A384" t="s">
        <v>72</v>
      </c>
      <c r="B384" t="s">
        <v>7674</v>
      </c>
      <c r="C384" t="s">
        <v>74</v>
      </c>
      <c r="D384" t="s">
        <v>74</v>
      </c>
      <c r="E384" t="s">
        <v>74</v>
      </c>
      <c r="F384" t="s">
        <v>7675</v>
      </c>
      <c r="G384" t="s">
        <v>74</v>
      </c>
      <c r="H384" t="s">
        <v>74</v>
      </c>
      <c r="I384" t="s">
        <v>7676</v>
      </c>
      <c r="J384" t="s">
        <v>7677</v>
      </c>
      <c r="K384" t="s">
        <v>74</v>
      </c>
      <c r="L384" t="s">
        <v>74</v>
      </c>
      <c r="M384" t="s">
        <v>78</v>
      </c>
      <c r="N384" t="s">
        <v>79</v>
      </c>
      <c r="O384" t="s">
        <v>74</v>
      </c>
      <c r="P384" t="s">
        <v>74</v>
      </c>
      <c r="Q384" t="s">
        <v>74</v>
      </c>
      <c r="R384" t="s">
        <v>74</v>
      </c>
      <c r="S384" t="s">
        <v>74</v>
      </c>
      <c r="T384" t="s">
        <v>7678</v>
      </c>
      <c r="U384" t="s">
        <v>7679</v>
      </c>
      <c r="V384" t="s">
        <v>7680</v>
      </c>
      <c r="W384" t="s">
        <v>7681</v>
      </c>
      <c r="X384" t="s">
        <v>7682</v>
      </c>
      <c r="Y384" t="s">
        <v>7683</v>
      </c>
      <c r="Z384" t="s">
        <v>7684</v>
      </c>
      <c r="AA384" t="s">
        <v>7685</v>
      </c>
      <c r="AB384" t="s">
        <v>7686</v>
      </c>
      <c r="AC384" t="s">
        <v>7687</v>
      </c>
      <c r="AD384" t="s">
        <v>7688</v>
      </c>
      <c r="AE384" t="s">
        <v>7689</v>
      </c>
      <c r="AF384" t="s">
        <v>74</v>
      </c>
      <c r="AG384">
        <v>106</v>
      </c>
      <c r="AH384">
        <v>12</v>
      </c>
      <c r="AI384">
        <v>12</v>
      </c>
      <c r="AJ384">
        <v>7</v>
      </c>
      <c r="AK384">
        <v>44</v>
      </c>
      <c r="AL384" t="s">
        <v>7690</v>
      </c>
      <c r="AM384" t="s">
        <v>545</v>
      </c>
      <c r="AN384" t="s">
        <v>7691</v>
      </c>
      <c r="AO384" t="s">
        <v>7692</v>
      </c>
      <c r="AP384" t="s">
        <v>74</v>
      </c>
      <c r="AQ384" t="s">
        <v>74</v>
      </c>
      <c r="AR384" t="s">
        <v>7693</v>
      </c>
      <c r="AS384" t="s">
        <v>7694</v>
      </c>
      <c r="AT384" t="s">
        <v>7527</v>
      </c>
      <c r="AU384">
        <v>2020</v>
      </c>
      <c r="AV384">
        <v>7</v>
      </c>
      <c r="AW384">
        <v>2</v>
      </c>
      <c r="AX384" t="s">
        <v>74</v>
      </c>
      <c r="AY384" t="s">
        <v>74</v>
      </c>
      <c r="AZ384" t="s">
        <v>74</v>
      </c>
      <c r="BA384" t="s">
        <v>74</v>
      </c>
      <c r="BB384" t="s">
        <v>74</v>
      </c>
      <c r="BC384" t="s">
        <v>74</v>
      </c>
      <c r="BD384">
        <v>191228</v>
      </c>
      <c r="BE384" t="s">
        <v>7695</v>
      </c>
      <c r="BF384" t="str">
        <f>HYPERLINK("http://dx.doi.org/10.1098/rsos.191228","http://dx.doi.org/10.1098/rsos.191228")</f>
        <v>http://dx.doi.org/10.1098/rsos.191228</v>
      </c>
      <c r="BG384" t="s">
        <v>74</v>
      </c>
      <c r="BH384" t="s">
        <v>74</v>
      </c>
      <c r="BI384">
        <v>16</v>
      </c>
      <c r="BJ384" t="s">
        <v>322</v>
      </c>
      <c r="BK384" t="s">
        <v>103</v>
      </c>
      <c r="BL384" t="s">
        <v>323</v>
      </c>
      <c r="BM384" t="s">
        <v>7696</v>
      </c>
      <c r="BN384">
        <v>32257307</v>
      </c>
      <c r="BO384" t="s">
        <v>1359</v>
      </c>
      <c r="BP384" t="s">
        <v>74</v>
      </c>
      <c r="BQ384" t="s">
        <v>74</v>
      </c>
      <c r="BR384" t="s">
        <v>106</v>
      </c>
      <c r="BS384" t="s">
        <v>7697</v>
      </c>
      <c r="BT384" t="str">
        <f>HYPERLINK("https%3A%2F%2Fwww.webofscience.com%2Fwos%2Fwoscc%2Ffull-record%2FWOS:000511385100007","View Full Record in Web of Science")</f>
        <v>View Full Record in Web of Science</v>
      </c>
    </row>
    <row r="385" spans="1:72" x14ac:dyDescent="0.15">
      <c r="A385" t="s">
        <v>72</v>
      </c>
      <c r="B385" t="s">
        <v>7698</v>
      </c>
      <c r="C385" t="s">
        <v>74</v>
      </c>
      <c r="D385" t="s">
        <v>74</v>
      </c>
      <c r="E385" t="s">
        <v>74</v>
      </c>
      <c r="F385" t="s">
        <v>7699</v>
      </c>
      <c r="G385" t="s">
        <v>74</v>
      </c>
      <c r="H385" t="s">
        <v>74</v>
      </c>
      <c r="I385" t="s">
        <v>7700</v>
      </c>
      <c r="J385" t="s">
        <v>7701</v>
      </c>
      <c r="K385" t="s">
        <v>74</v>
      </c>
      <c r="L385" t="s">
        <v>74</v>
      </c>
      <c r="M385" t="s">
        <v>78</v>
      </c>
      <c r="N385" t="s">
        <v>79</v>
      </c>
      <c r="O385" t="s">
        <v>74</v>
      </c>
      <c r="P385" t="s">
        <v>74</v>
      </c>
      <c r="Q385" t="s">
        <v>74</v>
      </c>
      <c r="R385" t="s">
        <v>74</v>
      </c>
      <c r="S385" t="s">
        <v>74</v>
      </c>
      <c r="T385" t="s">
        <v>7702</v>
      </c>
      <c r="U385" t="s">
        <v>7703</v>
      </c>
      <c r="V385" t="s">
        <v>7704</v>
      </c>
      <c r="W385" t="s">
        <v>7705</v>
      </c>
      <c r="X385" t="s">
        <v>7706</v>
      </c>
      <c r="Y385" t="s">
        <v>7707</v>
      </c>
      <c r="Z385" t="s">
        <v>7708</v>
      </c>
      <c r="AA385" t="s">
        <v>5461</v>
      </c>
      <c r="AB385" t="s">
        <v>7709</v>
      </c>
      <c r="AC385" t="s">
        <v>7710</v>
      </c>
      <c r="AD385" t="s">
        <v>7711</v>
      </c>
      <c r="AE385" t="s">
        <v>7712</v>
      </c>
      <c r="AF385" t="s">
        <v>74</v>
      </c>
      <c r="AG385">
        <v>55</v>
      </c>
      <c r="AH385">
        <v>15</v>
      </c>
      <c r="AI385">
        <v>17</v>
      </c>
      <c r="AJ385">
        <v>1</v>
      </c>
      <c r="AK385">
        <v>87</v>
      </c>
      <c r="AL385" t="s">
        <v>289</v>
      </c>
      <c r="AM385" t="s">
        <v>290</v>
      </c>
      <c r="AN385" t="s">
        <v>291</v>
      </c>
      <c r="AO385" t="s">
        <v>7713</v>
      </c>
      <c r="AP385" t="s">
        <v>7714</v>
      </c>
      <c r="AQ385" t="s">
        <v>74</v>
      </c>
      <c r="AR385" t="s">
        <v>7715</v>
      </c>
      <c r="AS385" t="s">
        <v>7716</v>
      </c>
      <c r="AT385" t="s">
        <v>7527</v>
      </c>
      <c r="AU385">
        <v>2020</v>
      </c>
      <c r="AV385">
        <v>383</v>
      </c>
      <c r="AW385" t="s">
        <v>74</v>
      </c>
      <c r="AX385" t="s">
        <v>74</v>
      </c>
      <c r="AY385" t="s">
        <v>74</v>
      </c>
      <c r="AZ385" t="s">
        <v>74</v>
      </c>
      <c r="BA385" t="s">
        <v>74</v>
      </c>
      <c r="BB385" t="s">
        <v>74</v>
      </c>
      <c r="BC385" t="s">
        <v>74</v>
      </c>
      <c r="BD385">
        <v>121244</v>
      </c>
      <c r="BE385" t="s">
        <v>7717</v>
      </c>
      <c r="BF385" t="str">
        <f>HYPERLINK("http://dx.doi.org/10.1016/j.jhazmat.2019.121244","http://dx.doi.org/10.1016/j.jhazmat.2019.121244")</f>
        <v>http://dx.doi.org/10.1016/j.jhazmat.2019.121244</v>
      </c>
      <c r="BG385" t="s">
        <v>74</v>
      </c>
      <c r="BH385" t="s">
        <v>74</v>
      </c>
      <c r="BI385">
        <v>13</v>
      </c>
      <c r="BJ385" t="s">
        <v>2843</v>
      </c>
      <c r="BK385" t="s">
        <v>103</v>
      </c>
      <c r="BL385" t="s">
        <v>2844</v>
      </c>
      <c r="BM385" t="s">
        <v>7718</v>
      </c>
      <c r="BN385">
        <v>31563044</v>
      </c>
      <c r="BO385" t="s">
        <v>74</v>
      </c>
      <c r="BP385" t="s">
        <v>74</v>
      </c>
      <c r="BQ385" t="s">
        <v>74</v>
      </c>
      <c r="BR385" t="s">
        <v>106</v>
      </c>
      <c r="BS385" t="s">
        <v>7719</v>
      </c>
      <c r="BT385" t="str">
        <f>HYPERLINK("https%3A%2F%2Fwww.webofscience.com%2Fwos%2Fwoscc%2Ffull-record%2FWOS:000502887900093","View Full Record in Web of Science")</f>
        <v>View Full Record in Web of Science</v>
      </c>
    </row>
    <row r="386" spans="1:72" x14ac:dyDescent="0.15">
      <c r="A386" t="s">
        <v>72</v>
      </c>
      <c r="B386" t="s">
        <v>7720</v>
      </c>
      <c r="C386" t="s">
        <v>74</v>
      </c>
      <c r="D386" t="s">
        <v>74</v>
      </c>
      <c r="E386" t="s">
        <v>74</v>
      </c>
      <c r="F386" t="s">
        <v>7721</v>
      </c>
      <c r="G386" t="s">
        <v>74</v>
      </c>
      <c r="H386" t="s">
        <v>74</v>
      </c>
      <c r="I386" t="s">
        <v>7722</v>
      </c>
      <c r="J386" t="s">
        <v>1339</v>
      </c>
      <c r="K386" t="s">
        <v>74</v>
      </c>
      <c r="L386" t="s">
        <v>74</v>
      </c>
      <c r="M386" t="s">
        <v>78</v>
      </c>
      <c r="N386" t="s">
        <v>1911</v>
      </c>
      <c r="O386" t="s">
        <v>74</v>
      </c>
      <c r="P386" t="s">
        <v>74</v>
      </c>
      <c r="Q386" t="s">
        <v>74</v>
      </c>
      <c r="R386" t="s">
        <v>74</v>
      </c>
      <c r="S386" t="s">
        <v>74</v>
      </c>
      <c r="T386" t="s">
        <v>7723</v>
      </c>
      <c r="U386" t="s">
        <v>74</v>
      </c>
      <c r="V386" t="s">
        <v>74</v>
      </c>
      <c r="W386" t="s">
        <v>7724</v>
      </c>
      <c r="X386" t="s">
        <v>7725</v>
      </c>
      <c r="Y386" t="s">
        <v>7726</v>
      </c>
      <c r="Z386" t="s">
        <v>7727</v>
      </c>
      <c r="AA386" t="s">
        <v>7728</v>
      </c>
      <c r="AB386" t="s">
        <v>7729</v>
      </c>
      <c r="AC386" t="s">
        <v>74</v>
      </c>
      <c r="AD386" t="s">
        <v>74</v>
      </c>
      <c r="AE386" t="s">
        <v>74</v>
      </c>
      <c r="AF386" t="s">
        <v>74</v>
      </c>
      <c r="AG386">
        <v>5</v>
      </c>
      <c r="AH386">
        <v>12</v>
      </c>
      <c r="AI386">
        <v>13</v>
      </c>
      <c r="AJ386">
        <v>1</v>
      </c>
      <c r="AK386">
        <v>3</v>
      </c>
      <c r="AL386" t="s">
        <v>658</v>
      </c>
      <c r="AM386" t="s">
        <v>659</v>
      </c>
      <c r="AN386" t="s">
        <v>660</v>
      </c>
      <c r="AO386" t="s">
        <v>74</v>
      </c>
      <c r="AP386" t="s">
        <v>1352</v>
      </c>
      <c r="AQ386" t="s">
        <v>74</v>
      </c>
      <c r="AR386" t="s">
        <v>1353</v>
      </c>
      <c r="AS386" t="s">
        <v>1354</v>
      </c>
      <c r="AT386" t="s">
        <v>7730</v>
      </c>
      <c r="AU386">
        <v>2020</v>
      </c>
      <c r="AV386">
        <v>7</v>
      </c>
      <c r="AW386" t="s">
        <v>74</v>
      </c>
      <c r="AX386" t="s">
        <v>74</v>
      </c>
      <c r="AY386" t="s">
        <v>74</v>
      </c>
      <c r="AZ386" t="s">
        <v>74</v>
      </c>
      <c r="BA386" t="s">
        <v>74</v>
      </c>
      <c r="BB386" t="s">
        <v>74</v>
      </c>
      <c r="BC386" t="s">
        <v>74</v>
      </c>
      <c r="BD386">
        <v>34</v>
      </c>
      <c r="BE386" t="s">
        <v>7731</v>
      </c>
      <c r="BF386" t="str">
        <f>HYPERLINK("http://dx.doi.org/10.3389/fmars.2020.00034","http://dx.doi.org/10.3389/fmars.2020.00034")</f>
        <v>http://dx.doi.org/10.3389/fmars.2020.00034</v>
      </c>
      <c r="BG386" t="s">
        <v>74</v>
      </c>
      <c r="BH386" t="s">
        <v>74</v>
      </c>
      <c r="BI386">
        <v>4</v>
      </c>
      <c r="BJ386" t="s">
        <v>1356</v>
      </c>
      <c r="BK386" t="s">
        <v>103</v>
      </c>
      <c r="BL386" t="s">
        <v>1357</v>
      </c>
      <c r="BM386" t="s">
        <v>7732</v>
      </c>
      <c r="BN386" t="s">
        <v>74</v>
      </c>
      <c r="BO386" t="s">
        <v>2592</v>
      </c>
      <c r="BP386" t="s">
        <v>74</v>
      </c>
      <c r="BQ386" t="s">
        <v>74</v>
      </c>
      <c r="BR386" t="s">
        <v>106</v>
      </c>
      <c r="BS386" t="s">
        <v>7733</v>
      </c>
      <c r="BT386" t="str">
        <f>HYPERLINK("https%3A%2F%2Fwww.webofscience.com%2Fwos%2Fwoscc%2Ffull-record%2FWOS:000510764000001","View Full Record in Web of Science")</f>
        <v>View Full Record in Web of Science</v>
      </c>
    </row>
    <row r="387" spans="1:72" x14ac:dyDescent="0.15">
      <c r="A387" t="s">
        <v>72</v>
      </c>
      <c r="B387" t="s">
        <v>7734</v>
      </c>
      <c r="C387" t="s">
        <v>74</v>
      </c>
      <c r="D387" t="s">
        <v>74</v>
      </c>
      <c r="E387" t="s">
        <v>74</v>
      </c>
      <c r="F387" t="s">
        <v>7735</v>
      </c>
      <c r="G387" t="s">
        <v>74</v>
      </c>
      <c r="H387" t="s">
        <v>74</v>
      </c>
      <c r="I387" t="s">
        <v>7736</v>
      </c>
      <c r="J387" t="s">
        <v>964</v>
      </c>
      <c r="K387" t="s">
        <v>74</v>
      </c>
      <c r="L387" t="s">
        <v>74</v>
      </c>
      <c r="M387" t="s">
        <v>78</v>
      </c>
      <c r="N387" t="s">
        <v>79</v>
      </c>
      <c r="O387" t="s">
        <v>74</v>
      </c>
      <c r="P387" t="s">
        <v>74</v>
      </c>
      <c r="Q387" t="s">
        <v>74</v>
      </c>
      <c r="R387" t="s">
        <v>74</v>
      </c>
      <c r="S387" t="s">
        <v>74</v>
      </c>
      <c r="T387" t="s">
        <v>74</v>
      </c>
      <c r="U387" t="s">
        <v>7737</v>
      </c>
      <c r="V387" t="s">
        <v>7738</v>
      </c>
      <c r="W387" t="s">
        <v>7739</v>
      </c>
      <c r="X387" t="s">
        <v>7740</v>
      </c>
      <c r="Y387" t="s">
        <v>7741</v>
      </c>
      <c r="Z387" t="s">
        <v>7742</v>
      </c>
      <c r="AA387" t="s">
        <v>7743</v>
      </c>
      <c r="AB387" t="s">
        <v>7744</v>
      </c>
      <c r="AC387" t="s">
        <v>7745</v>
      </c>
      <c r="AD387" t="s">
        <v>7746</v>
      </c>
      <c r="AE387" t="s">
        <v>7747</v>
      </c>
      <c r="AF387" t="s">
        <v>74</v>
      </c>
      <c r="AG387">
        <v>74</v>
      </c>
      <c r="AH387">
        <v>39</v>
      </c>
      <c r="AI387">
        <v>42</v>
      </c>
      <c r="AJ387">
        <v>3</v>
      </c>
      <c r="AK387">
        <v>18</v>
      </c>
      <c r="AL387" t="s">
        <v>976</v>
      </c>
      <c r="AM387" t="s">
        <v>977</v>
      </c>
      <c r="AN387" t="s">
        <v>978</v>
      </c>
      <c r="AO387" t="s">
        <v>979</v>
      </c>
      <c r="AP387" t="s">
        <v>980</v>
      </c>
      <c r="AQ387" t="s">
        <v>74</v>
      </c>
      <c r="AR387" t="s">
        <v>981</v>
      </c>
      <c r="AS387" t="s">
        <v>982</v>
      </c>
      <c r="AT387" t="s">
        <v>7730</v>
      </c>
      <c r="AU387">
        <v>2020</v>
      </c>
      <c r="AV387">
        <v>20</v>
      </c>
      <c r="AW387">
        <v>3</v>
      </c>
      <c r="AX387" t="s">
        <v>74</v>
      </c>
      <c r="AY387" t="s">
        <v>74</v>
      </c>
      <c r="AZ387" t="s">
        <v>74</v>
      </c>
      <c r="BA387" t="s">
        <v>74</v>
      </c>
      <c r="BB387">
        <v>1301</v>
      </c>
      <c r="BC387">
        <v>1316</v>
      </c>
      <c r="BD387" t="s">
        <v>74</v>
      </c>
      <c r="BE387" t="s">
        <v>7748</v>
      </c>
      <c r="BF387" t="str">
        <f>HYPERLINK("http://dx.doi.org/10.5194/acp-20-1301-2020","http://dx.doi.org/10.5194/acp-20-1301-2020")</f>
        <v>http://dx.doi.org/10.5194/acp-20-1301-2020</v>
      </c>
      <c r="BG387" t="s">
        <v>74</v>
      </c>
      <c r="BH387" t="s">
        <v>74</v>
      </c>
      <c r="BI387">
        <v>16</v>
      </c>
      <c r="BJ387" t="s">
        <v>984</v>
      </c>
      <c r="BK387" t="s">
        <v>103</v>
      </c>
      <c r="BL387" t="s">
        <v>985</v>
      </c>
      <c r="BM387" t="s">
        <v>7749</v>
      </c>
      <c r="BN387" t="s">
        <v>74</v>
      </c>
      <c r="BO387" t="s">
        <v>2993</v>
      </c>
      <c r="BP387" t="s">
        <v>74</v>
      </c>
      <c r="BQ387" t="s">
        <v>74</v>
      </c>
      <c r="BR387" t="s">
        <v>106</v>
      </c>
      <c r="BS387" t="s">
        <v>7750</v>
      </c>
      <c r="BT387" t="str">
        <f>HYPERLINK("https%3A%2F%2Fwww.webofscience.com%2Fwos%2Fwoscc%2Ffull-record%2FWOS:000512315200003","View Full Record in Web of Science")</f>
        <v>View Full Record in Web of Science</v>
      </c>
    </row>
    <row r="388" spans="1:72" x14ac:dyDescent="0.15">
      <c r="A388" t="s">
        <v>72</v>
      </c>
      <c r="B388" t="s">
        <v>7751</v>
      </c>
      <c r="C388" t="s">
        <v>74</v>
      </c>
      <c r="D388" t="s">
        <v>74</v>
      </c>
      <c r="E388" t="s">
        <v>74</v>
      </c>
      <c r="F388" t="s">
        <v>7752</v>
      </c>
      <c r="G388" t="s">
        <v>74</v>
      </c>
      <c r="H388" t="s">
        <v>74</v>
      </c>
      <c r="I388" t="s">
        <v>7753</v>
      </c>
      <c r="J388" t="s">
        <v>1291</v>
      </c>
      <c r="K388" t="s">
        <v>74</v>
      </c>
      <c r="L388" t="s">
        <v>74</v>
      </c>
      <c r="M388" t="s">
        <v>78</v>
      </c>
      <c r="N388" t="s">
        <v>79</v>
      </c>
      <c r="O388" t="s">
        <v>74</v>
      </c>
      <c r="P388" t="s">
        <v>74</v>
      </c>
      <c r="Q388" t="s">
        <v>74</v>
      </c>
      <c r="R388" t="s">
        <v>74</v>
      </c>
      <c r="S388" t="s">
        <v>74</v>
      </c>
      <c r="T388" t="s">
        <v>74</v>
      </c>
      <c r="U388" t="s">
        <v>7754</v>
      </c>
      <c r="V388" t="s">
        <v>7755</v>
      </c>
      <c r="W388" t="s">
        <v>7756</v>
      </c>
      <c r="X388" t="s">
        <v>7757</v>
      </c>
      <c r="Y388" t="s">
        <v>7758</v>
      </c>
      <c r="Z388" t="s">
        <v>7759</v>
      </c>
      <c r="AA388" t="s">
        <v>7760</v>
      </c>
      <c r="AB388" t="s">
        <v>7761</v>
      </c>
      <c r="AC388" t="s">
        <v>7762</v>
      </c>
      <c r="AD388" t="s">
        <v>7763</v>
      </c>
      <c r="AE388" t="s">
        <v>7764</v>
      </c>
      <c r="AF388" t="s">
        <v>74</v>
      </c>
      <c r="AG388">
        <v>57</v>
      </c>
      <c r="AH388">
        <v>17</v>
      </c>
      <c r="AI388">
        <v>17</v>
      </c>
      <c r="AJ388">
        <v>1</v>
      </c>
      <c r="AK388">
        <v>9</v>
      </c>
      <c r="AL388" t="s">
        <v>976</v>
      </c>
      <c r="AM388" t="s">
        <v>977</v>
      </c>
      <c r="AN388" t="s">
        <v>978</v>
      </c>
      <c r="AO388" t="s">
        <v>1303</v>
      </c>
      <c r="AP388" t="s">
        <v>1304</v>
      </c>
      <c r="AQ388" t="s">
        <v>74</v>
      </c>
      <c r="AR388" t="s">
        <v>1291</v>
      </c>
      <c r="AS388" t="s">
        <v>1305</v>
      </c>
      <c r="AT388" t="s">
        <v>7730</v>
      </c>
      <c r="AU388">
        <v>2020</v>
      </c>
      <c r="AV388">
        <v>14</v>
      </c>
      <c r="AW388">
        <v>2</v>
      </c>
      <c r="AX388" t="s">
        <v>74</v>
      </c>
      <c r="AY388" t="s">
        <v>74</v>
      </c>
      <c r="AZ388" t="s">
        <v>74</v>
      </c>
      <c r="BA388" t="s">
        <v>74</v>
      </c>
      <c r="BB388">
        <v>429</v>
      </c>
      <c r="BC388">
        <v>444</v>
      </c>
      <c r="BD388" t="s">
        <v>74</v>
      </c>
      <c r="BE388" t="s">
        <v>7765</v>
      </c>
      <c r="BF388" t="str">
        <f>HYPERLINK("http://dx.doi.org/10.5194/tc-14-429-2020","http://dx.doi.org/10.5194/tc-14-429-2020")</f>
        <v>http://dx.doi.org/10.5194/tc-14-429-2020</v>
      </c>
      <c r="BG388" t="s">
        <v>74</v>
      </c>
      <c r="BH388" t="s">
        <v>74</v>
      </c>
      <c r="BI388">
        <v>16</v>
      </c>
      <c r="BJ388" t="s">
        <v>1307</v>
      </c>
      <c r="BK388" t="s">
        <v>103</v>
      </c>
      <c r="BL388" t="s">
        <v>1308</v>
      </c>
      <c r="BM388" t="s">
        <v>7766</v>
      </c>
      <c r="BN388" t="s">
        <v>74</v>
      </c>
      <c r="BO388" t="s">
        <v>987</v>
      </c>
      <c r="BP388" t="s">
        <v>74</v>
      </c>
      <c r="BQ388" t="s">
        <v>74</v>
      </c>
      <c r="BR388" t="s">
        <v>106</v>
      </c>
      <c r="BS388" t="s">
        <v>7767</v>
      </c>
      <c r="BT388" t="str">
        <f>HYPERLINK("https%3A%2F%2Fwww.webofscience.com%2Fwos%2Fwoscc%2Ffull-record%2FWOS:000512315500002","View Full Record in Web of Science")</f>
        <v>View Full Record in Web of Science</v>
      </c>
    </row>
    <row r="389" spans="1:72" x14ac:dyDescent="0.15">
      <c r="A389" t="s">
        <v>72</v>
      </c>
      <c r="B389" t="s">
        <v>7768</v>
      </c>
      <c r="C389" t="s">
        <v>74</v>
      </c>
      <c r="D389" t="s">
        <v>74</v>
      </c>
      <c r="E389" t="s">
        <v>74</v>
      </c>
      <c r="F389" t="s">
        <v>7769</v>
      </c>
      <c r="G389" t="s">
        <v>74</v>
      </c>
      <c r="H389" t="s">
        <v>74</v>
      </c>
      <c r="I389" t="s">
        <v>7770</v>
      </c>
      <c r="J389" t="s">
        <v>7771</v>
      </c>
      <c r="K389" t="s">
        <v>74</v>
      </c>
      <c r="L389" t="s">
        <v>74</v>
      </c>
      <c r="M389" t="s">
        <v>78</v>
      </c>
      <c r="N389" t="s">
        <v>79</v>
      </c>
      <c r="O389" t="s">
        <v>74</v>
      </c>
      <c r="P389" t="s">
        <v>74</v>
      </c>
      <c r="Q389" t="s">
        <v>74</v>
      </c>
      <c r="R389" t="s">
        <v>74</v>
      </c>
      <c r="S389" t="s">
        <v>74</v>
      </c>
      <c r="T389" t="s">
        <v>7772</v>
      </c>
      <c r="U389" t="s">
        <v>7773</v>
      </c>
      <c r="V389" t="s">
        <v>7774</v>
      </c>
      <c r="W389" t="s">
        <v>7775</v>
      </c>
      <c r="X389" t="s">
        <v>7776</v>
      </c>
      <c r="Y389" t="s">
        <v>7777</v>
      </c>
      <c r="Z389" t="s">
        <v>4377</v>
      </c>
      <c r="AA389" t="s">
        <v>74</v>
      </c>
      <c r="AB389" t="s">
        <v>7778</v>
      </c>
      <c r="AC389" t="s">
        <v>7779</v>
      </c>
      <c r="AD389" t="s">
        <v>74</v>
      </c>
      <c r="AE389" t="s">
        <v>7780</v>
      </c>
      <c r="AF389" t="s">
        <v>74</v>
      </c>
      <c r="AG389">
        <v>7</v>
      </c>
      <c r="AH389">
        <v>0</v>
      </c>
      <c r="AI389">
        <v>1</v>
      </c>
      <c r="AJ389">
        <v>0</v>
      </c>
      <c r="AK389">
        <v>1</v>
      </c>
      <c r="AL389" t="s">
        <v>121</v>
      </c>
      <c r="AM389" t="s">
        <v>166</v>
      </c>
      <c r="AN389" t="s">
        <v>685</v>
      </c>
      <c r="AO389" t="s">
        <v>7781</v>
      </c>
      <c r="AP389" t="s">
        <v>7782</v>
      </c>
      <c r="AQ389" t="s">
        <v>74</v>
      </c>
      <c r="AR389" t="s">
        <v>7783</v>
      </c>
      <c r="AS389" t="s">
        <v>7784</v>
      </c>
      <c r="AT389" t="s">
        <v>1033</v>
      </c>
      <c r="AU389">
        <v>2020</v>
      </c>
      <c r="AV389">
        <v>56</v>
      </c>
      <c r="AW389">
        <v>1</v>
      </c>
      <c r="AX389" t="s">
        <v>74</v>
      </c>
      <c r="AY389" t="s">
        <v>74</v>
      </c>
      <c r="AZ389" t="s">
        <v>74</v>
      </c>
      <c r="BA389" t="s">
        <v>74</v>
      </c>
      <c r="BB389" t="s">
        <v>74</v>
      </c>
      <c r="BC389" t="s">
        <v>74</v>
      </c>
      <c r="BD389" t="s">
        <v>74</v>
      </c>
      <c r="BE389" t="s">
        <v>7785</v>
      </c>
      <c r="BF389" t="str">
        <f>HYPERLINK("http://dx.doi.org/10.1007/s10600-020-02936-0","http://dx.doi.org/10.1007/s10600-020-02936-0")</f>
        <v>http://dx.doi.org/10.1007/s10600-020-02936-0</v>
      </c>
      <c r="BG389" t="s">
        <v>74</v>
      </c>
      <c r="BH389" t="s">
        <v>5744</v>
      </c>
      <c r="BI389">
        <v>3</v>
      </c>
      <c r="BJ389" t="s">
        <v>7786</v>
      </c>
      <c r="BK389" t="s">
        <v>933</v>
      </c>
      <c r="BL389" t="s">
        <v>7787</v>
      </c>
      <c r="BM389" t="s">
        <v>7788</v>
      </c>
      <c r="BN389" t="s">
        <v>74</v>
      </c>
      <c r="BO389" t="s">
        <v>74</v>
      </c>
      <c r="BP389" t="s">
        <v>74</v>
      </c>
      <c r="BQ389" t="s">
        <v>74</v>
      </c>
      <c r="BR389" t="s">
        <v>106</v>
      </c>
      <c r="BS389" t="s">
        <v>7789</v>
      </c>
      <c r="BT389" t="str">
        <f>HYPERLINK("https%3A%2F%2Fwww.webofscience.com%2Fwos%2Fwoscc%2Ffull-record%2FWOS:000511078600005","View Full Record in Web of Science")</f>
        <v>View Full Record in Web of Science</v>
      </c>
    </row>
    <row r="390" spans="1:72" x14ac:dyDescent="0.15">
      <c r="A390" t="s">
        <v>72</v>
      </c>
      <c r="B390" t="s">
        <v>7790</v>
      </c>
      <c r="C390" t="s">
        <v>74</v>
      </c>
      <c r="D390" t="s">
        <v>74</v>
      </c>
      <c r="E390" t="s">
        <v>74</v>
      </c>
      <c r="F390" t="s">
        <v>7791</v>
      </c>
      <c r="G390" t="s">
        <v>74</v>
      </c>
      <c r="H390" t="s">
        <v>74</v>
      </c>
      <c r="I390" t="s">
        <v>7792</v>
      </c>
      <c r="J390" t="s">
        <v>7793</v>
      </c>
      <c r="K390" t="s">
        <v>74</v>
      </c>
      <c r="L390" t="s">
        <v>74</v>
      </c>
      <c r="M390" t="s">
        <v>78</v>
      </c>
      <c r="N390" t="s">
        <v>79</v>
      </c>
      <c r="O390" t="s">
        <v>74</v>
      </c>
      <c r="P390" t="s">
        <v>74</v>
      </c>
      <c r="Q390" t="s">
        <v>74</v>
      </c>
      <c r="R390" t="s">
        <v>74</v>
      </c>
      <c r="S390" t="s">
        <v>74</v>
      </c>
      <c r="T390" t="s">
        <v>7794</v>
      </c>
      <c r="U390" t="s">
        <v>7795</v>
      </c>
      <c r="V390" t="s">
        <v>7796</v>
      </c>
      <c r="W390" t="s">
        <v>7797</v>
      </c>
      <c r="X390" t="s">
        <v>7798</v>
      </c>
      <c r="Y390" t="s">
        <v>7799</v>
      </c>
      <c r="Z390" t="s">
        <v>7800</v>
      </c>
      <c r="AA390" t="s">
        <v>7801</v>
      </c>
      <c r="AB390" t="s">
        <v>7802</v>
      </c>
      <c r="AC390" t="s">
        <v>7803</v>
      </c>
      <c r="AD390" t="s">
        <v>7804</v>
      </c>
      <c r="AE390" t="s">
        <v>7805</v>
      </c>
      <c r="AF390" t="s">
        <v>74</v>
      </c>
      <c r="AG390">
        <v>57</v>
      </c>
      <c r="AH390">
        <v>50</v>
      </c>
      <c r="AI390">
        <v>52</v>
      </c>
      <c r="AJ390">
        <v>3</v>
      </c>
      <c r="AK390">
        <v>42</v>
      </c>
      <c r="AL390" t="s">
        <v>211</v>
      </c>
      <c r="AM390" t="s">
        <v>212</v>
      </c>
      <c r="AN390" t="s">
        <v>213</v>
      </c>
      <c r="AO390" t="s">
        <v>7806</v>
      </c>
      <c r="AP390" t="s">
        <v>7807</v>
      </c>
      <c r="AQ390" t="s">
        <v>74</v>
      </c>
      <c r="AR390" t="s">
        <v>7808</v>
      </c>
      <c r="AS390" t="s">
        <v>7809</v>
      </c>
      <c r="AT390" t="s">
        <v>2912</v>
      </c>
      <c r="AU390">
        <v>2020</v>
      </c>
      <c r="AV390">
        <v>57</v>
      </c>
      <c r="AW390">
        <v>3</v>
      </c>
      <c r="AX390" t="s">
        <v>74</v>
      </c>
      <c r="AY390" t="s">
        <v>74</v>
      </c>
      <c r="AZ390" t="s">
        <v>74</v>
      </c>
      <c r="BA390" t="s">
        <v>74</v>
      </c>
      <c r="BB390">
        <v>514</v>
      </c>
      <c r="BC390">
        <v>525</v>
      </c>
      <c r="BD390" t="s">
        <v>74</v>
      </c>
      <c r="BE390" t="s">
        <v>7810</v>
      </c>
      <c r="BF390" t="str">
        <f>HYPERLINK("http://dx.doi.org/10.1111/1365-2664.13568","http://dx.doi.org/10.1111/1365-2664.13568")</f>
        <v>http://dx.doi.org/10.1111/1365-2664.13568</v>
      </c>
      <c r="BG390" t="s">
        <v>74</v>
      </c>
      <c r="BH390" t="s">
        <v>5744</v>
      </c>
      <c r="BI390">
        <v>12</v>
      </c>
      <c r="BJ390" t="s">
        <v>130</v>
      </c>
      <c r="BK390" t="s">
        <v>103</v>
      </c>
      <c r="BL390" t="s">
        <v>131</v>
      </c>
      <c r="BM390" t="s">
        <v>7811</v>
      </c>
      <c r="BN390" t="s">
        <v>74</v>
      </c>
      <c r="BO390" t="s">
        <v>148</v>
      </c>
      <c r="BP390" t="s">
        <v>74</v>
      </c>
      <c r="BQ390" t="s">
        <v>74</v>
      </c>
      <c r="BR390" t="s">
        <v>106</v>
      </c>
      <c r="BS390" t="s">
        <v>7812</v>
      </c>
      <c r="BT390" t="str">
        <f>HYPERLINK("https%3A%2F%2Fwww.webofscience.com%2Fwos%2Fwoscc%2Ffull-record%2FWOS:000510842200001","View Full Record in Web of Science")</f>
        <v>View Full Record in Web of Science</v>
      </c>
    </row>
    <row r="391" spans="1:72" x14ac:dyDescent="0.15">
      <c r="A391" t="s">
        <v>72</v>
      </c>
      <c r="B391" t="s">
        <v>7813</v>
      </c>
      <c r="C391" t="s">
        <v>74</v>
      </c>
      <c r="D391" t="s">
        <v>74</v>
      </c>
      <c r="E391" t="s">
        <v>74</v>
      </c>
      <c r="F391" t="s">
        <v>7814</v>
      </c>
      <c r="G391" t="s">
        <v>74</v>
      </c>
      <c r="H391" t="s">
        <v>74</v>
      </c>
      <c r="I391" t="s">
        <v>7815</v>
      </c>
      <c r="J391" t="s">
        <v>672</v>
      </c>
      <c r="K391" t="s">
        <v>74</v>
      </c>
      <c r="L391" t="s">
        <v>74</v>
      </c>
      <c r="M391" t="s">
        <v>78</v>
      </c>
      <c r="N391" t="s">
        <v>79</v>
      </c>
      <c r="O391" t="s">
        <v>74</v>
      </c>
      <c r="P391" t="s">
        <v>74</v>
      </c>
      <c r="Q391" t="s">
        <v>74</v>
      </c>
      <c r="R391" t="s">
        <v>74</v>
      </c>
      <c r="S391" t="s">
        <v>74</v>
      </c>
      <c r="T391" t="s">
        <v>7816</v>
      </c>
      <c r="U391" t="s">
        <v>7817</v>
      </c>
      <c r="V391" t="s">
        <v>7818</v>
      </c>
      <c r="W391" t="s">
        <v>7819</v>
      </c>
      <c r="X391" t="s">
        <v>7820</v>
      </c>
      <c r="Y391" t="s">
        <v>7821</v>
      </c>
      <c r="Z391" t="s">
        <v>7822</v>
      </c>
      <c r="AA391" t="s">
        <v>74</v>
      </c>
      <c r="AB391" t="s">
        <v>7823</v>
      </c>
      <c r="AC391" t="s">
        <v>7824</v>
      </c>
      <c r="AD391" t="s">
        <v>7825</v>
      </c>
      <c r="AE391" t="s">
        <v>7826</v>
      </c>
      <c r="AF391" t="s">
        <v>74</v>
      </c>
      <c r="AG391">
        <v>54</v>
      </c>
      <c r="AH391">
        <v>2</v>
      </c>
      <c r="AI391">
        <v>2</v>
      </c>
      <c r="AJ391">
        <v>1</v>
      </c>
      <c r="AK391">
        <v>5</v>
      </c>
      <c r="AL391" t="s">
        <v>121</v>
      </c>
      <c r="AM391" t="s">
        <v>166</v>
      </c>
      <c r="AN391" t="s">
        <v>685</v>
      </c>
      <c r="AO391" t="s">
        <v>686</v>
      </c>
      <c r="AP391" t="s">
        <v>687</v>
      </c>
      <c r="AQ391" t="s">
        <v>74</v>
      </c>
      <c r="AR391" t="s">
        <v>688</v>
      </c>
      <c r="AS391" t="s">
        <v>689</v>
      </c>
      <c r="AT391" t="s">
        <v>2912</v>
      </c>
      <c r="AU391">
        <v>2020</v>
      </c>
      <c r="AV391">
        <v>43</v>
      </c>
      <c r="AW391">
        <v>3</v>
      </c>
      <c r="AX391" t="s">
        <v>74</v>
      </c>
      <c r="AY391" t="s">
        <v>74</v>
      </c>
      <c r="AZ391" t="s">
        <v>74</v>
      </c>
      <c r="BA391" t="s">
        <v>74</v>
      </c>
      <c r="BB391">
        <v>207</v>
      </c>
      <c r="BC391">
        <v>223</v>
      </c>
      <c r="BD391" t="s">
        <v>74</v>
      </c>
      <c r="BE391" t="s">
        <v>7827</v>
      </c>
      <c r="BF391" t="str">
        <f>HYPERLINK("http://dx.doi.org/10.1007/s00300-020-02624-3","http://dx.doi.org/10.1007/s00300-020-02624-3")</f>
        <v>http://dx.doi.org/10.1007/s00300-020-02624-3</v>
      </c>
      <c r="BG391" t="s">
        <v>74</v>
      </c>
      <c r="BH391" t="s">
        <v>5744</v>
      </c>
      <c r="BI391">
        <v>17</v>
      </c>
      <c r="BJ391" t="s">
        <v>130</v>
      </c>
      <c r="BK391" t="s">
        <v>103</v>
      </c>
      <c r="BL391" t="s">
        <v>131</v>
      </c>
      <c r="BM391" t="s">
        <v>5799</v>
      </c>
      <c r="BN391" t="s">
        <v>74</v>
      </c>
      <c r="BO391" t="s">
        <v>74</v>
      </c>
      <c r="BP391" t="s">
        <v>74</v>
      </c>
      <c r="BQ391" t="s">
        <v>74</v>
      </c>
      <c r="BR391" t="s">
        <v>106</v>
      </c>
      <c r="BS391" t="s">
        <v>7828</v>
      </c>
      <c r="BT391" t="str">
        <f>HYPERLINK("https%3A%2F%2Fwww.webofscience.com%2Fwos%2Fwoscc%2Ffull-record%2FWOS:000515750600001","View Full Record in Web of Science")</f>
        <v>View Full Record in Web of Science</v>
      </c>
    </row>
    <row r="392" spans="1:72" x14ac:dyDescent="0.15">
      <c r="A392" t="s">
        <v>72</v>
      </c>
      <c r="B392" t="s">
        <v>7829</v>
      </c>
      <c r="C392" t="s">
        <v>74</v>
      </c>
      <c r="D392" t="s">
        <v>74</v>
      </c>
      <c r="E392" t="s">
        <v>74</v>
      </c>
      <c r="F392" t="s">
        <v>7830</v>
      </c>
      <c r="G392" t="s">
        <v>74</v>
      </c>
      <c r="H392" t="s">
        <v>74</v>
      </c>
      <c r="I392" t="s">
        <v>7831</v>
      </c>
      <c r="J392" t="s">
        <v>7832</v>
      </c>
      <c r="K392" t="s">
        <v>74</v>
      </c>
      <c r="L392" t="s">
        <v>74</v>
      </c>
      <c r="M392" t="s">
        <v>78</v>
      </c>
      <c r="N392" t="s">
        <v>79</v>
      </c>
      <c r="O392" t="s">
        <v>74</v>
      </c>
      <c r="P392" t="s">
        <v>74</v>
      </c>
      <c r="Q392" t="s">
        <v>74</v>
      </c>
      <c r="R392" t="s">
        <v>74</v>
      </c>
      <c r="S392" t="s">
        <v>74</v>
      </c>
      <c r="T392" t="s">
        <v>74</v>
      </c>
      <c r="U392" t="s">
        <v>7833</v>
      </c>
      <c r="V392" t="s">
        <v>7834</v>
      </c>
      <c r="W392" t="s">
        <v>7835</v>
      </c>
      <c r="X392" t="s">
        <v>7836</v>
      </c>
      <c r="Y392" t="s">
        <v>7837</v>
      </c>
      <c r="Z392" t="s">
        <v>7838</v>
      </c>
      <c r="AA392" t="s">
        <v>7839</v>
      </c>
      <c r="AB392" t="s">
        <v>7840</v>
      </c>
      <c r="AC392" t="s">
        <v>7841</v>
      </c>
      <c r="AD392" t="s">
        <v>7841</v>
      </c>
      <c r="AE392" t="s">
        <v>7842</v>
      </c>
      <c r="AF392" t="s">
        <v>74</v>
      </c>
      <c r="AG392">
        <v>66</v>
      </c>
      <c r="AH392">
        <v>79</v>
      </c>
      <c r="AI392">
        <v>82</v>
      </c>
      <c r="AJ392">
        <v>7</v>
      </c>
      <c r="AK392">
        <v>68</v>
      </c>
      <c r="AL392" t="s">
        <v>6179</v>
      </c>
      <c r="AM392" t="s">
        <v>3234</v>
      </c>
      <c r="AN392" t="s">
        <v>6180</v>
      </c>
      <c r="AO392" t="s">
        <v>7843</v>
      </c>
      <c r="AP392" t="s">
        <v>7844</v>
      </c>
      <c r="AQ392" t="s">
        <v>74</v>
      </c>
      <c r="AR392" t="s">
        <v>7845</v>
      </c>
      <c r="AS392" t="s">
        <v>7846</v>
      </c>
      <c r="AT392" t="s">
        <v>7847</v>
      </c>
      <c r="AU392">
        <v>2020</v>
      </c>
      <c r="AV392">
        <v>30</v>
      </c>
      <c r="AW392">
        <v>3</v>
      </c>
      <c r="AX392" t="s">
        <v>74</v>
      </c>
      <c r="AY392" t="s">
        <v>74</v>
      </c>
      <c r="AZ392" t="s">
        <v>74</v>
      </c>
      <c r="BA392" t="s">
        <v>74</v>
      </c>
      <c r="BB392">
        <v>480</v>
      </c>
      <c r="BC392" t="s">
        <v>759</v>
      </c>
      <c r="BD392" t="s">
        <v>74</v>
      </c>
      <c r="BE392" t="s">
        <v>7848</v>
      </c>
      <c r="BF392" t="str">
        <f>HYPERLINK("http://dx.doi.org/10.1016/j.cub.2019.12.005","http://dx.doi.org/10.1016/j.cub.2019.12.005")</f>
        <v>http://dx.doi.org/10.1016/j.cub.2019.12.005</v>
      </c>
      <c r="BG392" t="s">
        <v>74</v>
      </c>
      <c r="BH392" t="s">
        <v>74</v>
      </c>
      <c r="BI392">
        <v>15</v>
      </c>
      <c r="BJ392" t="s">
        <v>7849</v>
      </c>
      <c r="BK392" t="s">
        <v>103</v>
      </c>
      <c r="BL392" t="s">
        <v>7850</v>
      </c>
      <c r="BM392" t="s">
        <v>7851</v>
      </c>
      <c r="BN392">
        <v>31983638</v>
      </c>
      <c r="BO392" t="s">
        <v>148</v>
      </c>
      <c r="BP392" t="s">
        <v>74</v>
      </c>
      <c r="BQ392" t="s">
        <v>74</v>
      </c>
      <c r="BR392" t="s">
        <v>106</v>
      </c>
      <c r="BS392" t="s">
        <v>7852</v>
      </c>
      <c r="BT392" t="str">
        <f>HYPERLINK("https%3A%2F%2Fwww.webofscience.com%2Fwos%2Fwoscc%2Ffull-record%2FWOS:000511287900026","View Full Record in Web of Science")</f>
        <v>View Full Record in Web of Science</v>
      </c>
    </row>
    <row r="393" spans="1:72" x14ac:dyDescent="0.15">
      <c r="A393" t="s">
        <v>72</v>
      </c>
      <c r="B393" t="s">
        <v>7853</v>
      </c>
      <c r="C393" t="s">
        <v>74</v>
      </c>
      <c r="D393" t="s">
        <v>74</v>
      </c>
      <c r="E393" t="s">
        <v>74</v>
      </c>
      <c r="F393" t="s">
        <v>7854</v>
      </c>
      <c r="G393" t="s">
        <v>74</v>
      </c>
      <c r="H393" t="s">
        <v>74</v>
      </c>
      <c r="I393" t="s">
        <v>7855</v>
      </c>
      <c r="J393" t="s">
        <v>6051</v>
      </c>
      <c r="K393" t="s">
        <v>74</v>
      </c>
      <c r="L393" t="s">
        <v>74</v>
      </c>
      <c r="M393" t="s">
        <v>78</v>
      </c>
      <c r="N393" t="s">
        <v>79</v>
      </c>
      <c r="O393" t="s">
        <v>74</v>
      </c>
      <c r="P393" t="s">
        <v>74</v>
      </c>
      <c r="Q393" t="s">
        <v>74</v>
      </c>
      <c r="R393" t="s">
        <v>74</v>
      </c>
      <c r="S393" t="s">
        <v>74</v>
      </c>
      <c r="T393" t="s">
        <v>7856</v>
      </c>
      <c r="U393" t="s">
        <v>7857</v>
      </c>
      <c r="V393" t="s">
        <v>7858</v>
      </c>
      <c r="W393" t="s">
        <v>7859</v>
      </c>
      <c r="X393" t="s">
        <v>7860</v>
      </c>
      <c r="Y393" t="s">
        <v>7861</v>
      </c>
      <c r="Z393" t="s">
        <v>7862</v>
      </c>
      <c r="AA393" t="s">
        <v>74</v>
      </c>
      <c r="AB393" t="s">
        <v>7863</v>
      </c>
      <c r="AC393" t="s">
        <v>7864</v>
      </c>
      <c r="AD393" t="s">
        <v>7865</v>
      </c>
      <c r="AE393" t="s">
        <v>7866</v>
      </c>
      <c r="AF393" t="s">
        <v>74</v>
      </c>
      <c r="AG393">
        <v>36</v>
      </c>
      <c r="AH393">
        <v>10</v>
      </c>
      <c r="AI393">
        <v>10</v>
      </c>
      <c r="AJ393">
        <v>1</v>
      </c>
      <c r="AK393">
        <v>6</v>
      </c>
      <c r="AL393" t="s">
        <v>211</v>
      </c>
      <c r="AM393" t="s">
        <v>212</v>
      </c>
      <c r="AN393" t="s">
        <v>213</v>
      </c>
      <c r="AO393" t="s">
        <v>6063</v>
      </c>
      <c r="AP393" t="s">
        <v>6064</v>
      </c>
      <c r="AQ393" t="s">
        <v>74</v>
      </c>
      <c r="AR393" t="s">
        <v>6065</v>
      </c>
      <c r="AS393" t="s">
        <v>6066</v>
      </c>
      <c r="AT393" t="s">
        <v>690</v>
      </c>
      <c r="AU393">
        <v>2020</v>
      </c>
      <c r="AV393">
        <v>146</v>
      </c>
      <c r="AW393">
        <v>728</v>
      </c>
      <c r="AX393" t="s">
        <v>7867</v>
      </c>
      <c r="AY393" t="s">
        <v>74</v>
      </c>
      <c r="AZ393" t="s">
        <v>74</v>
      </c>
      <c r="BA393" t="s">
        <v>74</v>
      </c>
      <c r="BB393">
        <v>1169</v>
      </c>
      <c r="BC393">
        <v>1183</v>
      </c>
      <c r="BD393" t="s">
        <v>74</v>
      </c>
      <c r="BE393" t="s">
        <v>7868</v>
      </c>
      <c r="BF393" t="str">
        <f>HYPERLINK("http://dx.doi.org/10.1002/qj.3731","http://dx.doi.org/10.1002/qj.3731")</f>
        <v>http://dx.doi.org/10.1002/qj.3731</v>
      </c>
      <c r="BG393" t="s">
        <v>74</v>
      </c>
      <c r="BH393" t="s">
        <v>5744</v>
      </c>
      <c r="BI393">
        <v>15</v>
      </c>
      <c r="BJ393" t="s">
        <v>907</v>
      </c>
      <c r="BK393" t="s">
        <v>103</v>
      </c>
      <c r="BL393" t="s">
        <v>907</v>
      </c>
      <c r="BM393" t="s">
        <v>7869</v>
      </c>
      <c r="BN393">
        <v>32616968</v>
      </c>
      <c r="BO393" t="s">
        <v>133</v>
      </c>
      <c r="BP393" t="s">
        <v>74</v>
      </c>
      <c r="BQ393" t="s">
        <v>74</v>
      </c>
      <c r="BR393" t="s">
        <v>106</v>
      </c>
      <c r="BS393" t="s">
        <v>7870</v>
      </c>
      <c r="BT393" t="str">
        <f>HYPERLINK("https%3A%2F%2Fwww.webofscience.com%2Fwos%2Fwoscc%2Ffull-record%2FWOS:000510569700001","View Full Record in Web of Science")</f>
        <v>View Full Record in Web of Science</v>
      </c>
    </row>
    <row r="394" spans="1:72" x14ac:dyDescent="0.15">
      <c r="A394" t="s">
        <v>72</v>
      </c>
      <c r="B394" t="s">
        <v>7871</v>
      </c>
      <c r="C394" t="s">
        <v>74</v>
      </c>
      <c r="D394" t="s">
        <v>74</v>
      </c>
      <c r="E394" t="s">
        <v>74</v>
      </c>
      <c r="F394" t="s">
        <v>7872</v>
      </c>
      <c r="G394" t="s">
        <v>74</v>
      </c>
      <c r="H394" t="s">
        <v>74</v>
      </c>
      <c r="I394" t="s">
        <v>7873</v>
      </c>
      <c r="J394" t="s">
        <v>198</v>
      </c>
      <c r="K394" t="s">
        <v>74</v>
      </c>
      <c r="L394" t="s">
        <v>74</v>
      </c>
      <c r="M394" t="s">
        <v>78</v>
      </c>
      <c r="N394" t="s">
        <v>79</v>
      </c>
      <c r="O394" t="s">
        <v>74</v>
      </c>
      <c r="P394" t="s">
        <v>74</v>
      </c>
      <c r="Q394" t="s">
        <v>74</v>
      </c>
      <c r="R394" t="s">
        <v>74</v>
      </c>
      <c r="S394" t="s">
        <v>74</v>
      </c>
      <c r="T394" t="s">
        <v>7874</v>
      </c>
      <c r="U394" t="s">
        <v>7875</v>
      </c>
      <c r="V394" t="s">
        <v>7876</v>
      </c>
      <c r="W394" t="s">
        <v>7877</v>
      </c>
      <c r="X394" t="s">
        <v>7878</v>
      </c>
      <c r="Y394" t="s">
        <v>7879</v>
      </c>
      <c r="Z394" t="s">
        <v>7880</v>
      </c>
      <c r="AA394" t="s">
        <v>7881</v>
      </c>
      <c r="AB394" t="s">
        <v>7882</v>
      </c>
      <c r="AC394" t="s">
        <v>7883</v>
      </c>
      <c r="AD394" t="s">
        <v>7884</v>
      </c>
      <c r="AE394" t="s">
        <v>7885</v>
      </c>
      <c r="AF394" t="s">
        <v>74</v>
      </c>
      <c r="AG394">
        <v>81</v>
      </c>
      <c r="AH394">
        <v>13</v>
      </c>
      <c r="AI394">
        <v>15</v>
      </c>
      <c r="AJ394">
        <v>6</v>
      </c>
      <c r="AK394">
        <v>56</v>
      </c>
      <c r="AL394" t="s">
        <v>211</v>
      </c>
      <c r="AM394" t="s">
        <v>212</v>
      </c>
      <c r="AN394" t="s">
        <v>213</v>
      </c>
      <c r="AO394" t="s">
        <v>214</v>
      </c>
      <c r="AP394" t="s">
        <v>215</v>
      </c>
      <c r="AQ394" t="s">
        <v>74</v>
      </c>
      <c r="AR394" t="s">
        <v>198</v>
      </c>
      <c r="AS394" t="s">
        <v>216</v>
      </c>
      <c r="AT394" t="s">
        <v>2912</v>
      </c>
      <c r="AU394">
        <v>2020</v>
      </c>
      <c r="AV394">
        <v>101</v>
      </c>
      <c r="AW394">
        <v>3</v>
      </c>
      <c r="AX394" t="s">
        <v>74</v>
      </c>
      <c r="AY394" t="s">
        <v>74</v>
      </c>
      <c r="AZ394" t="s">
        <v>74</v>
      </c>
      <c r="BA394" t="s">
        <v>74</v>
      </c>
      <c r="BB394" t="s">
        <v>74</v>
      </c>
      <c r="BC394" t="s">
        <v>74</v>
      </c>
      <c r="BD394" t="s">
        <v>74</v>
      </c>
      <c r="BE394" t="s">
        <v>7886</v>
      </c>
      <c r="BF394" t="str">
        <f>HYPERLINK("http://dx.doi.org/10.1002/ecy.2967","http://dx.doi.org/10.1002/ecy.2967")</f>
        <v>http://dx.doi.org/10.1002/ecy.2967</v>
      </c>
      <c r="BG394" t="s">
        <v>74</v>
      </c>
      <c r="BH394" t="s">
        <v>5744</v>
      </c>
      <c r="BI394">
        <v>13</v>
      </c>
      <c r="BJ394" t="s">
        <v>216</v>
      </c>
      <c r="BK394" t="s">
        <v>103</v>
      </c>
      <c r="BL394" t="s">
        <v>219</v>
      </c>
      <c r="BM394" t="s">
        <v>7887</v>
      </c>
      <c r="BN394">
        <v>31925790</v>
      </c>
      <c r="BO394" t="s">
        <v>694</v>
      </c>
      <c r="BP394" t="s">
        <v>74</v>
      </c>
      <c r="BQ394" t="s">
        <v>74</v>
      </c>
      <c r="BR394" t="s">
        <v>106</v>
      </c>
      <c r="BS394" t="s">
        <v>7888</v>
      </c>
      <c r="BT394" t="str">
        <f>HYPERLINK("https%3A%2F%2Fwww.webofscience.com%2Fwos%2Fwoscc%2Ffull-record%2FWOS:000510578600001","View Full Record in Web of Science")</f>
        <v>View Full Record in Web of Science</v>
      </c>
    </row>
    <row r="395" spans="1:72" x14ac:dyDescent="0.15">
      <c r="A395" t="s">
        <v>72</v>
      </c>
      <c r="B395" t="s">
        <v>7889</v>
      </c>
      <c r="C395" t="s">
        <v>74</v>
      </c>
      <c r="D395" t="s">
        <v>74</v>
      </c>
      <c r="E395" t="s">
        <v>74</v>
      </c>
      <c r="F395" t="s">
        <v>7890</v>
      </c>
      <c r="G395" t="s">
        <v>74</v>
      </c>
      <c r="H395" t="s">
        <v>74</v>
      </c>
      <c r="I395" t="s">
        <v>7891</v>
      </c>
      <c r="J395" t="s">
        <v>466</v>
      </c>
      <c r="K395" t="s">
        <v>74</v>
      </c>
      <c r="L395" t="s">
        <v>74</v>
      </c>
      <c r="M395" t="s">
        <v>78</v>
      </c>
      <c r="N395" t="s">
        <v>79</v>
      </c>
      <c r="O395" t="s">
        <v>74</v>
      </c>
      <c r="P395" t="s">
        <v>74</v>
      </c>
      <c r="Q395" t="s">
        <v>74</v>
      </c>
      <c r="R395" t="s">
        <v>74</v>
      </c>
      <c r="S395" t="s">
        <v>74</v>
      </c>
      <c r="T395" t="s">
        <v>7892</v>
      </c>
      <c r="U395" t="s">
        <v>7893</v>
      </c>
      <c r="V395" t="s">
        <v>7894</v>
      </c>
      <c r="W395" t="s">
        <v>7895</v>
      </c>
      <c r="X395" t="s">
        <v>7896</v>
      </c>
      <c r="Y395" t="s">
        <v>7897</v>
      </c>
      <c r="Z395" t="s">
        <v>2781</v>
      </c>
      <c r="AA395" t="s">
        <v>74</v>
      </c>
      <c r="AB395" t="s">
        <v>7898</v>
      </c>
      <c r="AC395" t="s">
        <v>7899</v>
      </c>
      <c r="AD395" t="s">
        <v>7899</v>
      </c>
      <c r="AE395" t="s">
        <v>7900</v>
      </c>
      <c r="AF395" t="s">
        <v>74</v>
      </c>
      <c r="AG395">
        <v>43</v>
      </c>
      <c r="AH395">
        <v>6</v>
      </c>
      <c r="AI395">
        <v>6</v>
      </c>
      <c r="AJ395">
        <v>0</v>
      </c>
      <c r="AK395">
        <v>7</v>
      </c>
      <c r="AL395" t="s">
        <v>238</v>
      </c>
      <c r="AM395" t="s">
        <v>166</v>
      </c>
      <c r="AN395" t="s">
        <v>239</v>
      </c>
      <c r="AO395" t="s">
        <v>478</v>
      </c>
      <c r="AP395" t="s">
        <v>479</v>
      </c>
      <c r="AQ395" t="s">
        <v>74</v>
      </c>
      <c r="AR395" t="s">
        <v>480</v>
      </c>
      <c r="AS395" t="s">
        <v>481</v>
      </c>
      <c r="AT395" t="s">
        <v>803</v>
      </c>
      <c r="AU395">
        <v>2020</v>
      </c>
      <c r="AV395">
        <v>32</v>
      </c>
      <c r="AW395">
        <v>1</v>
      </c>
      <c r="AX395" t="s">
        <v>74</v>
      </c>
      <c r="AY395" t="s">
        <v>74</v>
      </c>
      <c r="AZ395" t="s">
        <v>74</v>
      </c>
      <c r="BA395" t="s">
        <v>74</v>
      </c>
      <c r="BB395">
        <v>1</v>
      </c>
      <c r="BC395">
        <v>9</v>
      </c>
      <c r="BD395" t="s">
        <v>7901</v>
      </c>
      <c r="BE395" t="s">
        <v>7902</v>
      </c>
      <c r="BF395" t="str">
        <f>HYPERLINK("http://dx.doi.org/10.1017/S0954102019000427","http://dx.doi.org/10.1017/S0954102019000427")</f>
        <v>http://dx.doi.org/10.1017/S0954102019000427</v>
      </c>
      <c r="BG395" t="s">
        <v>74</v>
      </c>
      <c r="BH395" t="s">
        <v>74</v>
      </c>
      <c r="BI395">
        <v>9</v>
      </c>
      <c r="BJ395" t="s">
        <v>484</v>
      </c>
      <c r="BK395" t="s">
        <v>103</v>
      </c>
      <c r="BL395" t="s">
        <v>485</v>
      </c>
      <c r="BM395" t="s">
        <v>7903</v>
      </c>
      <c r="BN395" t="s">
        <v>74</v>
      </c>
      <c r="BO395" t="s">
        <v>74</v>
      </c>
      <c r="BP395" t="s">
        <v>74</v>
      </c>
      <c r="BQ395" t="s">
        <v>74</v>
      </c>
      <c r="BR395" t="s">
        <v>106</v>
      </c>
      <c r="BS395" t="s">
        <v>7904</v>
      </c>
      <c r="BT395" t="str">
        <f>HYPERLINK("https%3A%2F%2Fwww.webofscience.com%2Fwos%2Fwoscc%2Ffull-record%2FWOS:000578269300001","View Full Record in Web of Science")</f>
        <v>View Full Record in Web of Science</v>
      </c>
    </row>
    <row r="396" spans="1:72" x14ac:dyDescent="0.15">
      <c r="A396" t="s">
        <v>72</v>
      </c>
      <c r="B396" t="s">
        <v>7905</v>
      </c>
      <c r="C396" t="s">
        <v>74</v>
      </c>
      <c r="D396" t="s">
        <v>74</v>
      </c>
      <c r="E396" t="s">
        <v>74</v>
      </c>
      <c r="F396" t="s">
        <v>7906</v>
      </c>
      <c r="G396" t="s">
        <v>74</v>
      </c>
      <c r="H396" t="s">
        <v>74</v>
      </c>
      <c r="I396" t="s">
        <v>7907</v>
      </c>
      <c r="J396" t="s">
        <v>466</v>
      </c>
      <c r="K396" t="s">
        <v>74</v>
      </c>
      <c r="L396" t="s">
        <v>74</v>
      </c>
      <c r="M396" t="s">
        <v>78</v>
      </c>
      <c r="N396" t="s">
        <v>79</v>
      </c>
      <c r="O396" t="s">
        <v>74</v>
      </c>
      <c r="P396" t="s">
        <v>74</v>
      </c>
      <c r="Q396" t="s">
        <v>74</v>
      </c>
      <c r="R396" t="s">
        <v>74</v>
      </c>
      <c r="S396" t="s">
        <v>74</v>
      </c>
      <c r="T396" t="s">
        <v>7908</v>
      </c>
      <c r="U396" t="s">
        <v>7909</v>
      </c>
      <c r="V396" t="s">
        <v>7910</v>
      </c>
      <c r="W396" t="s">
        <v>7911</v>
      </c>
      <c r="X396" t="s">
        <v>7912</v>
      </c>
      <c r="Y396" t="s">
        <v>7913</v>
      </c>
      <c r="Z396" t="s">
        <v>7914</v>
      </c>
      <c r="AA396" t="s">
        <v>74</v>
      </c>
      <c r="AB396" t="s">
        <v>7915</v>
      </c>
      <c r="AC396" t="s">
        <v>7916</v>
      </c>
      <c r="AD396" t="s">
        <v>7916</v>
      </c>
      <c r="AE396" t="s">
        <v>7917</v>
      </c>
      <c r="AF396" t="s">
        <v>74</v>
      </c>
      <c r="AG396">
        <v>40</v>
      </c>
      <c r="AH396">
        <v>2</v>
      </c>
      <c r="AI396">
        <v>2</v>
      </c>
      <c r="AJ396">
        <v>1</v>
      </c>
      <c r="AK396">
        <v>5</v>
      </c>
      <c r="AL396" t="s">
        <v>238</v>
      </c>
      <c r="AM396" t="s">
        <v>166</v>
      </c>
      <c r="AN396" t="s">
        <v>239</v>
      </c>
      <c r="AO396" t="s">
        <v>478</v>
      </c>
      <c r="AP396" t="s">
        <v>479</v>
      </c>
      <c r="AQ396" t="s">
        <v>74</v>
      </c>
      <c r="AR396" t="s">
        <v>480</v>
      </c>
      <c r="AS396" t="s">
        <v>481</v>
      </c>
      <c r="AT396" t="s">
        <v>803</v>
      </c>
      <c r="AU396">
        <v>2020</v>
      </c>
      <c r="AV396">
        <v>32</v>
      </c>
      <c r="AW396">
        <v>1</v>
      </c>
      <c r="AX396" t="s">
        <v>74</v>
      </c>
      <c r="AY396" t="s">
        <v>74</v>
      </c>
      <c r="AZ396" t="s">
        <v>74</v>
      </c>
      <c r="BA396" t="s">
        <v>74</v>
      </c>
      <c r="BB396">
        <v>10</v>
      </c>
      <c r="BC396">
        <v>14</v>
      </c>
      <c r="BD396" t="s">
        <v>7918</v>
      </c>
      <c r="BE396" t="s">
        <v>7919</v>
      </c>
      <c r="BF396" t="str">
        <f>HYPERLINK("http://dx.doi.org/10.1017/S0954102019000506","http://dx.doi.org/10.1017/S0954102019000506")</f>
        <v>http://dx.doi.org/10.1017/S0954102019000506</v>
      </c>
      <c r="BG396" t="s">
        <v>74</v>
      </c>
      <c r="BH396" t="s">
        <v>74</v>
      </c>
      <c r="BI396">
        <v>5</v>
      </c>
      <c r="BJ396" t="s">
        <v>484</v>
      </c>
      <c r="BK396" t="s">
        <v>103</v>
      </c>
      <c r="BL396" t="s">
        <v>485</v>
      </c>
      <c r="BM396" t="s">
        <v>7903</v>
      </c>
      <c r="BN396" t="s">
        <v>74</v>
      </c>
      <c r="BO396" t="s">
        <v>74</v>
      </c>
      <c r="BP396" t="s">
        <v>74</v>
      </c>
      <c r="BQ396" t="s">
        <v>74</v>
      </c>
      <c r="BR396" t="s">
        <v>106</v>
      </c>
      <c r="BS396" t="s">
        <v>7920</v>
      </c>
      <c r="BT396" t="str">
        <f>HYPERLINK("https%3A%2F%2Fwww.webofscience.com%2Fwos%2Fwoscc%2Ffull-record%2FWOS:000578269300002","View Full Record in Web of Science")</f>
        <v>View Full Record in Web of Science</v>
      </c>
    </row>
    <row r="397" spans="1:72" x14ac:dyDescent="0.15">
      <c r="A397" t="s">
        <v>72</v>
      </c>
      <c r="B397" t="s">
        <v>7921</v>
      </c>
      <c r="C397" t="s">
        <v>74</v>
      </c>
      <c r="D397" t="s">
        <v>74</v>
      </c>
      <c r="E397" t="s">
        <v>74</v>
      </c>
      <c r="F397" t="s">
        <v>7922</v>
      </c>
      <c r="G397" t="s">
        <v>74</v>
      </c>
      <c r="H397" t="s">
        <v>74</v>
      </c>
      <c r="I397" t="s">
        <v>7923</v>
      </c>
      <c r="J397" t="s">
        <v>466</v>
      </c>
      <c r="K397" t="s">
        <v>74</v>
      </c>
      <c r="L397" t="s">
        <v>74</v>
      </c>
      <c r="M397" t="s">
        <v>78</v>
      </c>
      <c r="N397" t="s">
        <v>79</v>
      </c>
      <c r="O397" t="s">
        <v>74</v>
      </c>
      <c r="P397" t="s">
        <v>74</v>
      </c>
      <c r="Q397" t="s">
        <v>74</v>
      </c>
      <c r="R397" t="s">
        <v>74</v>
      </c>
      <c r="S397" t="s">
        <v>74</v>
      </c>
      <c r="T397" t="s">
        <v>7924</v>
      </c>
      <c r="U397" t="s">
        <v>7925</v>
      </c>
      <c r="V397" t="s">
        <v>7926</v>
      </c>
      <c r="W397" t="s">
        <v>7927</v>
      </c>
      <c r="X397" t="s">
        <v>7928</v>
      </c>
      <c r="Y397" t="s">
        <v>7929</v>
      </c>
      <c r="Z397" t="s">
        <v>7930</v>
      </c>
      <c r="AA397" t="s">
        <v>7931</v>
      </c>
      <c r="AB397" t="s">
        <v>7932</v>
      </c>
      <c r="AC397" t="s">
        <v>7933</v>
      </c>
      <c r="AD397" t="s">
        <v>7934</v>
      </c>
      <c r="AE397" t="s">
        <v>7935</v>
      </c>
      <c r="AF397" t="s">
        <v>74</v>
      </c>
      <c r="AG397">
        <v>31</v>
      </c>
      <c r="AH397">
        <v>0</v>
      </c>
      <c r="AI397">
        <v>0</v>
      </c>
      <c r="AJ397">
        <v>0</v>
      </c>
      <c r="AK397">
        <v>8</v>
      </c>
      <c r="AL397" t="s">
        <v>238</v>
      </c>
      <c r="AM397" t="s">
        <v>166</v>
      </c>
      <c r="AN397" t="s">
        <v>239</v>
      </c>
      <c r="AO397" t="s">
        <v>478</v>
      </c>
      <c r="AP397" t="s">
        <v>479</v>
      </c>
      <c r="AQ397" t="s">
        <v>74</v>
      </c>
      <c r="AR397" t="s">
        <v>480</v>
      </c>
      <c r="AS397" t="s">
        <v>481</v>
      </c>
      <c r="AT397" t="s">
        <v>803</v>
      </c>
      <c r="AU397">
        <v>2020</v>
      </c>
      <c r="AV397">
        <v>32</v>
      </c>
      <c r="AW397">
        <v>1</v>
      </c>
      <c r="AX397" t="s">
        <v>74</v>
      </c>
      <c r="AY397" t="s">
        <v>74</v>
      </c>
      <c r="AZ397" t="s">
        <v>74</v>
      </c>
      <c r="BA397" t="s">
        <v>74</v>
      </c>
      <c r="BB397">
        <v>15</v>
      </c>
      <c r="BC397">
        <v>20</v>
      </c>
      <c r="BD397" t="s">
        <v>7936</v>
      </c>
      <c r="BE397" t="s">
        <v>7937</v>
      </c>
      <c r="BF397" t="str">
        <f>HYPERLINK("http://dx.doi.org/10.1017/S0954102019000464","http://dx.doi.org/10.1017/S0954102019000464")</f>
        <v>http://dx.doi.org/10.1017/S0954102019000464</v>
      </c>
      <c r="BG397" t="s">
        <v>74</v>
      </c>
      <c r="BH397" t="s">
        <v>74</v>
      </c>
      <c r="BI397">
        <v>6</v>
      </c>
      <c r="BJ397" t="s">
        <v>484</v>
      </c>
      <c r="BK397" t="s">
        <v>103</v>
      </c>
      <c r="BL397" t="s">
        <v>485</v>
      </c>
      <c r="BM397" t="s">
        <v>7903</v>
      </c>
      <c r="BN397" t="s">
        <v>74</v>
      </c>
      <c r="BO397" t="s">
        <v>298</v>
      </c>
      <c r="BP397" t="s">
        <v>74</v>
      </c>
      <c r="BQ397" t="s">
        <v>74</v>
      </c>
      <c r="BR397" t="s">
        <v>106</v>
      </c>
      <c r="BS397" t="s">
        <v>7938</v>
      </c>
      <c r="BT397" t="str">
        <f>HYPERLINK("https%3A%2F%2Fwww.webofscience.com%2Fwos%2Fwoscc%2Ffull-record%2FWOS:000578269300003","View Full Record in Web of Science")</f>
        <v>View Full Record in Web of Science</v>
      </c>
    </row>
    <row r="398" spans="1:72" x14ac:dyDescent="0.15">
      <c r="A398" t="s">
        <v>72</v>
      </c>
      <c r="B398" t="s">
        <v>7939</v>
      </c>
      <c r="C398" t="s">
        <v>74</v>
      </c>
      <c r="D398" t="s">
        <v>74</v>
      </c>
      <c r="E398" t="s">
        <v>74</v>
      </c>
      <c r="F398" t="s">
        <v>7940</v>
      </c>
      <c r="G398" t="s">
        <v>74</v>
      </c>
      <c r="H398" t="s">
        <v>74</v>
      </c>
      <c r="I398" t="s">
        <v>7941</v>
      </c>
      <c r="J398" t="s">
        <v>466</v>
      </c>
      <c r="K398" t="s">
        <v>74</v>
      </c>
      <c r="L398" t="s">
        <v>74</v>
      </c>
      <c r="M398" t="s">
        <v>78</v>
      </c>
      <c r="N398" t="s">
        <v>79</v>
      </c>
      <c r="O398" t="s">
        <v>74</v>
      </c>
      <c r="P398" t="s">
        <v>74</v>
      </c>
      <c r="Q398" t="s">
        <v>74</v>
      </c>
      <c r="R398" t="s">
        <v>74</v>
      </c>
      <c r="S398" t="s">
        <v>74</v>
      </c>
      <c r="T398" t="s">
        <v>7942</v>
      </c>
      <c r="U398" t="s">
        <v>7943</v>
      </c>
      <c r="V398" t="s">
        <v>7944</v>
      </c>
      <c r="W398" t="s">
        <v>7945</v>
      </c>
      <c r="X398" t="s">
        <v>7946</v>
      </c>
      <c r="Y398" t="s">
        <v>7947</v>
      </c>
      <c r="Z398" t="s">
        <v>7948</v>
      </c>
      <c r="AA398" t="s">
        <v>7949</v>
      </c>
      <c r="AB398" t="s">
        <v>7950</v>
      </c>
      <c r="AC398" t="s">
        <v>74</v>
      </c>
      <c r="AD398" t="s">
        <v>74</v>
      </c>
      <c r="AE398" t="s">
        <v>74</v>
      </c>
      <c r="AF398" t="s">
        <v>74</v>
      </c>
      <c r="AG398">
        <v>27</v>
      </c>
      <c r="AH398">
        <v>2</v>
      </c>
      <c r="AI398">
        <v>2</v>
      </c>
      <c r="AJ398">
        <v>1</v>
      </c>
      <c r="AK398">
        <v>6</v>
      </c>
      <c r="AL398" t="s">
        <v>238</v>
      </c>
      <c r="AM398" t="s">
        <v>166</v>
      </c>
      <c r="AN398" t="s">
        <v>239</v>
      </c>
      <c r="AO398" t="s">
        <v>478</v>
      </c>
      <c r="AP398" t="s">
        <v>479</v>
      </c>
      <c r="AQ398" t="s">
        <v>74</v>
      </c>
      <c r="AR398" t="s">
        <v>480</v>
      </c>
      <c r="AS398" t="s">
        <v>481</v>
      </c>
      <c r="AT398" t="s">
        <v>803</v>
      </c>
      <c r="AU398">
        <v>2020</v>
      </c>
      <c r="AV398">
        <v>32</v>
      </c>
      <c r="AW398">
        <v>1</v>
      </c>
      <c r="AX398" t="s">
        <v>74</v>
      </c>
      <c r="AY398" t="s">
        <v>74</v>
      </c>
      <c r="AZ398" t="s">
        <v>74</v>
      </c>
      <c r="BA398" t="s">
        <v>74</v>
      </c>
      <c r="BB398">
        <v>29</v>
      </c>
      <c r="BC398">
        <v>42</v>
      </c>
      <c r="BD398" t="s">
        <v>7951</v>
      </c>
      <c r="BE398" t="s">
        <v>7952</v>
      </c>
      <c r="BF398" t="str">
        <f>HYPERLINK("http://dx.doi.org/10.1017/S0954102019000555","http://dx.doi.org/10.1017/S0954102019000555")</f>
        <v>http://dx.doi.org/10.1017/S0954102019000555</v>
      </c>
      <c r="BG398" t="s">
        <v>74</v>
      </c>
      <c r="BH398" t="s">
        <v>74</v>
      </c>
      <c r="BI398">
        <v>14</v>
      </c>
      <c r="BJ398" t="s">
        <v>484</v>
      </c>
      <c r="BK398" t="s">
        <v>103</v>
      </c>
      <c r="BL398" t="s">
        <v>485</v>
      </c>
      <c r="BM398" t="s">
        <v>7903</v>
      </c>
      <c r="BN398" t="s">
        <v>74</v>
      </c>
      <c r="BO398" t="s">
        <v>517</v>
      </c>
      <c r="BP398" t="s">
        <v>74</v>
      </c>
      <c r="BQ398" t="s">
        <v>74</v>
      </c>
      <c r="BR398" t="s">
        <v>106</v>
      </c>
      <c r="BS398" t="s">
        <v>7953</v>
      </c>
      <c r="BT398" t="str">
        <f>HYPERLINK("https%3A%2F%2Fwww.webofscience.com%2Fwos%2Fwoscc%2Ffull-record%2FWOS:000578269300005","View Full Record in Web of Science")</f>
        <v>View Full Record in Web of Science</v>
      </c>
    </row>
    <row r="399" spans="1:72" x14ac:dyDescent="0.15">
      <c r="A399" t="s">
        <v>72</v>
      </c>
      <c r="B399" t="s">
        <v>7954</v>
      </c>
      <c r="C399" t="s">
        <v>74</v>
      </c>
      <c r="D399" t="s">
        <v>74</v>
      </c>
      <c r="E399" t="s">
        <v>74</v>
      </c>
      <c r="F399" t="s">
        <v>7955</v>
      </c>
      <c r="G399" t="s">
        <v>74</v>
      </c>
      <c r="H399" t="s">
        <v>74</v>
      </c>
      <c r="I399" t="s">
        <v>7956</v>
      </c>
      <c r="J399" t="s">
        <v>466</v>
      </c>
      <c r="K399" t="s">
        <v>74</v>
      </c>
      <c r="L399" t="s">
        <v>74</v>
      </c>
      <c r="M399" t="s">
        <v>78</v>
      </c>
      <c r="N399" t="s">
        <v>79</v>
      </c>
      <c r="O399" t="s">
        <v>74</v>
      </c>
      <c r="P399" t="s">
        <v>74</v>
      </c>
      <c r="Q399" t="s">
        <v>74</v>
      </c>
      <c r="R399" t="s">
        <v>74</v>
      </c>
      <c r="S399" t="s">
        <v>74</v>
      </c>
      <c r="T399" t="s">
        <v>74</v>
      </c>
      <c r="U399" t="s">
        <v>74</v>
      </c>
      <c r="V399" t="s">
        <v>7957</v>
      </c>
      <c r="W399" t="s">
        <v>7958</v>
      </c>
      <c r="X399" t="s">
        <v>7959</v>
      </c>
      <c r="Y399" t="s">
        <v>7960</v>
      </c>
      <c r="Z399" t="s">
        <v>3324</v>
      </c>
      <c r="AA399" t="s">
        <v>74</v>
      </c>
      <c r="AB399" t="s">
        <v>74</v>
      </c>
      <c r="AC399" t="s">
        <v>7961</v>
      </c>
      <c r="AD399" t="s">
        <v>7962</v>
      </c>
      <c r="AE399" t="s">
        <v>7963</v>
      </c>
      <c r="AF399" t="s">
        <v>74</v>
      </c>
      <c r="AG399">
        <v>10</v>
      </c>
      <c r="AH399">
        <v>1</v>
      </c>
      <c r="AI399">
        <v>1</v>
      </c>
      <c r="AJ399">
        <v>0</v>
      </c>
      <c r="AK399">
        <v>1</v>
      </c>
      <c r="AL399" t="s">
        <v>238</v>
      </c>
      <c r="AM399" t="s">
        <v>166</v>
      </c>
      <c r="AN399" t="s">
        <v>239</v>
      </c>
      <c r="AO399" t="s">
        <v>478</v>
      </c>
      <c r="AP399" t="s">
        <v>479</v>
      </c>
      <c r="AQ399" t="s">
        <v>74</v>
      </c>
      <c r="AR399" t="s">
        <v>480</v>
      </c>
      <c r="AS399" t="s">
        <v>481</v>
      </c>
      <c r="AT399" t="s">
        <v>803</v>
      </c>
      <c r="AU399">
        <v>2020</v>
      </c>
      <c r="AV399">
        <v>32</v>
      </c>
      <c r="AW399">
        <v>1</v>
      </c>
      <c r="AX399" t="s">
        <v>74</v>
      </c>
      <c r="AY399" t="s">
        <v>74</v>
      </c>
      <c r="AZ399" t="s">
        <v>74</v>
      </c>
      <c r="BA399" t="s">
        <v>74</v>
      </c>
      <c r="BB399">
        <v>43</v>
      </c>
      <c r="BC399">
        <v>44</v>
      </c>
      <c r="BD399" t="s">
        <v>7964</v>
      </c>
      <c r="BE399" t="s">
        <v>7965</v>
      </c>
      <c r="BF399" t="str">
        <f>HYPERLINK("http://dx.doi.org/10.1017/S095410201900052X","http://dx.doi.org/10.1017/S095410201900052X")</f>
        <v>http://dx.doi.org/10.1017/S095410201900052X</v>
      </c>
      <c r="BG399" t="s">
        <v>74</v>
      </c>
      <c r="BH399" t="s">
        <v>74</v>
      </c>
      <c r="BI399">
        <v>2</v>
      </c>
      <c r="BJ399" t="s">
        <v>484</v>
      </c>
      <c r="BK399" t="s">
        <v>103</v>
      </c>
      <c r="BL399" t="s">
        <v>485</v>
      </c>
      <c r="BM399" t="s">
        <v>7903</v>
      </c>
      <c r="BN399" t="s">
        <v>74</v>
      </c>
      <c r="BO399" t="s">
        <v>74</v>
      </c>
      <c r="BP399" t="s">
        <v>74</v>
      </c>
      <c r="BQ399" t="s">
        <v>74</v>
      </c>
      <c r="BR399" t="s">
        <v>106</v>
      </c>
      <c r="BS399" t="s">
        <v>7966</v>
      </c>
      <c r="BT399" t="str">
        <f>HYPERLINK("https%3A%2F%2Fwww.webofscience.com%2Fwos%2Fwoscc%2Ffull-record%2FWOS:000578269300006","View Full Record in Web of Science")</f>
        <v>View Full Record in Web of Science</v>
      </c>
    </row>
    <row r="400" spans="1:72" x14ac:dyDescent="0.15">
      <c r="A400" t="s">
        <v>72</v>
      </c>
      <c r="B400" t="s">
        <v>7967</v>
      </c>
      <c r="C400" t="s">
        <v>74</v>
      </c>
      <c r="D400" t="s">
        <v>74</v>
      </c>
      <c r="E400" t="s">
        <v>74</v>
      </c>
      <c r="F400" t="s">
        <v>7968</v>
      </c>
      <c r="G400" t="s">
        <v>74</v>
      </c>
      <c r="H400" t="s">
        <v>74</v>
      </c>
      <c r="I400" t="s">
        <v>7969</v>
      </c>
      <c r="J400" t="s">
        <v>466</v>
      </c>
      <c r="K400" t="s">
        <v>74</v>
      </c>
      <c r="L400" t="s">
        <v>74</v>
      </c>
      <c r="M400" t="s">
        <v>78</v>
      </c>
      <c r="N400" t="s">
        <v>79</v>
      </c>
      <c r="O400" t="s">
        <v>74</v>
      </c>
      <c r="P400" t="s">
        <v>74</v>
      </c>
      <c r="Q400" t="s">
        <v>74</v>
      </c>
      <c r="R400" t="s">
        <v>74</v>
      </c>
      <c r="S400" t="s">
        <v>74</v>
      </c>
      <c r="T400" t="s">
        <v>7970</v>
      </c>
      <c r="U400" t="s">
        <v>7971</v>
      </c>
      <c r="V400" t="s">
        <v>7972</v>
      </c>
      <c r="W400" t="s">
        <v>7973</v>
      </c>
      <c r="X400" t="s">
        <v>7974</v>
      </c>
      <c r="Y400" t="s">
        <v>7975</v>
      </c>
      <c r="Z400" t="s">
        <v>7976</v>
      </c>
      <c r="AA400" t="s">
        <v>7977</v>
      </c>
      <c r="AB400" t="s">
        <v>74</v>
      </c>
      <c r="AC400" t="s">
        <v>7978</v>
      </c>
      <c r="AD400" t="s">
        <v>7979</v>
      </c>
      <c r="AE400" t="s">
        <v>7980</v>
      </c>
      <c r="AF400" t="s">
        <v>74</v>
      </c>
      <c r="AG400">
        <v>41</v>
      </c>
      <c r="AH400">
        <v>4</v>
      </c>
      <c r="AI400">
        <v>4</v>
      </c>
      <c r="AJ400">
        <v>0</v>
      </c>
      <c r="AK400">
        <v>3</v>
      </c>
      <c r="AL400" t="s">
        <v>238</v>
      </c>
      <c r="AM400" t="s">
        <v>166</v>
      </c>
      <c r="AN400" t="s">
        <v>239</v>
      </c>
      <c r="AO400" t="s">
        <v>478</v>
      </c>
      <c r="AP400" t="s">
        <v>479</v>
      </c>
      <c r="AQ400" t="s">
        <v>74</v>
      </c>
      <c r="AR400" t="s">
        <v>480</v>
      </c>
      <c r="AS400" t="s">
        <v>481</v>
      </c>
      <c r="AT400" t="s">
        <v>803</v>
      </c>
      <c r="AU400">
        <v>2020</v>
      </c>
      <c r="AV400">
        <v>32</v>
      </c>
      <c r="AW400">
        <v>1</v>
      </c>
      <c r="AX400" t="s">
        <v>74</v>
      </c>
      <c r="AY400" t="s">
        <v>74</v>
      </c>
      <c r="AZ400" t="s">
        <v>74</v>
      </c>
      <c r="BA400" t="s">
        <v>74</v>
      </c>
      <c r="BB400">
        <v>45</v>
      </c>
      <c r="BC400">
        <v>57</v>
      </c>
      <c r="BD400" t="s">
        <v>7981</v>
      </c>
      <c r="BE400" t="s">
        <v>7982</v>
      </c>
      <c r="BF400" t="str">
        <f>HYPERLINK("http://dx.doi.org/10.1017/S0954102019000518","http://dx.doi.org/10.1017/S0954102019000518")</f>
        <v>http://dx.doi.org/10.1017/S0954102019000518</v>
      </c>
      <c r="BG400" t="s">
        <v>74</v>
      </c>
      <c r="BH400" t="s">
        <v>74</v>
      </c>
      <c r="BI400">
        <v>13</v>
      </c>
      <c r="BJ400" t="s">
        <v>484</v>
      </c>
      <c r="BK400" t="s">
        <v>103</v>
      </c>
      <c r="BL400" t="s">
        <v>485</v>
      </c>
      <c r="BM400" t="s">
        <v>7903</v>
      </c>
      <c r="BN400" t="s">
        <v>74</v>
      </c>
      <c r="BO400" t="s">
        <v>416</v>
      </c>
      <c r="BP400" t="s">
        <v>74</v>
      </c>
      <c r="BQ400" t="s">
        <v>74</v>
      </c>
      <c r="BR400" t="s">
        <v>106</v>
      </c>
      <c r="BS400" t="s">
        <v>7983</v>
      </c>
      <c r="BT400" t="str">
        <f>HYPERLINK("https%3A%2F%2Fwww.webofscience.com%2Fwos%2Fwoscc%2Ffull-record%2FWOS:000578269300007","View Full Record in Web of Science")</f>
        <v>View Full Record in Web of Science</v>
      </c>
    </row>
    <row r="401" spans="1:72" x14ac:dyDescent="0.15">
      <c r="A401" t="s">
        <v>72</v>
      </c>
      <c r="B401" t="s">
        <v>7984</v>
      </c>
      <c r="C401" t="s">
        <v>74</v>
      </c>
      <c r="D401" t="s">
        <v>74</v>
      </c>
      <c r="E401" t="s">
        <v>74</v>
      </c>
      <c r="F401" t="s">
        <v>7985</v>
      </c>
      <c r="G401" t="s">
        <v>74</v>
      </c>
      <c r="H401" t="s">
        <v>74</v>
      </c>
      <c r="I401" t="s">
        <v>7986</v>
      </c>
      <c r="J401" t="s">
        <v>3220</v>
      </c>
      <c r="K401" t="s">
        <v>74</v>
      </c>
      <c r="L401" t="s">
        <v>74</v>
      </c>
      <c r="M401" t="s">
        <v>78</v>
      </c>
      <c r="N401" t="s">
        <v>1434</v>
      </c>
      <c r="O401" t="s">
        <v>74</v>
      </c>
      <c r="P401" t="s">
        <v>74</v>
      </c>
      <c r="Q401" t="s">
        <v>74</v>
      </c>
      <c r="R401" t="s">
        <v>74</v>
      </c>
      <c r="S401" t="s">
        <v>74</v>
      </c>
      <c r="T401" t="s">
        <v>7987</v>
      </c>
      <c r="U401" t="s">
        <v>7988</v>
      </c>
      <c r="V401" t="s">
        <v>7989</v>
      </c>
      <c r="W401" t="s">
        <v>7990</v>
      </c>
      <c r="X401" t="s">
        <v>7991</v>
      </c>
      <c r="Y401" t="s">
        <v>7992</v>
      </c>
      <c r="Z401" t="s">
        <v>3378</v>
      </c>
      <c r="AA401" t="s">
        <v>7993</v>
      </c>
      <c r="AB401" t="s">
        <v>7994</v>
      </c>
      <c r="AC401" t="s">
        <v>7995</v>
      </c>
      <c r="AD401" t="s">
        <v>7996</v>
      </c>
      <c r="AE401" t="s">
        <v>7997</v>
      </c>
      <c r="AF401" t="s">
        <v>74</v>
      </c>
      <c r="AG401">
        <v>127</v>
      </c>
      <c r="AH401">
        <v>33</v>
      </c>
      <c r="AI401">
        <v>36</v>
      </c>
      <c r="AJ401">
        <v>4</v>
      </c>
      <c r="AK401">
        <v>42</v>
      </c>
      <c r="AL401" t="s">
        <v>3233</v>
      </c>
      <c r="AM401" t="s">
        <v>3234</v>
      </c>
      <c r="AN401" t="s">
        <v>3235</v>
      </c>
      <c r="AO401" t="s">
        <v>3236</v>
      </c>
      <c r="AP401" t="s">
        <v>3237</v>
      </c>
      <c r="AQ401" t="s">
        <v>74</v>
      </c>
      <c r="AR401" t="s">
        <v>3238</v>
      </c>
      <c r="AS401" t="s">
        <v>3239</v>
      </c>
      <c r="AT401" t="s">
        <v>803</v>
      </c>
      <c r="AU401">
        <v>2020</v>
      </c>
      <c r="AV401">
        <v>223</v>
      </c>
      <c r="AW401">
        <v>3</v>
      </c>
      <c r="AX401" t="s">
        <v>74</v>
      </c>
      <c r="AY401" t="s">
        <v>74</v>
      </c>
      <c r="AZ401" t="s">
        <v>74</v>
      </c>
      <c r="BA401" t="s">
        <v>74</v>
      </c>
      <c r="BB401" t="s">
        <v>74</v>
      </c>
      <c r="BC401" t="s">
        <v>74</v>
      </c>
      <c r="BD401" t="s">
        <v>7998</v>
      </c>
      <c r="BE401" t="s">
        <v>7999</v>
      </c>
      <c r="BF401" t="str">
        <f>HYPERLINK("http://dx.doi.org/10.1242/jeb.203448","http://dx.doi.org/10.1242/jeb.203448")</f>
        <v>http://dx.doi.org/10.1242/jeb.203448</v>
      </c>
      <c r="BG401" t="s">
        <v>74</v>
      </c>
      <c r="BH401" t="s">
        <v>74</v>
      </c>
      <c r="BI401">
        <v>12</v>
      </c>
      <c r="BJ401" t="s">
        <v>1498</v>
      </c>
      <c r="BK401" t="s">
        <v>103</v>
      </c>
      <c r="BL401" t="s">
        <v>1499</v>
      </c>
      <c r="BM401" t="s">
        <v>8000</v>
      </c>
      <c r="BN401">
        <v>32051174</v>
      </c>
      <c r="BO401" t="s">
        <v>517</v>
      </c>
      <c r="BP401" t="s">
        <v>74</v>
      </c>
      <c r="BQ401" t="s">
        <v>74</v>
      </c>
      <c r="BR401" t="s">
        <v>106</v>
      </c>
      <c r="BS401" t="s">
        <v>8001</v>
      </c>
      <c r="BT401" t="str">
        <f>HYPERLINK("https%3A%2F%2Fwww.webofscience.com%2Fwos%2Fwoscc%2Ffull-record%2FWOS:000541784000001","View Full Record in Web of Science")</f>
        <v>View Full Record in Web of Science</v>
      </c>
    </row>
    <row r="402" spans="1:72" x14ac:dyDescent="0.15">
      <c r="A402" t="s">
        <v>72</v>
      </c>
      <c r="B402" t="s">
        <v>8002</v>
      </c>
      <c r="C402" t="s">
        <v>74</v>
      </c>
      <c r="D402" t="s">
        <v>74</v>
      </c>
      <c r="E402" t="s">
        <v>74</v>
      </c>
      <c r="F402" t="s">
        <v>8003</v>
      </c>
      <c r="G402" t="s">
        <v>74</v>
      </c>
      <c r="H402" t="s">
        <v>74</v>
      </c>
      <c r="I402" t="s">
        <v>8004</v>
      </c>
      <c r="J402" t="s">
        <v>3567</v>
      </c>
      <c r="K402" t="s">
        <v>74</v>
      </c>
      <c r="L402" t="s">
        <v>74</v>
      </c>
      <c r="M402" t="s">
        <v>78</v>
      </c>
      <c r="N402" t="s">
        <v>79</v>
      </c>
      <c r="O402" t="s">
        <v>74</v>
      </c>
      <c r="P402" t="s">
        <v>74</v>
      </c>
      <c r="Q402" t="s">
        <v>74</v>
      </c>
      <c r="R402" t="s">
        <v>74</v>
      </c>
      <c r="S402" t="s">
        <v>74</v>
      </c>
      <c r="T402" t="s">
        <v>8005</v>
      </c>
      <c r="U402" t="s">
        <v>8006</v>
      </c>
      <c r="V402" t="s">
        <v>8007</v>
      </c>
      <c r="W402" t="s">
        <v>8008</v>
      </c>
      <c r="X402" t="s">
        <v>8009</v>
      </c>
      <c r="Y402" t="s">
        <v>8010</v>
      </c>
      <c r="Z402" t="s">
        <v>8011</v>
      </c>
      <c r="AA402" t="s">
        <v>8012</v>
      </c>
      <c r="AB402" t="s">
        <v>8013</v>
      </c>
      <c r="AC402" t="s">
        <v>8014</v>
      </c>
      <c r="AD402" t="s">
        <v>8015</v>
      </c>
      <c r="AE402" t="s">
        <v>8016</v>
      </c>
      <c r="AF402" t="s">
        <v>74</v>
      </c>
      <c r="AG402">
        <v>119</v>
      </c>
      <c r="AH402">
        <v>18</v>
      </c>
      <c r="AI402">
        <v>20</v>
      </c>
      <c r="AJ402">
        <v>3</v>
      </c>
      <c r="AK402">
        <v>20</v>
      </c>
      <c r="AL402" t="s">
        <v>855</v>
      </c>
      <c r="AM402" t="s">
        <v>266</v>
      </c>
      <c r="AN402" t="s">
        <v>856</v>
      </c>
      <c r="AO402" t="s">
        <v>74</v>
      </c>
      <c r="AP402" t="s">
        <v>3579</v>
      </c>
      <c r="AQ402" t="s">
        <v>74</v>
      </c>
      <c r="AR402" t="s">
        <v>3580</v>
      </c>
      <c r="AS402" t="s">
        <v>3581</v>
      </c>
      <c r="AT402" t="s">
        <v>803</v>
      </c>
      <c r="AU402">
        <v>2020</v>
      </c>
      <c r="AV402">
        <v>21</v>
      </c>
      <c r="AW402">
        <v>2</v>
      </c>
      <c r="AX402" t="s">
        <v>74</v>
      </c>
      <c r="AY402" t="s">
        <v>74</v>
      </c>
      <c r="AZ402" t="s">
        <v>74</v>
      </c>
      <c r="BA402" t="s">
        <v>74</v>
      </c>
      <c r="BB402" t="s">
        <v>74</v>
      </c>
      <c r="BC402" t="s">
        <v>74</v>
      </c>
      <c r="BD402" t="s">
        <v>8017</v>
      </c>
      <c r="BE402" t="s">
        <v>8018</v>
      </c>
      <c r="BF402" t="str">
        <f>HYPERLINK("http://dx.doi.org/10.1029/2019GC008440","http://dx.doi.org/10.1029/2019GC008440")</f>
        <v>http://dx.doi.org/10.1029/2019GC008440</v>
      </c>
      <c r="BG402" t="s">
        <v>74</v>
      </c>
      <c r="BH402" t="s">
        <v>74</v>
      </c>
      <c r="BI402">
        <v>29</v>
      </c>
      <c r="BJ402" t="s">
        <v>442</v>
      </c>
      <c r="BK402" t="s">
        <v>103</v>
      </c>
      <c r="BL402" t="s">
        <v>442</v>
      </c>
      <c r="BM402" t="s">
        <v>8019</v>
      </c>
      <c r="BN402" t="s">
        <v>74</v>
      </c>
      <c r="BO402" t="s">
        <v>133</v>
      </c>
      <c r="BP402" t="s">
        <v>74</v>
      </c>
      <c r="BQ402" t="s">
        <v>74</v>
      </c>
      <c r="BR402" t="s">
        <v>106</v>
      </c>
      <c r="BS402" t="s">
        <v>8020</v>
      </c>
      <c r="BT402" t="str">
        <f>HYPERLINK("https%3A%2F%2Fwww.webofscience.com%2Fwos%2Fwoscc%2Ffull-record%2FWOS:000534477700009","View Full Record in Web of Science")</f>
        <v>View Full Record in Web of Science</v>
      </c>
    </row>
    <row r="403" spans="1:72" x14ac:dyDescent="0.15">
      <c r="A403" t="s">
        <v>72</v>
      </c>
      <c r="B403" t="s">
        <v>8021</v>
      </c>
      <c r="C403" t="s">
        <v>74</v>
      </c>
      <c r="D403" t="s">
        <v>74</v>
      </c>
      <c r="E403" t="s">
        <v>74</v>
      </c>
      <c r="F403" t="s">
        <v>8022</v>
      </c>
      <c r="G403" t="s">
        <v>74</v>
      </c>
      <c r="H403" t="s">
        <v>74</v>
      </c>
      <c r="I403" t="s">
        <v>8023</v>
      </c>
      <c r="J403" t="s">
        <v>8024</v>
      </c>
      <c r="K403" t="s">
        <v>74</v>
      </c>
      <c r="L403" t="s">
        <v>74</v>
      </c>
      <c r="M403" t="s">
        <v>78</v>
      </c>
      <c r="N403" t="s">
        <v>79</v>
      </c>
      <c r="O403" t="s">
        <v>74</v>
      </c>
      <c r="P403" t="s">
        <v>74</v>
      </c>
      <c r="Q403" t="s">
        <v>74</v>
      </c>
      <c r="R403" t="s">
        <v>74</v>
      </c>
      <c r="S403" t="s">
        <v>74</v>
      </c>
      <c r="T403" t="s">
        <v>74</v>
      </c>
      <c r="U403" t="s">
        <v>8025</v>
      </c>
      <c r="V403" t="s">
        <v>8026</v>
      </c>
      <c r="W403" t="s">
        <v>8027</v>
      </c>
      <c r="X403" t="s">
        <v>8028</v>
      </c>
      <c r="Y403" t="s">
        <v>8029</v>
      </c>
      <c r="Z403" t="s">
        <v>8030</v>
      </c>
      <c r="AA403" t="s">
        <v>8031</v>
      </c>
      <c r="AB403" t="s">
        <v>8032</v>
      </c>
      <c r="AC403" t="s">
        <v>8033</v>
      </c>
      <c r="AD403" t="s">
        <v>8034</v>
      </c>
      <c r="AE403" t="s">
        <v>8035</v>
      </c>
      <c r="AF403" t="s">
        <v>74</v>
      </c>
      <c r="AG403">
        <v>66</v>
      </c>
      <c r="AH403">
        <v>21</v>
      </c>
      <c r="AI403">
        <v>21</v>
      </c>
      <c r="AJ403">
        <v>0</v>
      </c>
      <c r="AK403">
        <v>9</v>
      </c>
      <c r="AL403" t="s">
        <v>855</v>
      </c>
      <c r="AM403" t="s">
        <v>266</v>
      </c>
      <c r="AN403" t="s">
        <v>856</v>
      </c>
      <c r="AO403" t="s">
        <v>8036</v>
      </c>
      <c r="AP403" t="s">
        <v>8037</v>
      </c>
      <c r="AQ403" t="s">
        <v>74</v>
      </c>
      <c r="AR403" t="s">
        <v>8038</v>
      </c>
      <c r="AS403" t="s">
        <v>8039</v>
      </c>
      <c r="AT403" t="s">
        <v>803</v>
      </c>
      <c r="AU403">
        <v>2020</v>
      </c>
      <c r="AV403">
        <v>125</v>
      </c>
      <c r="AW403">
        <v>2</v>
      </c>
      <c r="AX403" t="s">
        <v>74</v>
      </c>
      <c r="AY403" t="s">
        <v>74</v>
      </c>
      <c r="AZ403" t="s">
        <v>74</v>
      </c>
      <c r="BA403" t="s">
        <v>74</v>
      </c>
      <c r="BB403" t="s">
        <v>74</v>
      </c>
      <c r="BC403" t="s">
        <v>74</v>
      </c>
      <c r="BD403" t="s">
        <v>8040</v>
      </c>
      <c r="BE403" t="s">
        <v>8041</v>
      </c>
      <c r="BF403" t="str">
        <f>HYPERLINK("http://dx.doi.org/10.1029/2019JE006241","http://dx.doi.org/10.1029/2019JE006241")</f>
        <v>http://dx.doi.org/10.1029/2019JE006241</v>
      </c>
      <c r="BG403" t="s">
        <v>74</v>
      </c>
      <c r="BH403" t="s">
        <v>74</v>
      </c>
      <c r="BI403">
        <v>18</v>
      </c>
      <c r="BJ403" t="s">
        <v>442</v>
      </c>
      <c r="BK403" t="s">
        <v>103</v>
      </c>
      <c r="BL403" t="s">
        <v>442</v>
      </c>
      <c r="BM403" t="s">
        <v>8042</v>
      </c>
      <c r="BN403" t="s">
        <v>74</v>
      </c>
      <c r="BO403" t="s">
        <v>694</v>
      </c>
      <c r="BP403" t="s">
        <v>74</v>
      </c>
      <c r="BQ403" t="s">
        <v>74</v>
      </c>
      <c r="BR403" t="s">
        <v>106</v>
      </c>
      <c r="BS403" t="s">
        <v>8043</v>
      </c>
      <c r="BT403" t="str">
        <f>HYPERLINK("https%3A%2F%2Fwww.webofscience.com%2Fwos%2Fwoscc%2Ffull-record%2FWOS:000535272500011","View Full Record in Web of Science")</f>
        <v>View Full Record in Web of Science</v>
      </c>
    </row>
    <row r="404" spans="1:72" x14ac:dyDescent="0.15">
      <c r="A404" t="s">
        <v>72</v>
      </c>
      <c r="B404" t="s">
        <v>8044</v>
      </c>
      <c r="C404" t="s">
        <v>74</v>
      </c>
      <c r="D404" t="s">
        <v>74</v>
      </c>
      <c r="E404" t="s">
        <v>74</v>
      </c>
      <c r="F404" t="s">
        <v>8045</v>
      </c>
      <c r="G404" t="s">
        <v>74</v>
      </c>
      <c r="H404" t="s">
        <v>74</v>
      </c>
      <c r="I404" t="s">
        <v>8046</v>
      </c>
      <c r="J404" t="s">
        <v>3588</v>
      </c>
      <c r="K404" t="s">
        <v>74</v>
      </c>
      <c r="L404" t="s">
        <v>74</v>
      </c>
      <c r="M404" t="s">
        <v>78</v>
      </c>
      <c r="N404" t="s">
        <v>79</v>
      </c>
      <c r="O404" t="s">
        <v>74</v>
      </c>
      <c r="P404" t="s">
        <v>74</v>
      </c>
      <c r="Q404" t="s">
        <v>74</v>
      </c>
      <c r="R404" t="s">
        <v>74</v>
      </c>
      <c r="S404" t="s">
        <v>74</v>
      </c>
      <c r="T404" t="s">
        <v>74</v>
      </c>
      <c r="U404" t="s">
        <v>8047</v>
      </c>
      <c r="V404" t="s">
        <v>8048</v>
      </c>
      <c r="W404" t="s">
        <v>8049</v>
      </c>
      <c r="X404" t="s">
        <v>8050</v>
      </c>
      <c r="Y404" t="s">
        <v>8051</v>
      </c>
      <c r="Z404" t="s">
        <v>8052</v>
      </c>
      <c r="AA404" t="s">
        <v>8053</v>
      </c>
      <c r="AB404" t="s">
        <v>8054</v>
      </c>
      <c r="AC404" t="s">
        <v>8055</v>
      </c>
      <c r="AD404" t="s">
        <v>8056</v>
      </c>
      <c r="AE404" t="s">
        <v>8057</v>
      </c>
      <c r="AF404" t="s">
        <v>74</v>
      </c>
      <c r="AG404">
        <v>47</v>
      </c>
      <c r="AH404">
        <v>9</v>
      </c>
      <c r="AI404">
        <v>9</v>
      </c>
      <c r="AJ404">
        <v>0</v>
      </c>
      <c r="AK404">
        <v>10</v>
      </c>
      <c r="AL404" t="s">
        <v>855</v>
      </c>
      <c r="AM404" t="s">
        <v>266</v>
      </c>
      <c r="AN404" t="s">
        <v>856</v>
      </c>
      <c r="AO404" t="s">
        <v>3599</v>
      </c>
      <c r="AP404" t="s">
        <v>3600</v>
      </c>
      <c r="AQ404" t="s">
        <v>74</v>
      </c>
      <c r="AR404" t="s">
        <v>3601</v>
      </c>
      <c r="AS404" t="s">
        <v>3602</v>
      </c>
      <c r="AT404" t="s">
        <v>803</v>
      </c>
      <c r="AU404">
        <v>2020</v>
      </c>
      <c r="AV404">
        <v>125</v>
      </c>
      <c r="AW404">
        <v>2</v>
      </c>
      <c r="AX404" t="s">
        <v>74</v>
      </c>
      <c r="AY404" t="s">
        <v>74</v>
      </c>
      <c r="AZ404" t="s">
        <v>74</v>
      </c>
      <c r="BA404" t="s">
        <v>74</v>
      </c>
      <c r="BB404" t="s">
        <v>74</v>
      </c>
      <c r="BC404" t="s">
        <v>74</v>
      </c>
      <c r="BD404" t="s">
        <v>8058</v>
      </c>
      <c r="BE404" t="s">
        <v>8059</v>
      </c>
      <c r="BF404" t="str">
        <f>HYPERLINK("http://dx.doi.org/10.1029/2019JA027725","http://dx.doi.org/10.1029/2019JA027725")</f>
        <v>http://dx.doi.org/10.1029/2019JA027725</v>
      </c>
      <c r="BG404" t="s">
        <v>74</v>
      </c>
      <c r="BH404" t="s">
        <v>74</v>
      </c>
      <c r="BI404">
        <v>12</v>
      </c>
      <c r="BJ404" t="s">
        <v>102</v>
      </c>
      <c r="BK404" t="s">
        <v>103</v>
      </c>
      <c r="BL404" t="s">
        <v>102</v>
      </c>
      <c r="BM404" t="s">
        <v>8060</v>
      </c>
      <c r="BN404" t="s">
        <v>74</v>
      </c>
      <c r="BO404" t="s">
        <v>298</v>
      </c>
      <c r="BP404" t="s">
        <v>74</v>
      </c>
      <c r="BQ404" t="s">
        <v>74</v>
      </c>
      <c r="BR404" t="s">
        <v>106</v>
      </c>
      <c r="BS404" t="s">
        <v>8061</v>
      </c>
      <c r="BT404" t="str">
        <f>HYPERLINK("https%3A%2F%2Fwww.webofscience.com%2Fwos%2Fwoscc%2Ffull-record%2FWOS:000535395800056","View Full Record in Web of Science")</f>
        <v>View Full Record in Web of Science</v>
      </c>
    </row>
    <row r="405" spans="1:72" x14ac:dyDescent="0.15">
      <c r="A405" t="s">
        <v>72</v>
      </c>
      <c r="B405" t="s">
        <v>8062</v>
      </c>
      <c r="C405" t="s">
        <v>74</v>
      </c>
      <c r="D405" t="s">
        <v>74</v>
      </c>
      <c r="E405" t="s">
        <v>74</v>
      </c>
      <c r="F405" t="s">
        <v>8063</v>
      </c>
      <c r="G405" t="s">
        <v>74</v>
      </c>
      <c r="H405" t="s">
        <v>74</v>
      </c>
      <c r="I405" t="s">
        <v>8064</v>
      </c>
      <c r="J405" t="s">
        <v>3588</v>
      </c>
      <c r="K405" t="s">
        <v>74</v>
      </c>
      <c r="L405" t="s">
        <v>74</v>
      </c>
      <c r="M405" t="s">
        <v>78</v>
      </c>
      <c r="N405" t="s">
        <v>79</v>
      </c>
      <c r="O405" t="s">
        <v>74</v>
      </c>
      <c r="P405" t="s">
        <v>74</v>
      </c>
      <c r="Q405" t="s">
        <v>74</v>
      </c>
      <c r="R405" t="s">
        <v>74</v>
      </c>
      <c r="S405" t="s">
        <v>74</v>
      </c>
      <c r="T405" t="s">
        <v>74</v>
      </c>
      <c r="U405" t="s">
        <v>8065</v>
      </c>
      <c r="V405" t="s">
        <v>8066</v>
      </c>
      <c r="W405" t="s">
        <v>8067</v>
      </c>
      <c r="X405" t="s">
        <v>8068</v>
      </c>
      <c r="Y405" t="s">
        <v>8069</v>
      </c>
      <c r="Z405" t="s">
        <v>8070</v>
      </c>
      <c r="AA405" t="s">
        <v>8071</v>
      </c>
      <c r="AB405" t="s">
        <v>8072</v>
      </c>
      <c r="AC405" t="s">
        <v>8073</v>
      </c>
      <c r="AD405" t="s">
        <v>8074</v>
      </c>
      <c r="AE405" t="s">
        <v>8075</v>
      </c>
      <c r="AF405" t="s">
        <v>74</v>
      </c>
      <c r="AG405">
        <v>48</v>
      </c>
      <c r="AH405">
        <v>15</v>
      </c>
      <c r="AI405">
        <v>15</v>
      </c>
      <c r="AJ405">
        <v>1</v>
      </c>
      <c r="AK405">
        <v>5</v>
      </c>
      <c r="AL405" t="s">
        <v>855</v>
      </c>
      <c r="AM405" t="s">
        <v>266</v>
      </c>
      <c r="AN405" t="s">
        <v>856</v>
      </c>
      <c r="AO405" t="s">
        <v>3599</v>
      </c>
      <c r="AP405" t="s">
        <v>3600</v>
      </c>
      <c r="AQ405" t="s">
        <v>74</v>
      </c>
      <c r="AR405" t="s">
        <v>3601</v>
      </c>
      <c r="AS405" t="s">
        <v>3602</v>
      </c>
      <c r="AT405" t="s">
        <v>803</v>
      </c>
      <c r="AU405">
        <v>2020</v>
      </c>
      <c r="AV405">
        <v>125</v>
      </c>
      <c r="AW405">
        <v>2</v>
      </c>
      <c r="AX405" t="s">
        <v>74</v>
      </c>
      <c r="AY405" t="s">
        <v>74</v>
      </c>
      <c r="AZ405" t="s">
        <v>74</v>
      </c>
      <c r="BA405" t="s">
        <v>74</v>
      </c>
      <c r="BB405" t="s">
        <v>74</v>
      </c>
      <c r="BC405" t="s">
        <v>74</v>
      </c>
      <c r="BD405" t="s">
        <v>8076</v>
      </c>
      <c r="BE405" t="s">
        <v>8077</v>
      </c>
      <c r="BF405" t="str">
        <f>HYPERLINK("http://dx.doi.org/10.1029/2019JA027601","http://dx.doi.org/10.1029/2019JA027601")</f>
        <v>http://dx.doi.org/10.1029/2019JA027601</v>
      </c>
      <c r="BG405" t="s">
        <v>74</v>
      </c>
      <c r="BH405" t="s">
        <v>74</v>
      </c>
      <c r="BI405">
        <v>10</v>
      </c>
      <c r="BJ405" t="s">
        <v>102</v>
      </c>
      <c r="BK405" t="s">
        <v>103</v>
      </c>
      <c r="BL405" t="s">
        <v>102</v>
      </c>
      <c r="BM405" t="s">
        <v>8060</v>
      </c>
      <c r="BN405" t="s">
        <v>74</v>
      </c>
      <c r="BO405" t="s">
        <v>6046</v>
      </c>
      <c r="BP405" t="s">
        <v>74</v>
      </c>
      <c r="BQ405" t="s">
        <v>74</v>
      </c>
      <c r="BR405" t="s">
        <v>106</v>
      </c>
      <c r="BS405" t="s">
        <v>8078</v>
      </c>
      <c r="BT405" t="str">
        <f>HYPERLINK("https%3A%2F%2Fwww.webofscience.com%2Fwos%2Fwoscc%2Ffull-record%2FWOS:000535395800037","View Full Record in Web of Science")</f>
        <v>View Full Record in Web of Science</v>
      </c>
    </row>
    <row r="406" spans="1:72" x14ac:dyDescent="0.15">
      <c r="A406" t="s">
        <v>72</v>
      </c>
      <c r="B406" t="s">
        <v>8079</v>
      </c>
      <c r="C406" t="s">
        <v>74</v>
      </c>
      <c r="D406" t="s">
        <v>74</v>
      </c>
      <c r="E406" t="s">
        <v>74</v>
      </c>
      <c r="F406" t="s">
        <v>8080</v>
      </c>
      <c r="G406" t="s">
        <v>74</v>
      </c>
      <c r="H406" t="s">
        <v>74</v>
      </c>
      <c r="I406" t="s">
        <v>8081</v>
      </c>
      <c r="J406" t="s">
        <v>3588</v>
      </c>
      <c r="K406" t="s">
        <v>74</v>
      </c>
      <c r="L406" t="s">
        <v>74</v>
      </c>
      <c r="M406" t="s">
        <v>78</v>
      </c>
      <c r="N406" t="s">
        <v>79</v>
      </c>
      <c r="O406" t="s">
        <v>74</v>
      </c>
      <c r="P406" t="s">
        <v>74</v>
      </c>
      <c r="Q406" t="s">
        <v>74</v>
      </c>
      <c r="R406" t="s">
        <v>74</v>
      </c>
      <c r="S406" t="s">
        <v>74</v>
      </c>
      <c r="T406" t="s">
        <v>74</v>
      </c>
      <c r="U406" t="s">
        <v>8082</v>
      </c>
      <c r="V406" t="s">
        <v>8083</v>
      </c>
      <c r="W406" t="s">
        <v>8084</v>
      </c>
      <c r="X406" t="s">
        <v>8085</v>
      </c>
      <c r="Y406" t="s">
        <v>8086</v>
      </c>
      <c r="Z406" t="s">
        <v>8087</v>
      </c>
      <c r="AA406" t="s">
        <v>8088</v>
      </c>
      <c r="AB406" t="s">
        <v>8089</v>
      </c>
      <c r="AC406" t="s">
        <v>8090</v>
      </c>
      <c r="AD406" t="s">
        <v>8091</v>
      </c>
      <c r="AE406" t="s">
        <v>8092</v>
      </c>
      <c r="AF406" t="s">
        <v>74</v>
      </c>
      <c r="AG406">
        <v>63</v>
      </c>
      <c r="AH406">
        <v>9</v>
      </c>
      <c r="AI406">
        <v>9</v>
      </c>
      <c r="AJ406">
        <v>0</v>
      </c>
      <c r="AK406">
        <v>8</v>
      </c>
      <c r="AL406" t="s">
        <v>855</v>
      </c>
      <c r="AM406" t="s">
        <v>266</v>
      </c>
      <c r="AN406" t="s">
        <v>856</v>
      </c>
      <c r="AO406" t="s">
        <v>3599</v>
      </c>
      <c r="AP406" t="s">
        <v>3600</v>
      </c>
      <c r="AQ406" t="s">
        <v>74</v>
      </c>
      <c r="AR406" t="s">
        <v>3601</v>
      </c>
      <c r="AS406" t="s">
        <v>3602</v>
      </c>
      <c r="AT406" t="s">
        <v>803</v>
      </c>
      <c r="AU406">
        <v>2020</v>
      </c>
      <c r="AV406">
        <v>125</v>
      </c>
      <c r="AW406">
        <v>2</v>
      </c>
      <c r="AX406" t="s">
        <v>74</v>
      </c>
      <c r="AY406" t="s">
        <v>74</v>
      </c>
      <c r="AZ406" t="s">
        <v>74</v>
      </c>
      <c r="BA406" t="s">
        <v>74</v>
      </c>
      <c r="BB406" t="s">
        <v>74</v>
      </c>
      <c r="BC406" t="s">
        <v>74</v>
      </c>
      <c r="BD406" t="s">
        <v>8093</v>
      </c>
      <c r="BE406" t="s">
        <v>8094</v>
      </c>
      <c r="BF406" t="str">
        <f>HYPERLINK("http://dx.doi.org/10.1029/2019JA027686","http://dx.doi.org/10.1029/2019JA027686")</f>
        <v>http://dx.doi.org/10.1029/2019JA027686</v>
      </c>
      <c r="BG406" t="s">
        <v>74</v>
      </c>
      <c r="BH406" t="s">
        <v>74</v>
      </c>
      <c r="BI406">
        <v>14</v>
      </c>
      <c r="BJ406" t="s">
        <v>102</v>
      </c>
      <c r="BK406" t="s">
        <v>103</v>
      </c>
      <c r="BL406" t="s">
        <v>102</v>
      </c>
      <c r="BM406" t="s">
        <v>8060</v>
      </c>
      <c r="BN406" t="s">
        <v>74</v>
      </c>
      <c r="BO406" t="s">
        <v>74</v>
      </c>
      <c r="BP406" t="s">
        <v>74</v>
      </c>
      <c r="BQ406" t="s">
        <v>74</v>
      </c>
      <c r="BR406" t="s">
        <v>106</v>
      </c>
      <c r="BS406" t="s">
        <v>8095</v>
      </c>
      <c r="BT406" t="str">
        <f>HYPERLINK("https%3A%2F%2Fwww.webofscience.com%2Fwos%2Fwoscc%2Ffull-record%2FWOS:000535395800066","View Full Record in Web of Science")</f>
        <v>View Full Record in Web of Science</v>
      </c>
    </row>
    <row r="407" spans="1:72" x14ac:dyDescent="0.15">
      <c r="A407" t="s">
        <v>72</v>
      </c>
      <c r="B407" t="s">
        <v>8096</v>
      </c>
      <c r="C407" t="s">
        <v>74</v>
      </c>
      <c r="D407" t="s">
        <v>74</v>
      </c>
      <c r="E407" t="s">
        <v>74</v>
      </c>
      <c r="F407" t="s">
        <v>8097</v>
      </c>
      <c r="G407" t="s">
        <v>74</v>
      </c>
      <c r="H407" t="s">
        <v>74</v>
      </c>
      <c r="I407" t="s">
        <v>8098</v>
      </c>
      <c r="J407" t="s">
        <v>8099</v>
      </c>
      <c r="K407" t="s">
        <v>74</v>
      </c>
      <c r="L407" t="s">
        <v>74</v>
      </c>
      <c r="M407" t="s">
        <v>78</v>
      </c>
      <c r="N407" t="s">
        <v>79</v>
      </c>
      <c r="O407" t="s">
        <v>74</v>
      </c>
      <c r="P407" t="s">
        <v>74</v>
      </c>
      <c r="Q407" t="s">
        <v>74</v>
      </c>
      <c r="R407" t="s">
        <v>74</v>
      </c>
      <c r="S407" t="s">
        <v>74</v>
      </c>
      <c r="T407" t="s">
        <v>8100</v>
      </c>
      <c r="U407" t="s">
        <v>8101</v>
      </c>
      <c r="V407" t="s">
        <v>8102</v>
      </c>
      <c r="W407" t="s">
        <v>8103</v>
      </c>
      <c r="X407" t="s">
        <v>8104</v>
      </c>
      <c r="Y407" t="s">
        <v>8105</v>
      </c>
      <c r="Z407" t="s">
        <v>8106</v>
      </c>
      <c r="AA407" t="s">
        <v>8107</v>
      </c>
      <c r="AB407" t="s">
        <v>8108</v>
      </c>
      <c r="AC407" t="s">
        <v>8109</v>
      </c>
      <c r="AD407" t="s">
        <v>6315</v>
      </c>
      <c r="AE407" t="s">
        <v>74</v>
      </c>
      <c r="AF407" t="s">
        <v>74</v>
      </c>
      <c r="AG407">
        <v>33</v>
      </c>
      <c r="AH407">
        <v>0</v>
      </c>
      <c r="AI407">
        <v>0</v>
      </c>
      <c r="AJ407">
        <v>3</v>
      </c>
      <c r="AK407">
        <v>19</v>
      </c>
      <c r="AL407" t="s">
        <v>211</v>
      </c>
      <c r="AM407" t="s">
        <v>212</v>
      </c>
      <c r="AN407" t="s">
        <v>213</v>
      </c>
      <c r="AO407" t="s">
        <v>8110</v>
      </c>
      <c r="AP407" t="s">
        <v>8111</v>
      </c>
      <c r="AQ407" t="s">
        <v>74</v>
      </c>
      <c r="AR407" t="s">
        <v>8112</v>
      </c>
      <c r="AS407" t="s">
        <v>8113</v>
      </c>
      <c r="AT407" t="s">
        <v>803</v>
      </c>
      <c r="AU407">
        <v>2020</v>
      </c>
      <c r="AV407">
        <v>32</v>
      </c>
      <c r="AW407">
        <v>1</v>
      </c>
      <c r="AX407" t="s">
        <v>74</v>
      </c>
      <c r="AY407" t="s">
        <v>74</v>
      </c>
      <c r="AZ407" t="s">
        <v>74</v>
      </c>
      <c r="BA407" t="s">
        <v>74</v>
      </c>
      <c r="BB407">
        <v>67</v>
      </c>
      <c r="BC407">
        <v>74</v>
      </c>
      <c r="BD407" t="s">
        <v>74</v>
      </c>
      <c r="BE407" t="s">
        <v>8114</v>
      </c>
      <c r="BF407" t="str">
        <f>HYPERLINK("http://dx.doi.org/10.1111/1742-6723.13339","http://dx.doi.org/10.1111/1742-6723.13339")</f>
        <v>http://dx.doi.org/10.1111/1742-6723.13339</v>
      </c>
      <c r="BG407" t="s">
        <v>74</v>
      </c>
      <c r="BH407" t="s">
        <v>74</v>
      </c>
      <c r="BI407">
        <v>8</v>
      </c>
      <c r="BJ407" t="s">
        <v>8115</v>
      </c>
      <c r="BK407" t="s">
        <v>103</v>
      </c>
      <c r="BL407" t="s">
        <v>8115</v>
      </c>
      <c r="BM407" t="s">
        <v>8116</v>
      </c>
      <c r="BN407">
        <v>31268242</v>
      </c>
      <c r="BO407" t="s">
        <v>5946</v>
      </c>
      <c r="BP407" t="s">
        <v>74</v>
      </c>
      <c r="BQ407" t="s">
        <v>74</v>
      </c>
      <c r="BR407" t="s">
        <v>106</v>
      </c>
      <c r="BS407" t="s">
        <v>8117</v>
      </c>
      <c r="BT407" t="str">
        <f>HYPERLINK("https%3A%2F%2Fwww.webofscience.com%2Fwos%2Fwoscc%2Ffull-record%2FWOS:000534182200010","View Full Record in Web of Science")</f>
        <v>View Full Record in Web of Science</v>
      </c>
    </row>
    <row r="408" spans="1:72" x14ac:dyDescent="0.15">
      <c r="A408" t="s">
        <v>72</v>
      </c>
      <c r="B408" t="s">
        <v>8118</v>
      </c>
      <c r="C408" t="s">
        <v>74</v>
      </c>
      <c r="D408" t="s">
        <v>74</v>
      </c>
      <c r="E408" t="s">
        <v>74</v>
      </c>
      <c r="F408" t="s">
        <v>8119</v>
      </c>
      <c r="G408" t="s">
        <v>74</v>
      </c>
      <c r="H408" t="s">
        <v>74</v>
      </c>
      <c r="I408" t="s">
        <v>8120</v>
      </c>
      <c r="J408" t="s">
        <v>8121</v>
      </c>
      <c r="K408" t="s">
        <v>74</v>
      </c>
      <c r="L408" t="s">
        <v>74</v>
      </c>
      <c r="M408" t="s">
        <v>78</v>
      </c>
      <c r="N408" t="s">
        <v>79</v>
      </c>
      <c r="O408" t="s">
        <v>74</v>
      </c>
      <c r="P408" t="s">
        <v>74</v>
      </c>
      <c r="Q408" t="s">
        <v>74</v>
      </c>
      <c r="R408" t="s">
        <v>74</v>
      </c>
      <c r="S408" t="s">
        <v>74</v>
      </c>
      <c r="T408" t="s">
        <v>8122</v>
      </c>
      <c r="U408" t="s">
        <v>8123</v>
      </c>
      <c r="V408" t="s">
        <v>8124</v>
      </c>
      <c r="W408" t="s">
        <v>8125</v>
      </c>
      <c r="X408" t="s">
        <v>8126</v>
      </c>
      <c r="Y408" t="s">
        <v>8127</v>
      </c>
      <c r="Z408" t="s">
        <v>8128</v>
      </c>
      <c r="AA408" t="s">
        <v>8129</v>
      </c>
      <c r="AB408" t="s">
        <v>8130</v>
      </c>
      <c r="AC408" t="s">
        <v>8131</v>
      </c>
      <c r="AD408" t="s">
        <v>8132</v>
      </c>
      <c r="AE408" t="s">
        <v>8133</v>
      </c>
      <c r="AF408" t="s">
        <v>74</v>
      </c>
      <c r="AG408">
        <v>41</v>
      </c>
      <c r="AH408">
        <v>4</v>
      </c>
      <c r="AI408">
        <v>4</v>
      </c>
      <c r="AJ408">
        <v>2</v>
      </c>
      <c r="AK408">
        <v>16</v>
      </c>
      <c r="AL408" t="s">
        <v>5586</v>
      </c>
      <c r="AM408" t="s">
        <v>5587</v>
      </c>
      <c r="AN408" t="s">
        <v>5588</v>
      </c>
      <c r="AO408" t="s">
        <v>8134</v>
      </c>
      <c r="AP408" t="s">
        <v>8135</v>
      </c>
      <c r="AQ408" t="s">
        <v>74</v>
      </c>
      <c r="AR408" t="s">
        <v>8121</v>
      </c>
      <c r="AS408" t="s">
        <v>8136</v>
      </c>
      <c r="AT408" t="s">
        <v>8137</v>
      </c>
      <c r="AU408">
        <v>2020</v>
      </c>
      <c r="AV408">
        <v>92</v>
      </c>
      <c r="AW408" t="s">
        <v>74</v>
      </c>
      <c r="AX408" t="s">
        <v>74</v>
      </c>
      <c r="AY408" t="s">
        <v>74</v>
      </c>
      <c r="AZ408" t="s">
        <v>74</v>
      </c>
      <c r="BA408" t="s">
        <v>74</v>
      </c>
      <c r="BB408">
        <v>26</v>
      </c>
      <c r="BC408">
        <v>33</v>
      </c>
      <c r="BD408" t="s">
        <v>74</v>
      </c>
      <c r="BE408" t="s">
        <v>8138</v>
      </c>
      <c r="BF408" t="str">
        <f>HYPERLINK("http://dx.doi.org/10.1016/j.cryobiol.2019.09.012","http://dx.doi.org/10.1016/j.cryobiol.2019.09.012")</f>
        <v>http://dx.doi.org/10.1016/j.cryobiol.2019.09.012</v>
      </c>
      <c r="BG408" t="s">
        <v>74</v>
      </c>
      <c r="BH408" t="s">
        <v>74</v>
      </c>
      <c r="BI408">
        <v>8</v>
      </c>
      <c r="BJ408" t="s">
        <v>3660</v>
      </c>
      <c r="BK408" t="s">
        <v>103</v>
      </c>
      <c r="BL408" t="s">
        <v>3661</v>
      </c>
      <c r="BM408" t="s">
        <v>8139</v>
      </c>
      <c r="BN408">
        <v>31580830</v>
      </c>
      <c r="BO408" t="s">
        <v>148</v>
      </c>
      <c r="BP408" t="s">
        <v>74</v>
      </c>
      <c r="BQ408" t="s">
        <v>74</v>
      </c>
      <c r="BR408" t="s">
        <v>106</v>
      </c>
      <c r="BS408" t="s">
        <v>8140</v>
      </c>
      <c r="BT408" t="str">
        <f>HYPERLINK("https%3A%2F%2Fwww.webofscience.com%2Fwos%2Fwoscc%2Ffull-record%2FWOS:000530033000005","View Full Record in Web of Science")</f>
        <v>View Full Record in Web of Science</v>
      </c>
    </row>
    <row r="409" spans="1:72" x14ac:dyDescent="0.15">
      <c r="A409" t="s">
        <v>72</v>
      </c>
      <c r="B409" t="s">
        <v>8141</v>
      </c>
      <c r="C409" t="s">
        <v>74</v>
      </c>
      <c r="D409" t="s">
        <v>74</v>
      </c>
      <c r="E409" t="s">
        <v>74</v>
      </c>
      <c r="F409" t="s">
        <v>8142</v>
      </c>
      <c r="G409" t="s">
        <v>74</v>
      </c>
      <c r="H409" t="s">
        <v>74</v>
      </c>
      <c r="I409" t="s">
        <v>8143</v>
      </c>
      <c r="J409" t="s">
        <v>3497</v>
      </c>
      <c r="K409" t="s">
        <v>74</v>
      </c>
      <c r="L409" t="s">
        <v>74</v>
      </c>
      <c r="M409" t="s">
        <v>78</v>
      </c>
      <c r="N409" t="s">
        <v>79</v>
      </c>
      <c r="O409" t="s">
        <v>74</v>
      </c>
      <c r="P409" t="s">
        <v>74</v>
      </c>
      <c r="Q409" t="s">
        <v>74</v>
      </c>
      <c r="R409" t="s">
        <v>74</v>
      </c>
      <c r="S409" t="s">
        <v>74</v>
      </c>
      <c r="T409" t="s">
        <v>74</v>
      </c>
      <c r="U409" t="s">
        <v>8144</v>
      </c>
      <c r="V409" t="s">
        <v>8145</v>
      </c>
      <c r="W409" t="s">
        <v>8146</v>
      </c>
      <c r="X409" t="s">
        <v>8147</v>
      </c>
      <c r="Y409" t="s">
        <v>8148</v>
      </c>
      <c r="Z409" t="s">
        <v>8149</v>
      </c>
      <c r="AA409" t="s">
        <v>5233</v>
      </c>
      <c r="AB409" t="s">
        <v>8150</v>
      </c>
      <c r="AC409" t="s">
        <v>8151</v>
      </c>
      <c r="AD409" t="s">
        <v>8152</v>
      </c>
      <c r="AE409" t="s">
        <v>8153</v>
      </c>
      <c r="AF409" t="s">
        <v>74</v>
      </c>
      <c r="AG409">
        <v>61</v>
      </c>
      <c r="AH409">
        <v>9</v>
      </c>
      <c r="AI409">
        <v>9</v>
      </c>
      <c r="AJ409">
        <v>2</v>
      </c>
      <c r="AK409">
        <v>20</v>
      </c>
      <c r="AL409" t="s">
        <v>855</v>
      </c>
      <c r="AM409" t="s">
        <v>266</v>
      </c>
      <c r="AN409" t="s">
        <v>856</v>
      </c>
      <c r="AO409" t="s">
        <v>3510</v>
      </c>
      <c r="AP409" t="s">
        <v>3511</v>
      </c>
      <c r="AQ409" t="s">
        <v>74</v>
      </c>
      <c r="AR409" t="s">
        <v>3512</v>
      </c>
      <c r="AS409" t="s">
        <v>3513</v>
      </c>
      <c r="AT409" t="s">
        <v>803</v>
      </c>
      <c r="AU409">
        <v>2020</v>
      </c>
      <c r="AV409">
        <v>125</v>
      </c>
      <c r="AW409">
        <v>2</v>
      </c>
      <c r="AX409" t="s">
        <v>74</v>
      </c>
      <c r="AY409" t="s">
        <v>74</v>
      </c>
      <c r="AZ409" t="s">
        <v>74</v>
      </c>
      <c r="BA409" t="s">
        <v>74</v>
      </c>
      <c r="BB409" t="s">
        <v>74</v>
      </c>
      <c r="BC409" t="s">
        <v>74</v>
      </c>
      <c r="BD409" t="s">
        <v>8154</v>
      </c>
      <c r="BE409" t="s">
        <v>8155</v>
      </c>
      <c r="BF409" t="str">
        <f>HYPERLINK("http://dx.doi.org/10.1029/2019JC015710","http://dx.doi.org/10.1029/2019JC015710")</f>
        <v>http://dx.doi.org/10.1029/2019JC015710</v>
      </c>
      <c r="BG409" t="s">
        <v>74</v>
      </c>
      <c r="BH409" t="s">
        <v>74</v>
      </c>
      <c r="BI409">
        <v>19</v>
      </c>
      <c r="BJ409" t="s">
        <v>639</v>
      </c>
      <c r="BK409" t="s">
        <v>103</v>
      </c>
      <c r="BL409" t="s">
        <v>639</v>
      </c>
      <c r="BM409" t="s">
        <v>8156</v>
      </c>
      <c r="BN409" t="s">
        <v>74</v>
      </c>
      <c r="BO409" t="s">
        <v>694</v>
      </c>
      <c r="BP409" t="s">
        <v>74</v>
      </c>
      <c r="BQ409" t="s">
        <v>74</v>
      </c>
      <c r="BR409" t="s">
        <v>106</v>
      </c>
      <c r="BS409" t="s">
        <v>8157</v>
      </c>
      <c r="BT409" t="str">
        <f>HYPERLINK("https%3A%2F%2Fwww.webofscience.com%2Fwos%2Fwoscc%2Ffull-record%2FWOS:000530025600025","View Full Record in Web of Science")</f>
        <v>View Full Record in Web of Science</v>
      </c>
    </row>
    <row r="410" spans="1:72" x14ac:dyDescent="0.15">
      <c r="A410" t="s">
        <v>72</v>
      </c>
      <c r="B410" t="s">
        <v>8158</v>
      </c>
      <c r="C410" t="s">
        <v>74</v>
      </c>
      <c r="D410" t="s">
        <v>74</v>
      </c>
      <c r="E410" t="s">
        <v>74</v>
      </c>
      <c r="F410" t="s">
        <v>8159</v>
      </c>
      <c r="G410" t="s">
        <v>74</v>
      </c>
      <c r="H410" t="s">
        <v>74</v>
      </c>
      <c r="I410" t="s">
        <v>8160</v>
      </c>
      <c r="J410" t="s">
        <v>3497</v>
      </c>
      <c r="K410" t="s">
        <v>74</v>
      </c>
      <c r="L410" t="s">
        <v>74</v>
      </c>
      <c r="M410" t="s">
        <v>78</v>
      </c>
      <c r="N410" t="s">
        <v>79</v>
      </c>
      <c r="O410" t="s">
        <v>74</v>
      </c>
      <c r="P410" t="s">
        <v>74</v>
      </c>
      <c r="Q410" t="s">
        <v>74</v>
      </c>
      <c r="R410" t="s">
        <v>74</v>
      </c>
      <c r="S410" t="s">
        <v>74</v>
      </c>
      <c r="T410" t="s">
        <v>74</v>
      </c>
      <c r="U410" t="s">
        <v>8161</v>
      </c>
      <c r="V410" t="s">
        <v>8162</v>
      </c>
      <c r="W410" t="s">
        <v>8163</v>
      </c>
      <c r="X410" t="s">
        <v>8164</v>
      </c>
      <c r="Y410" t="s">
        <v>8165</v>
      </c>
      <c r="Z410" t="s">
        <v>8166</v>
      </c>
      <c r="AA410" t="s">
        <v>8167</v>
      </c>
      <c r="AB410" t="s">
        <v>8168</v>
      </c>
      <c r="AC410" t="s">
        <v>8169</v>
      </c>
      <c r="AD410" t="s">
        <v>8170</v>
      </c>
      <c r="AE410" t="s">
        <v>8171</v>
      </c>
      <c r="AF410" t="s">
        <v>74</v>
      </c>
      <c r="AG410">
        <v>46</v>
      </c>
      <c r="AH410">
        <v>12</v>
      </c>
      <c r="AI410">
        <v>12</v>
      </c>
      <c r="AJ410">
        <v>1</v>
      </c>
      <c r="AK410">
        <v>6</v>
      </c>
      <c r="AL410" t="s">
        <v>855</v>
      </c>
      <c r="AM410" t="s">
        <v>266</v>
      </c>
      <c r="AN410" t="s">
        <v>856</v>
      </c>
      <c r="AO410" t="s">
        <v>3510</v>
      </c>
      <c r="AP410" t="s">
        <v>3511</v>
      </c>
      <c r="AQ410" t="s">
        <v>74</v>
      </c>
      <c r="AR410" t="s">
        <v>3512</v>
      </c>
      <c r="AS410" t="s">
        <v>3513</v>
      </c>
      <c r="AT410" t="s">
        <v>803</v>
      </c>
      <c r="AU410">
        <v>2020</v>
      </c>
      <c r="AV410">
        <v>125</v>
      </c>
      <c r="AW410">
        <v>2</v>
      </c>
      <c r="AX410" t="s">
        <v>74</v>
      </c>
      <c r="AY410" t="s">
        <v>74</v>
      </c>
      <c r="AZ410" t="s">
        <v>74</v>
      </c>
      <c r="BA410" t="s">
        <v>74</v>
      </c>
      <c r="BB410" t="s">
        <v>74</v>
      </c>
      <c r="BC410" t="s">
        <v>74</v>
      </c>
      <c r="BD410" t="s">
        <v>8172</v>
      </c>
      <c r="BE410" t="s">
        <v>8173</v>
      </c>
      <c r="BF410" t="str">
        <f>HYPERLINK("http://dx.doi.org/10.1029/2019JC015791","http://dx.doi.org/10.1029/2019JC015791")</f>
        <v>http://dx.doi.org/10.1029/2019JC015791</v>
      </c>
      <c r="BG410" t="s">
        <v>74</v>
      </c>
      <c r="BH410" t="s">
        <v>74</v>
      </c>
      <c r="BI410">
        <v>17</v>
      </c>
      <c r="BJ410" t="s">
        <v>639</v>
      </c>
      <c r="BK410" t="s">
        <v>103</v>
      </c>
      <c r="BL410" t="s">
        <v>639</v>
      </c>
      <c r="BM410" t="s">
        <v>8156</v>
      </c>
      <c r="BN410" t="s">
        <v>74</v>
      </c>
      <c r="BO410" t="s">
        <v>3243</v>
      </c>
      <c r="BP410" t="s">
        <v>74</v>
      </c>
      <c r="BQ410" t="s">
        <v>74</v>
      </c>
      <c r="BR410" t="s">
        <v>106</v>
      </c>
      <c r="BS410" t="s">
        <v>8174</v>
      </c>
      <c r="BT410" t="str">
        <f>HYPERLINK("https%3A%2F%2Fwww.webofscience.com%2Fwos%2Fwoscc%2Ffull-record%2FWOS:000530025600005","View Full Record in Web of Science")</f>
        <v>View Full Record in Web of Science</v>
      </c>
    </row>
    <row r="411" spans="1:72" x14ac:dyDescent="0.15">
      <c r="A411" t="s">
        <v>72</v>
      </c>
      <c r="B411" t="s">
        <v>8175</v>
      </c>
      <c r="C411" t="s">
        <v>74</v>
      </c>
      <c r="D411" t="s">
        <v>74</v>
      </c>
      <c r="E411" t="s">
        <v>74</v>
      </c>
      <c r="F411" t="s">
        <v>8176</v>
      </c>
      <c r="G411" t="s">
        <v>74</v>
      </c>
      <c r="H411" t="s">
        <v>74</v>
      </c>
      <c r="I411" t="s">
        <v>8177</v>
      </c>
      <c r="J411" t="s">
        <v>3764</v>
      </c>
      <c r="K411" t="s">
        <v>74</v>
      </c>
      <c r="L411" t="s">
        <v>74</v>
      </c>
      <c r="M411" t="s">
        <v>78</v>
      </c>
      <c r="N411" t="s">
        <v>79</v>
      </c>
      <c r="O411" t="s">
        <v>74</v>
      </c>
      <c r="P411" t="s">
        <v>74</v>
      </c>
      <c r="Q411" t="s">
        <v>74</v>
      </c>
      <c r="R411" t="s">
        <v>74</v>
      </c>
      <c r="S411" t="s">
        <v>74</v>
      </c>
      <c r="T411" t="s">
        <v>74</v>
      </c>
      <c r="U411" t="s">
        <v>8178</v>
      </c>
      <c r="V411" t="s">
        <v>8179</v>
      </c>
      <c r="W411" t="s">
        <v>8180</v>
      </c>
      <c r="X411" t="s">
        <v>8181</v>
      </c>
      <c r="Y411" t="s">
        <v>8182</v>
      </c>
      <c r="Z411" t="s">
        <v>8183</v>
      </c>
      <c r="AA411" t="s">
        <v>8184</v>
      </c>
      <c r="AB411" t="s">
        <v>8185</v>
      </c>
      <c r="AC411" t="s">
        <v>8186</v>
      </c>
      <c r="AD411" t="s">
        <v>8187</v>
      </c>
      <c r="AE411" t="s">
        <v>8188</v>
      </c>
      <c r="AF411" t="s">
        <v>74</v>
      </c>
      <c r="AG411">
        <v>81</v>
      </c>
      <c r="AH411">
        <v>40</v>
      </c>
      <c r="AI411">
        <v>41</v>
      </c>
      <c r="AJ411">
        <v>5</v>
      </c>
      <c r="AK411">
        <v>26</v>
      </c>
      <c r="AL411" t="s">
        <v>855</v>
      </c>
      <c r="AM411" t="s">
        <v>266</v>
      </c>
      <c r="AN411" t="s">
        <v>856</v>
      </c>
      <c r="AO411" t="s">
        <v>74</v>
      </c>
      <c r="AP411" t="s">
        <v>3776</v>
      </c>
      <c r="AQ411" t="s">
        <v>74</v>
      </c>
      <c r="AR411" t="s">
        <v>3777</v>
      </c>
      <c r="AS411" t="s">
        <v>3778</v>
      </c>
      <c r="AT411" t="s">
        <v>803</v>
      </c>
      <c r="AU411">
        <v>2020</v>
      </c>
      <c r="AV411">
        <v>7</v>
      </c>
      <c r="AW411">
        <v>2</v>
      </c>
      <c r="AX411" t="s">
        <v>74</v>
      </c>
      <c r="AY411" t="s">
        <v>74</v>
      </c>
      <c r="AZ411" t="s">
        <v>74</v>
      </c>
      <c r="BA411" t="s">
        <v>74</v>
      </c>
      <c r="BB411" t="s">
        <v>74</v>
      </c>
      <c r="BC411" t="s">
        <v>74</v>
      </c>
      <c r="BD411" t="s">
        <v>8189</v>
      </c>
      <c r="BE411" t="s">
        <v>8190</v>
      </c>
      <c r="BF411" t="str">
        <f>HYPERLINK("http://dx.doi.org/10.1029/2019EA001058","http://dx.doi.org/10.1029/2019EA001058")</f>
        <v>http://dx.doi.org/10.1029/2019EA001058</v>
      </c>
      <c r="BG411" t="s">
        <v>74</v>
      </c>
      <c r="BH411" t="s">
        <v>74</v>
      </c>
      <c r="BI411">
        <v>15</v>
      </c>
      <c r="BJ411" t="s">
        <v>3781</v>
      </c>
      <c r="BK411" t="s">
        <v>103</v>
      </c>
      <c r="BL411" t="s">
        <v>3782</v>
      </c>
      <c r="BM411" t="s">
        <v>8191</v>
      </c>
      <c r="BN411" t="s">
        <v>74</v>
      </c>
      <c r="BO411" t="s">
        <v>2592</v>
      </c>
      <c r="BP411" t="s">
        <v>74</v>
      </c>
      <c r="BQ411" t="s">
        <v>74</v>
      </c>
      <c r="BR411" t="s">
        <v>106</v>
      </c>
      <c r="BS411" t="s">
        <v>8192</v>
      </c>
      <c r="BT411" t="str">
        <f>HYPERLINK("https%3A%2F%2Fwww.webofscience.com%2Fwos%2Fwoscc%2Ffull-record%2FWOS:000529236000017","View Full Record in Web of Science")</f>
        <v>View Full Record in Web of Science</v>
      </c>
    </row>
    <row r="412" spans="1:72" x14ac:dyDescent="0.15">
      <c r="A412" t="s">
        <v>72</v>
      </c>
      <c r="B412" t="s">
        <v>8193</v>
      </c>
      <c r="C412" t="s">
        <v>74</v>
      </c>
      <c r="D412" t="s">
        <v>74</v>
      </c>
      <c r="E412" t="s">
        <v>74</v>
      </c>
      <c r="F412" t="s">
        <v>8194</v>
      </c>
      <c r="G412" t="s">
        <v>74</v>
      </c>
      <c r="H412" t="s">
        <v>74</v>
      </c>
      <c r="I412" t="s">
        <v>8195</v>
      </c>
      <c r="J412" t="s">
        <v>4048</v>
      </c>
      <c r="K412" t="s">
        <v>74</v>
      </c>
      <c r="L412" t="s">
        <v>74</v>
      </c>
      <c r="M412" t="s">
        <v>78</v>
      </c>
      <c r="N412" t="s">
        <v>79</v>
      </c>
      <c r="O412" t="s">
        <v>74</v>
      </c>
      <c r="P412" t="s">
        <v>74</v>
      </c>
      <c r="Q412" t="s">
        <v>74</v>
      </c>
      <c r="R412" t="s">
        <v>74</v>
      </c>
      <c r="S412" t="s">
        <v>74</v>
      </c>
      <c r="T412" t="s">
        <v>8196</v>
      </c>
      <c r="U412" t="s">
        <v>8197</v>
      </c>
      <c r="V412" t="s">
        <v>8198</v>
      </c>
      <c r="W412" t="s">
        <v>8199</v>
      </c>
      <c r="X412" t="s">
        <v>8200</v>
      </c>
      <c r="Y412" t="s">
        <v>8201</v>
      </c>
      <c r="Z412" t="s">
        <v>8202</v>
      </c>
      <c r="AA412" t="s">
        <v>8203</v>
      </c>
      <c r="AB412" t="s">
        <v>8204</v>
      </c>
      <c r="AC412" t="s">
        <v>8205</v>
      </c>
      <c r="AD412" t="s">
        <v>8206</v>
      </c>
      <c r="AE412" t="s">
        <v>8207</v>
      </c>
      <c r="AF412" t="s">
        <v>74</v>
      </c>
      <c r="AG412">
        <v>68</v>
      </c>
      <c r="AH412">
        <v>11</v>
      </c>
      <c r="AI412">
        <v>13</v>
      </c>
      <c r="AJ412">
        <v>2</v>
      </c>
      <c r="AK412">
        <v>11</v>
      </c>
      <c r="AL412" t="s">
        <v>1055</v>
      </c>
      <c r="AM412" t="s">
        <v>435</v>
      </c>
      <c r="AN412" t="s">
        <v>1056</v>
      </c>
      <c r="AO412" t="s">
        <v>4061</v>
      </c>
      <c r="AP412" t="s">
        <v>4062</v>
      </c>
      <c r="AQ412" t="s">
        <v>74</v>
      </c>
      <c r="AR412" t="s">
        <v>4063</v>
      </c>
      <c r="AS412" t="s">
        <v>4064</v>
      </c>
      <c r="AT412" t="s">
        <v>803</v>
      </c>
      <c r="AU412">
        <v>2020</v>
      </c>
      <c r="AV412">
        <v>96</v>
      </c>
      <c r="AW412">
        <v>2</v>
      </c>
      <c r="AX412" t="s">
        <v>74</v>
      </c>
      <c r="AY412" t="s">
        <v>74</v>
      </c>
      <c r="AZ412" t="s">
        <v>74</v>
      </c>
      <c r="BA412" t="s">
        <v>74</v>
      </c>
      <c r="BB412" t="s">
        <v>74</v>
      </c>
      <c r="BC412" t="s">
        <v>74</v>
      </c>
      <c r="BD412" t="s">
        <v>8208</v>
      </c>
      <c r="BE412" t="s">
        <v>8209</v>
      </c>
      <c r="BF412" t="str">
        <f>HYPERLINK("http://dx.doi.org/10.1093/femsec/fiz207","http://dx.doi.org/10.1093/femsec/fiz207")</f>
        <v>http://dx.doi.org/10.1093/femsec/fiz207</v>
      </c>
      <c r="BG412" t="s">
        <v>74</v>
      </c>
      <c r="BH412" t="s">
        <v>74</v>
      </c>
      <c r="BI412">
        <v>10</v>
      </c>
      <c r="BJ412" t="s">
        <v>273</v>
      </c>
      <c r="BK412" t="s">
        <v>103</v>
      </c>
      <c r="BL412" t="s">
        <v>273</v>
      </c>
      <c r="BM412" t="s">
        <v>8210</v>
      </c>
      <c r="BN412">
        <v>31905236</v>
      </c>
      <c r="BO412" t="s">
        <v>8211</v>
      </c>
      <c r="BP412" t="s">
        <v>74</v>
      </c>
      <c r="BQ412" t="s">
        <v>74</v>
      </c>
      <c r="BR412" t="s">
        <v>106</v>
      </c>
      <c r="BS412" t="s">
        <v>8212</v>
      </c>
      <c r="BT412" t="str">
        <f>HYPERLINK("https%3A%2F%2Fwww.webofscience.com%2Fwos%2Fwoscc%2Ffull-record%2FWOS:000526679400011","View Full Record in Web of Science")</f>
        <v>View Full Record in Web of Science</v>
      </c>
    </row>
    <row r="413" spans="1:72" x14ac:dyDescent="0.15">
      <c r="A413" t="s">
        <v>72</v>
      </c>
      <c r="B413" t="s">
        <v>8213</v>
      </c>
      <c r="C413" t="s">
        <v>74</v>
      </c>
      <c r="D413" t="s">
        <v>74</v>
      </c>
      <c r="E413" t="s">
        <v>74</v>
      </c>
      <c r="F413" t="s">
        <v>8214</v>
      </c>
      <c r="G413" t="s">
        <v>74</v>
      </c>
      <c r="H413" t="s">
        <v>74</v>
      </c>
      <c r="I413" t="s">
        <v>8215</v>
      </c>
      <c r="J413" t="s">
        <v>8216</v>
      </c>
      <c r="K413" t="s">
        <v>74</v>
      </c>
      <c r="L413" t="s">
        <v>74</v>
      </c>
      <c r="M413" t="s">
        <v>78</v>
      </c>
      <c r="N413" t="s">
        <v>79</v>
      </c>
      <c r="O413" t="s">
        <v>74</v>
      </c>
      <c r="P413" t="s">
        <v>74</v>
      </c>
      <c r="Q413" t="s">
        <v>74</v>
      </c>
      <c r="R413" t="s">
        <v>74</v>
      </c>
      <c r="S413" t="s">
        <v>74</v>
      </c>
      <c r="T413" t="s">
        <v>8217</v>
      </c>
      <c r="U413" t="s">
        <v>8218</v>
      </c>
      <c r="V413" t="s">
        <v>8219</v>
      </c>
      <c r="W413" t="s">
        <v>8220</v>
      </c>
      <c r="X413" t="s">
        <v>8221</v>
      </c>
      <c r="Y413" t="s">
        <v>8222</v>
      </c>
      <c r="Z413" t="s">
        <v>8223</v>
      </c>
      <c r="AA413" t="s">
        <v>8224</v>
      </c>
      <c r="AB413" t="s">
        <v>8225</v>
      </c>
      <c r="AC413" t="s">
        <v>8226</v>
      </c>
      <c r="AD413" t="s">
        <v>8227</v>
      </c>
      <c r="AE413" t="s">
        <v>8228</v>
      </c>
      <c r="AF413" t="s">
        <v>74</v>
      </c>
      <c r="AG413">
        <v>72</v>
      </c>
      <c r="AH413">
        <v>16</v>
      </c>
      <c r="AI413">
        <v>17</v>
      </c>
      <c r="AJ413">
        <v>0</v>
      </c>
      <c r="AK413">
        <v>28</v>
      </c>
      <c r="AL413" t="s">
        <v>4959</v>
      </c>
      <c r="AM413" t="s">
        <v>435</v>
      </c>
      <c r="AN413" t="s">
        <v>4960</v>
      </c>
      <c r="AO413" t="s">
        <v>8229</v>
      </c>
      <c r="AP413" t="s">
        <v>8230</v>
      </c>
      <c r="AQ413" t="s">
        <v>74</v>
      </c>
      <c r="AR413" t="s">
        <v>8231</v>
      </c>
      <c r="AS413" t="s">
        <v>8232</v>
      </c>
      <c r="AT413" t="s">
        <v>803</v>
      </c>
      <c r="AU413">
        <v>2020</v>
      </c>
      <c r="AV413">
        <v>242</v>
      </c>
      <c r="AW413" t="s">
        <v>74</v>
      </c>
      <c r="AX413" t="s">
        <v>74</v>
      </c>
      <c r="AY413" t="s">
        <v>74</v>
      </c>
      <c r="AZ413" t="s">
        <v>74</v>
      </c>
      <c r="BA413" t="s">
        <v>74</v>
      </c>
      <c r="BB413" t="s">
        <v>74</v>
      </c>
      <c r="BC413" t="s">
        <v>74</v>
      </c>
      <c r="BD413">
        <v>108402</v>
      </c>
      <c r="BE413" t="s">
        <v>8233</v>
      </c>
      <c r="BF413" t="str">
        <f>HYPERLINK("http://dx.doi.org/10.1016/j.biocon.2019.108402","http://dx.doi.org/10.1016/j.biocon.2019.108402")</f>
        <v>http://dx.doi.org/10.1016/j.biocon.2019.108402</v>
      </c>
      <c r="BG413" t="s">
        <v>74</v>
      </c>
      <c r="BH413" t="s">
        <v>74</v>
      </c>
      <c r="BI413">
        <v>11</v>
      </c>
      <c r="BJ413" t="s">
        <v>784</v>
      </c>
      <c r="BK413" t="s">
        <v>103</v>
      </c>
      <c r="BL413" t="s">
        <v>131</v>
      </c>
      <c r="BM413" t="s">
        <v>8234</v>
      </c>
      <c r="BN413" t="s">
        <v>74</v>
      </c>
      <c r="BO413" t="s">
        <v>74</v>
      </c>
      <c r="BP413" t="s">
        <v>74</v>
      </c>
      <c r="BQ413" t="s">
        <v>74</v>
      </c>
      <c r="BR413" t="s">
        <v>106</v>
      </c>
      <c r="BS413" t="s">
        <v>8235</v>
      </c>
      <c r="BT413" t="str">
        <f>HYPERLINK("https%3A%2F%2Fwww.webofscience.com%2Fwos%2Fwoscc%2Ffull-record%2FWOS:000517855100012","View Full Record in Web of Science")</f>
        <v>View Full Record in Web of Science</v>
      </c>
    </row>
    <row r="414" spans="1:72" x14ac:dyDescent="0.15">
      <c r="A414" t="s">
        <v>72</v>
      </c>
      <c r="B414" t="s">
        <v>8236</v>
      </c>
      <c r="C414" t="s">
        <v>74</v>
      </c>
      <c r="D414" t="s">
        <v>74</v>
      </c>
      <c r="E414" t="s">
        <v>74</v>
      </c>
      <c r="F414" t="s">
        <v>8237</v>
      </c>
      <c r="G414" t="s">
        <v>74</v>
      </c>
      <c r="H414" t="s">
        <v>74</v>
      </c>
      <c r="I414" t="s">
        <v>8238</v>
      </c>
      <c r="J414" t="s">
        <v>4161</v>
      </c>
      <c r="K414" t="s">
        <v>74</v>
      </c>
      <c r="L414" t="s">
        <v>74</v>
      </c>
      <c r="M414" t="s">
        <v>78</v>
      </c>
      <c r="N414" t="s">
        <v>79</v>
      </c>
      <c r="O414" t="s">
        <v>74</v>
      </c>
      <c r="P414" t="s">
        <v>74</v>
      </c>
      <c r="Q414" t="s">
        <v>74</v>
      </c>
      <c r="R414" t="s">
        <v>74</v>
      </c>
      <c r="S414" t="s">
        <v>74</v>
      </c>
      <c r="T414" t="s">
        <v>8239</v>
      </c>
      <c r="U414" t="s">
        <v>8240</v>
      </c>
      <c r="V414" t="s">
        <v>8241</v>
      </c>
      <c r="W414" t="s">
        <v>8242</v>
      </c>
      <c r="X414" t="s">
        <v>8243</v>
      </c>
      <c r="Y414" t="s">
        <v>8244</v>
      </c>
      <c r="Z414" t="s">
        <v>8245</v>
      </c>
      <c r="AA414" t="s">
        <v>8246</v>
      </c>
      <c r="AB414" t="s">
        <v>8247</v>
      </c>
      <c r="AC414" t="s">
        <v>8248</v>
      </c>
      <c r="AD414" t="s">
        <v>8248</v>
      </c>
      <c r="AE414" t="s">
        <v>8249</v>
      </c>
      <c r="AF414" t="s">
        <v>74</v>
      </c>
      <c r="AG414">
        <v>65</v>
      </c>
      <c r="AH414">
        <v>1</v>
      </c>
      <c r="AI414">
        <v>2</v>
      </c>
      <c r="AJ414">
        <v>3</v>
      </c>
      <c r="AK414">
        <v>20</v>
      </c>
      <c r="AL414" t="s">
        <v>3817</v>
      </c>
      <c r="AM414" t="s">
        <v>3818</v>
      </c>
      <c r="AN414" t="s">
        <v>3819</v>
      </c>
      <c r="AO414" t="s">
        <v>74</v>
      </c>
      <c r="AP414" t="s">
        <v>4173</v>
      </c>
      <c r="AQ414" t="s">
        <v>74</v>
      </c>
      <c r="AR414" t="s">
        <v>4174</v>
      </c>
      <c r="AS414" t="s">
        <v>4175</v>
      </c>
      <c r="AT414" t="s">
        <v>803</v>
      </c>
      <c r="AU414">
        <v>2020</v>
      </c>
      <c r="AV414">
        <v>21</v>
      </c>
      <c r="AW414">
        <v>4</v>
      </c>
      <c r="AX414" t="s">
        <v>74</v>
      </c>
      <c r="AY414" t="s">
        <v>74</v>
      </c>
      <c r="AZ414" t="s">
        <v>74</v>
      </c>
      <c r="BA414" t="s">
        <v>74</v>
      </c>
      <c r="BB414" t="s">
        <v>74</v>
      </c>
      <c r="BC414" t="s">
        <v>74</v>
      </c>
      <c r="BD414">
        <v>1401</v>
      </c>
      <c r="BE414" t="s">
        <v>8250</v>
      </c>
      <c r="BF414" t="str">
        <f>HYPERLINK("http://dx.doi.org/10.3390/ijms21041401","http://dx.doi.org/10.3390/ijms21041401")</f>
        <v>http://dx.doi.org/10.3390/ijms21041401</v>
      </c>
      <c r="BG414" t="s">
        <v>74</v>
      </c>
      <c r="BH414" t="s">
        <v>74</v>
      </c>
      <c r="BI414">
        <v>19</v>
      </c>
      <c r="BJ414" t="s">
        <v>4177</v>
      </c>
      <c r="BK414" t="s">
        <v>103</v>
      </c>
      <c r="BL414" t="s">
        <v>2116</v>
      </c>
      <c r="BM414" t="s">
        <v>8251</v>
      </c>
      <c r="BN414">
        <v>32092980</v>
      </c>
      <c r="BO414" t="s">
        <v>276</v>
      </c>
      <c r="BP414" t="s">
        <v>74</v>
      </c>
      <c r="BQ414" t="s">
        <v>74</v>
      </c>
      <c r="BR414" t="s">
        <v>106</v>
      </c>
      <c r="BS414" t="s">
        <v>8252</v>
      </c>
      <c r="BT414" t="str">
        <f>HYPERLINK("https%3A%2F%2Fwww.webofscience.com%2Fwos%2Fwoscc%2Ffull-record%2FWOS:000522524400228","View Full Record in Web of Science")</f>
        <v>View Full Record in Web of Science</v>
      </c>
    </row>
    <row r="415" spans="1:72" x14ac:dyDescent="0.15">
      <c r="A415" t="s">
        <v>72</v>
      </c>
      <c r="B415" t="s">
        <v>8253</v>
      </c>
      <c r="C415" t="s">
        <v>74</v>
      </c>
      <c r="D415" t="s">
        <v>74</v>
      </c>
      <c r="E415" t="s">
        <v>74</v>
      </c>
      <c r="F415" t="s">
        <v>8254</v>
      </c>
      <c r="G415" t="s">
        <v>74</v>
      </c>
      <c r="H415" t="s">
        <v>74</v>
      </c>
      <c r="I415" t="s">
        <v>8255</v>
      </c>
      <c r="J415" t="s">
        <v>4161</v>
      </c>
      <c r="K415" t="s">
        <v>74</v>
      </c>
      <c r="L415" t="s">
        <v>74</v>
      </c>
      <c r="M415" t="s">
        <v>78</v>
      </c>
      <c r="N415" t="s">
        <v>79</v>
      </c>
      <c r="O415" t="s">
        <v>74</v>
      </c>
      <c r="P415" t="s">
        <v>74</v>
      </c>
      <c r="Q415" t="s">
        <v>74</v>
      </c>
      <c r="R415" t="s">
        <v>74</v>
      </c>
      <c r="S415" t="s">
        <v>74</v>
      </c>
      <c r="T415" t="s">
        <v>8256</v>
      </c>
      <c r="U415" t="s">
        <v>8257</v>
      </c>
      <c r="V415" t="s">
        <v>8258</v>
      </c>
      <c r="W415" t="s">
        <v>8259</v>
      </c>
      <c r="X415" t="s">
        <v>8260</v>
      </c>
      <c r="Y415" t="s">
        <v>8261</v>
      </c>
      <c r="Z415" t="s">
        <v>8262</v>
      </c>
      <c r="AA415" t="s">
        <v>8263</v>
      </c>
      <c r="AB415" t="s">
        <v>8264</v>
      </c>
      <c r="AC415" t="s">
        <v>8265</v>
      </c>
      <c r="AD415" t="s">
        <v>8266</v>
      </c>
      <c r="AE415" t="s">
        <v>8267</v>
      </c>
      <c r="AF415" t="s">
        <v>74</v>
      </c>
      <c r="AG415">
        <v>55</v>
      </c>
      <c r="AH415">
        <v>11</v>
      </c>
      <c r="AI415">
        <v>13</v>
      </c>
      <c r="AJ415">
        <v>9</v>
      </c>
      <c r="AK415">
        <v>41</v>
      </c>
      <c r="AL415" t="s">
        <v>3817</v>
      </c>
      <c r="AM415" t="s">
        <v>3818</v>
      </c>
      <c r="AN415" t="s">
        <v>3819</v>
      </c>
      <c r="AO415" t="s">
        <v>74</v>
      </c>
      <c r="AP415" t="s">
        <v>4173</v>
      </c>
      <c r="AQ415" t="s">
        <v>74</v>
      </c>
      <c r="AR415" t="s">
        <v>4174</v>
      </c>
      <c r="AS415" t="s">
        <v>4175</v>
      </c>
      <c r="AT415" t="s">
        <v>803</v>
      </c>
      <c r="AU415">
        <v>2020</v>
      </c>
      <c r="AV415">
        <v>21</v>
      </c>
      <c r="AW415">
        <v>4</v>
      </c>
      <c r="AX415" t="s">
        <v>74</v>
      </c>
      <c r="AY415" t="s">
        <v>74</v>
      </c>
      <c r="AZ415" t="s">
        <v>74</v>
      </c>
      <c r="BA415" t="s">
        <v>74</v>
      </c>
      <c r="BB415" t="s">
        <v>74</v>
      </c>
      <c r="BC415" t="s">
        <v>74</v>
      </c>
      <c r="BD415">
        <v>1338</v>
      </c>
      <c r="BE415" t="s">
        <v>8268</v>
      </c>
      <c r="BF415" t="str">
        <f>HYPERLINK("http://dx.doi.org/10.3390/ijms21041338","http://dx.doi.org/10.3390/ijms21041338")</f>
        <v>http://dx.doi.org/10.3390/ijms21041338</v>
      </c>
      <c r="BG415" t="s">
        <v>74</v>
      </c>
      <c r="BH415" t="s">
        <v>74</v>
      </c>
      <c r="BI415">
        <v>13</v>
      </c>
      <c r="BJ415" t="s">
        <v>4177</v>
      </c>
      <c r="BK415" t="s">
        <v>103</v>
      </c>
      <c r="BL415" t="s">
        <v>2116</v>
      </c>
      <c r="BM415" t="s">
        <v>8251</v>
      </c>
      <c r="BN415">
        <v>32079213</v>
      </c>
      <c r="BO415" t="s">
        <v>276</v>
      </c>
      <c r="BP415" t="s">
        <v>74</v>
      </c>
      <c r="BQ415" t="s">
        <v>74</v>
      </c>
      <c r="BR415" t="s">
        <v>106</v>
      </c>
      <c r="BS415" t="s">
        <v>8269</v>
      </c>
      <c r="BT415" t="str">
        <f>HYPERLINK("https%3A%2F%2Fwww.webofscience.com%2Fwos%2Fwoscc%2Ffull-record%2FWOS:000522524400165","View Full Record in Web of Science")</f>
        <v>View Full Record in Web of Science</v>
      </c>
    </row>
    <row r="416" spans="1:72" x14ac:dyDescent="0.15">
      <c r="A416" t="s">
        <v>72</v>
      </c>
      <c r="B416" t="s">
        <v>8270</v>
      </c>
      <c r="C416" t="s">
        <v>74</v>
      </c>
      <c r="D416" t="s">
        <v>74</v>
      </c>
      <c r="E416" t="s">
        <v>74</v>
      </c>
      <c r="F416" t="s">
        <v>8271</v>
      </c>
      <c r="G416" t="s">
        <v>74</v>
      </c>
      <c r="H416" t="s">
        <v>74</v>
      </c>
      <c r="I416" t="s">
        <v>8272</v>
      </c>
      <c r="J416" t="s">
        <v>8273</v>
      </c>
      <c r="K416" t="s">
        <v>74</v>
      </c>
      <c r="L416" t="s">
        <v>74</v>
      </c>
      <c r="M416" t="s">
        <v>78</v>
      </c>
      <c r="N416" t="s">
        <v>79</v>
      </c>
      <c r="O416" t="s">
        <v>74</v>
      </c>
      <c r="P416" t="s">
        <v>74</v>
      </c>
      <c r="Q416" t="s">
        <v>74</v>
      </c>
      <c r="R416" t="s">
        <v>74</v>
      </c>
      <c r="S416" t="s">
        <v>74</v>
      </c>
      <c r="T416" t="s">
        <v>8274</v>
      </c>
      <c r="U416" t="s">
        <v>74</v>
      </c>
      <c r="V416" t="s">
        <v>8275</v>
      </c>
      <c r="W416" t="s">
        <v>8276</v>
      </c>
      <c r="X416" t="s">
        <v>8277</v>
      </c>
      <c r="Y416" t="s">
        <v>8278</v>
      </c>
      <c r="Z416" t="s">
        <v>8279</v>
      </c>
      <c r="AA416" t="s">
        <v>74</v>
      </c>
      <c r="AB416" t="s">
        <v>8280</v>
      </c>
      <c r="AC416" t="s">
        <v>8281</v>
      </c>
      <c r="AD416" t="s">
        <v>8282</v>
      </c>
      <c r="AE416" t="s">
        <v>8283</v>
      </c>
      <c r="AF416" t="s">
        <v>74</v>
      </c>
      <c r="AG416">
        <v>44</v>
      </c>
      <c r="AH416">
        <v>10</v>
      </c>
      <c r="AI416">
        <v>10</v>
      </c>
      <c r="AJ416">
        <v>1</v>
      </c>
      <c r="AK416">
        <v>32</v>
      </c>
      <c r="AL416" t="s">
        <v>3817</v>
      </c>
      <c r="AM416" t="s">
        <v>3818</v>
      </c>
      <c r="AN416" t="s">
        <v>3819</v>
      </c>
      <c r="AO416" t="s">
        <v>74</v>
      </c>
      <c r="AP416" t="s">
        <v>8284</v>
      </c>
      <c r="AQ416" t="s">
        <v>74</v>
      </c>
      <c r="AR416" t="s">
        <v>8285</v>
      </c>
      <c r="AS416" t="s">
        <v>8286</v>
      </c>
      <c r="AT416" t="s">
        <v>803</v>
      </c>
      <c r="AU416">
        <v>2020</v>
      </c>
      <c r="AV416">
        <v>9</v>
      </c>
      <c r="AW416">
        <v>2</v>
      </c>
      <c r="AX416" t="s">
        <v>74</v>
      </c>
      <c r="AY416" t="s">
        <v>74</v>
      </c>
      <c r="AZ416" t="s">
        <v>74</v>
      </c>
      <c r="BA416" t="s">
        <v>74</v>
      </c>
      <c r="BB416" t="s">
        <v>74</v>
      </c>
      <c r="BC416" t="s">
        <v>74</v>
      </c>
      <c r="BD416">
        <v>81</v>
      </c>
      <c r="BE416" t="s">
        <v>8287</v>
      </c>
      <c r="BF416" t="str">
        <f>HYPERLINK("http://dx.doi.org/10.3390/ijgi9020081","http://dx.doi.org/10.3390/ijgi9020081")</f>
        <v>http://dx.doi.org/10.3390/ijgi9020081</v>
      </c>
      <c r="BG416" t="s">
        <v>74</v>
      </c>
      <c r="BH416" t="s">
        <v>74</v>
      </c>
      <c r="BI416">
        <v>20</v>
      </c>
      <c r="BJ416" t="s">
        <v>8288</v>
      </c>
      <c r="BK416" t="s">
        <v>1149</v>
      </c>
      <c r="BL416" t="s">
        <v>8289</v>
      </c>
      <c r="BM416" t="s">
        <v>8290</v>
      </c>
      <c r="BN416" t="s">
        <v>74</v>
      </c>
      <c r="BO416" t="s">
        <v>2592</v>
      </c>
      <c r="BP416" t="s">
        <v>74</v>
      </c>
      <c r="BQ416" t="s">
        <v>74</v>
      </c>
      <c r="BR416" t="s">
        <v>106</v>
      </c>
      <c r="BS416" t="s">
        <v>8291</v>
      </c>
      <c r="BT416" t="str">
        <f>HYPERLINK("https%3A%2F%2Fwww.webofscience.com%2Fwos%2Fwoscc%2Ffull-record%2FWOS:000522449700021","View Full Record in Web of Science")</f>
        <v>View Full Record in Web of Science</v>
      </c>
    </row>
    <row r="417" spans="1:72" x14ac:dyDescent="0.15">
      <c r="A417" t="s">
        <v>72</v>
      </c>
      <c r="B417" t="s">
        <v>8292</v>
      </c>
      <c r="C417" t="s">
        <v>74</v>
      </c>
      <c r="D417" t="s">
        <v>74</v>
      </c>
      <c r="E417" t="s">
        <v>74</v>
      </c>
      <c r="F417" t="s">
        <v>8293</v>
      </c>
      <c r="G417" t="s">
        <v>74</v>
      </c>
      <c r="H417" t="s">
        <v>74</v>
      </c>
      <c r="I417" t="s">
        <v>8294</v>
      </c>
      <c r="J417" t="s">
        <v>8295</v>
      </c>
      <c r="K417" t="s">
        <v>74</v>
      </c>
      <c r="L417" t="s">
        <v>74</v>
      </c>
      <c r="M417" t="s">
        <v>78</v>
      </c>
      <c r="N417" t="s">
        <v>1787</v>
      </c>
      <c r="O417" t="s">
        <v>74</v>
      </c>
      <c r="P417" t="s">
        <v>74</v>
      </c>
      <c r="Q417" t="s">
        <v>74</v>
      </c>
      <c r="R417" t="s">
        <v>74</v>
      </c>
      <c r="S417" t="s">
        <v>74</v>
      </c>
      <c r="T417" t="s">
        <v>8296</v>
      </c>
      <c r="U417" t="s">
        <v>74</v>
      </c>
      <c r="V417" t="s">
        <v>8297</v>
      </c>
      <c r="W417" t="s">
        <v>8298</v>
      </c>
      <c r="X417" t="s">
        <v>8299</v>
      </c>
      <c r="Y417" t="s">
        <v>8300</v>
      </c>
      <c r="Z417" t="s">
        <v>8301</v>
      </c>
      <c r="AA417" t="s">
        <v>8302</v>
      </c>
      <c r="AB417" t="s">
        <v>8303</v>
      </c>
      <c r="AC417" t="s">
        <v>8304</v>
      </c>
      <c r="AD417" t="s">
        <v>8305</v>
      </c>
      <c r="AE417" t="s">
        <v>8306</v>
      </c>
      <c r="AF417" t="s">
        <v>74</v>
      </c>
      <c r="AG417">
        <v>6</v>
      </c>
      <c r="AH417">
        <v>10</v>
      </c>
      <c r="AI417">
        <v>11</v>
      </c>
      <c r="AJ417">
        <v>5</v>
      </c>
      <c r="AK417">
        <v>16</v>
      </c>
      <c r="AL417" t="s">
        <v>289</v>
      </c>
      <c r="AM417" t="s">
        <v>290</v>
      </c>
      <c r="AN417" t="s">
        <v>291</v>
      </c>
      <c r="AO417" t="s">
        <v>8307</v>
      </c>
      <c r="AP417" t="s">
        <v>74</v>
      </c>
      <c r="AQ417" t="s">
        <v>74</v>
      </c>
      <c r="AR417" t="s">
        <v>8308</v>
      </c>
      <c r="AS417" t="s">
        <v>8309</v>
      </c>
      <c r="AT417" t="s">
        <v>803</v>
      </c>
      <c r="AU417">
        <v>2020</v>
      </c>
      <c r="AV417">
        <v>28</v>
      </c>
      <c r="AW417" t="s">
        <v>74</v>
      </c>
      <c r="AX417" t="s">
        <v>74</v>
      </c>
      <c r="AY417" t="s">
        <v>74</v>
      </c>
      <c r="AZ417" t="s">
        <v>74</v>
      </c>
      <c r="BA417" t="s">
        <v>74</v>
      </c>
      <c r="BB417" t="s">
        <v>74</v>
      </c>
      <c r="BC417" t="s">
        <v>74</v>
      </c>
      <c r="BD417">
        <v>104876</v>
      </c>
      <c r="BE417" t="s">
        <v>8310</v>
      </c>
      <c r="BF417" t="str">
        <f>HYPERLINK("http://dx.doi.org/10.1016/j.dib.2019.104876","http://dx.doi.org/10.1016/j.dib.2019.104876")</f>
        <v>http://dx.doi.org/10.1016/j.dib.2019.104876</v>
      </c>
      <c r="BG417" t="s">
        <v>74</v>
      </c>
      <c r="BH417" t="s">
        <v>74</v>
      </c>
      <c r="BI417">
        <v>7</v>
      </c>
      <c r="BJ417" t="s">
        <v>322</v>
      </c>
      <c r="BK417" t="s">
        <v>274</v>
      </c>
      <c r="BL417" t="s">
        <v>323</v>
      </c>
      <c r="BM417" t="s">
        <v>8311</v>
      </c>
      <c r="BN417">
        <v>31886343</v>
      </c>
      <c r="BO417" t="s">
        <v>1359</v>
      </c>
      <c r="BP417" t="s">
        <v>74</v>
      </c>
      <c r="BQ417" t="s">
        <v>74</v>
      </c>
      <c r="BR417" t="s">
        <v>106</v>
      </c>
      <c r="BS417" t="s">
        <v>8312</v>
      </c>
      <c r="BT417" t="str">
        <f>HYPERLINK("https%3A%2F%2Fwww.webofscience.com%2Fwos%2Fwoscc%2Ffull-record%2FWOS:000520402100068","View Full Record in Web of Science")</f>
        <v>View Full Record in Web of Science</v>
      </c>
    </row>
    <row r="418" spans="1:72" x14ac:dyDescent="0.15">
      <c r="A418" t="s">
        <v>72</v>
      </c>
      <c r="B418" t="s">
        <v>8313</v>
      </c>
      <c r="C418" t="s">
        <v>74</v>
      </c>
      <c r="D418" t="s">
        <v>74</v>
      </c>
      <c r="E418" t="s">
        <v>74</v>
      </c>
      <c r="F418" t="s">
        <v>8314</v>
      </c>
      <c r="G418" t="s">
        <v>74</v>
      </c>
      <c r="H418" t="s">
        <v>74</v>
      </c>
      <c r="I418" t="s">
        <v>8315</v>
      </c>
      <c r="J418" t="s">
        <v>4097</v>
      </c>
      <c r="K418" t="s">
        <v>74</v>
      </c>
      <c r="L418" t="s">
        <v>74</v>
      </c>
      <c r="M418" t="s">
        <v>78</v>
      </c>
      <c r="N418" t="s">
        <v>79</v>
      </c>
      <c r="O418" t="s">
        <v>74</v>
      </c>
      <c r="P418" t="s">
        <v>74</v>
      </c>
      <c r="Q418" t="s">
        <v>74</v>
      </c>
      <c r="R418" t="s">
        <v>74</v>
      </c>
      <c r="S418" t="s">
        <v>74</v>
      </c>
      <c r="T418" t="s">
        <v>8316</v>
      </c>
      <c r="U418" t="s">
        <v>8317</v>
      </c>
      <c r="V418" t="s">
        <v>8318</v>
      </c>
      <c r="W418" t="s">
        <v>8319</v>
      </c>
      <c r="X418" t="s">
        <v>8320</v>
      </c>
      <c r="Y418" t="s">
        <v>8321</v>
      </c>
      <c r="Z418" t="s">
        <v>8322</v>
      </c>
      <c r="AA418" t="s">
        <v>8323</v>
      </c>
      <c r="AB418" t="s">
        <v>8324</v>
      </c>
      <c r="AC418" t="s">
        <v>8325</v>
      </c>
      <c r="AD418" t="s">
        <v>8326</v>
      </c>
      <c r="AE418" t="s">
        <v>8327</v>
      </c>
      <c r="AF418" t="s">
        <v>74</v>
      </c>
      <c r="AG418">
        <v>94</v>
      </c>
      <c r="AH418">
        <v>8</v>
      </c>
      <c r="AI418">
        <v>8</v>
      </c>
      <c r="AJ418">
        <v>2</v>
      </c>
      <c r="AK418">
        <v>10</v>
      </c>
      <c r="AL418" t="s">
        <v>3817</v>
      </c>
      <c r="AM418" t="s">
        <v>3818</v>
      </c>
      <c r="AN418" t="s">
        <v>3819</v>
      </c>
      <c r="AO418" t="s">
        <v>74</v>
      </c>
      <c r="AP418" t="s">
        <v>4110</v>
      </c>
      <c r="AQ418" t="s">
        <v>74</v>
      </c>
      <c r="AR418" t="s">
        <v>4097</v>
      </c>
      <c r="AS418" t="s">
        <v>4111</v>
      </c>
      <c r="AT418" t="s">
        <v>803</v>
      </c>
      <c r="AU418">
        <v>2020</v>
      </c>
      <c r="AV418">
        <v>8</v>
      </c>
      <c r="AW418">
        <v>2</v>
      </c>
      <c r="AX418" t="s">
        <v>74</v>
      </c>
      <c r="AY418" t="s">
        <v>74</v>
      </c>
      <c r="AZ418" t="s">
        <v>74</v>
      </c>
      <c r="BA418" t="s">
        <v>74</v>
      </c>
      <c r="BB418" t="s">
        <v>74</v>
      </c>
      <c r="BC418" t="s">
        <v>74</v>
      </c>
      <c r="BD418">
        <v>279</v>
      </c>
      <c r="BE418" t="s">
        <v>8328</v>
      </c>
      <c r="BF418" t="str">
        <f>HYPERLINK("http://dx.doi.org/10.3390/microorganisms8020279","http://dx.doi.org/10.3390/microorganisms8020279")</f>
        <v>http://dx.doi.org/10.3390/microorganisms8020279</v>
      </c>
      <c r="BG418" t="s">
        <v>74</v>
      </c>
      <c r="BH418" t="s">
        <v>74</v>
      </c>
      <c r="BI418">
        <v>20</v>
      </c>
      <c r="BJ418" t="s">
        <v>273</v>
      </c>
      <c r="BK418" t="s">
        <v>103</v>
      </c>
      <c r="BL418" t="s">
        <v>273</v>
      </c>
      <c r="BM418" t="s">
        <v>8329</v>
      </c>
      <c r="BN418">
        <v>32085500</v>
      </c>
      <c r="BO418" t="s">
        <v>276</v>
      </c>
      <c r="BP418" t="s">
        <v>74</v>
      </c>
      <c r="BQ418" t="s">
        <v>74</v>
      </c>
      <c r="BR418" t="s">
        <v>106</v>
      </c>
      <c r="BS418" t="s">
        <v>8330</v>
      </c>
      <c r="BT418" t="str">
        <f>HYPERLINK("https%3A%2F%2Fwww.webofscience.com%2Fwos%2Fwoscc%2Ffull-record%2FWOS:000519618200135","View Full Record in Web of Science")</f>
        <v>View Full Record in Web of Science</v>
      </c>
    </row>
    <row r="419" spans="1:72" x14ac:dyDescent="0.15">
      <c r="A419" t="s">
        <v>72</v>
      </c>
      <c r="B419" t="s">
        <v>8331</v>
      </c>
      <c r="C419" t="s">
        <v>74</v>
      </c>
      <c r="D419" t="s">
        <v>74</v>
      </c>
      <c r="E419" t="s">
        <v>74</v>
      </c>
      <c r="F419" t="s">
        <v>8332</v>
      </c>
      <c r="G419" t="s">
        <v>74</v>
      </c>
      <c r="H419" t="s">
        <v>74</v>
      </c>
      <c r="I419" t="s">
        <v>8333</v>
      </c>
      <c r="J419" t="s">
        <v>4097</v>
      </c>
      <c r="K419" t="s">
        <v>74</v>
      </c>
      <c r="L419" t="s">
        <v>74</v>
      </c>
      <c r="M419" t="s">
        <v>78</v>
      </c>
      <c r="N419" t="s">
        <v>79</v>
      </c>
      <c r="O419" t="s">
        <v>74</v>
      </c>
      <c r="P419" t="s">
        <v>74</v>
      </c>
      <c r="Q419" t="s">
        <v>74</v>
      </c>
      <c r="R419" t="s">
        <v>74</v>
      </c>
      <c r="S419" t="s">
        <v>74</v>
      </c>
      <c r="T419" t="s">
        <v>8334</v>
      </c>
      <c r="U419" t="s">
        <v>8335</v>
      </c>
      <c r="V419" t="s">
        <v>8336</v>
      </c>
      <c r="W419" t="s">
        <v>8337</v>
      </c>
      <c r="X419" t="s">
        <v>8338</v>
      </c>
      <c r="Y419" t="s">
        <v>8339</v>
      </c>
      <c r="Z419" t="s">
        <v>8340</v>
      </c>
      <c r="AA419" t="s">
        <v>8341</v>
      </c>
      <c r="AB419" t="s">
        <v>8342</v>
      </c>
      <c r="AC419" t="s">
        <v>8343</v>
      </c>
      <c r="AD419" t="s">
        <v>8344</v>
      </c>
      <c r="AE419" t="s">
        <v>8345</v>
      </c>
      <c r="AF419" t="s">
        <v>74</v>
      </c>
      <c r="AG419">
        <v>83</v>
      </c>
      <c r="AH419">
        <v>20</v>
      </c>
      <c r="AI419">
        <v>21</v>
      </c>
      <c r="AJ419">
        <v>0</v>
      </c>
      <c r="AK419">
        <v>8</v>
      </c>
      <c r="AL419" t="s">
        <v>3817</v>
      </c>
      <c r="AM419" t="s">
        <v>3818</v>
      </c>
      <c r="AN419" t="s">
        <v>3819</v>
      </c>
      <c r="AO419" t="s">
        <v>74</v>
      </c>
      <c r="AP419" t="s">
        <v>4110</v>
      </c>
      <c r="AQ419" t="s">
        <v>74</v>
      </c>
      <c r="AR419" t="s">
        <v>4097</v>
      </c>
      <c r="AS419" t="s">
        <v>4111</v>
      </c>
      <c r="AT419" t="s">
        <v>803</v>
      </c>
      <c r="AU419">
        <v>2020</v>
      </c>
      <c r="AV419">
        <v>8</v>
      </c>
      <c r="AW419">
        <v>2</v>
      </c>
      <c r="AX419" t="s">
        <v>74</v>
      </c>
      <c r="AY419" t="s">
        <v>74</v>
      </c>
      <c r="AZ419" t="s">
        <v>74</v>
      </c>
      <c r="BA419" t="s">
        <v>74</v>
      </c>
      <c r="BB419" t="s">
        <v>74</v>
      </c>
      <c r="BC419" t="s">
        <v>74</v>
      </c>
      <c r="BD419">
        <v>204</v>
      </c>
      <c r="BE419" t="s">
        <v>8346</v>
      </c>
      <c r="BF419" t="str">
        <f>HYPERLINK("http://dx.doi.org/10.3390/microorganisms8020204","http://dx.doi.org/10.3390/microorganisms8020204")</f>
        <v>http://dx.doi.org/10.3390/microorganisms8020204</v>
      </c>
      <c r="BG419" t="s">
        <v>74</v>
      </c>
      <c r="BH419" t="s">
        <v>74</v>
      </c>
      <c r="BI419">
        <v>18</v>
      </c>
      <c r="BJ419" t="s">
        <v>273</v>
      </c>
      <c r="BK419" t="s">
        <v>103</v>
      </c>
      <c r="BL419" t="s">
        <v>273</v>
      </c>
      <c r="BM419" t="s">
        <v>8329</v>
      </c>
      <c r="BN419">
        <v>32024111</v>
      </c>
      <c r="BO419" t="s">
        <v>276</v>
      </c>
      <c r="BP419" t="s">
        <v>74</v>
      </c>
      <c r="BQ419" t="s">
        <v>74</v>
      </c>
      <c r="BR419" t="s">
        <v>106</v>
      </c>
      <c r="BS419" t="s">
        <v>8347</v>
      </c>
      <c r="BT419" t="str">
        <f>HYPERLINK("https%3A%2F%2Fwww.webofscience.com%2Fwos%2Fwoscc%2Ffull-record%2FWOS:000519618200060","View Full Record in Web of Science")</f>
        <v>View Full Record in Web of Science</v>
      </c>
    </row>
    <row r="420" spans="1:72" x14ac:dyDescent="0.15">
      <c r="A420" t="s">
        <v>72</v>
      </c>
      <c r="B420" t="s">
        <v>8348</v>
      </c>
      <c r="C420" t="s">
        <v>74</v>
      </c>
      <c r="D420" t="s">
        <v>74</v>
      </c>
      <c r="E420" t="s">
        <v>74</v>
      </c>
      <c r="F420" t="s">
        <v>8349</v>
      </c>
      <c r="G420" t="s">
        <v>74</v>
      </c>
      <c r="H420" t="s">
        <v>74</v>
      </c>
      <c r="I420" t="s">
        <v>8350</v>
      </c>
      <c r="J420" t="s">
        <v>4003</v>
      </c>
      <c r="K420" t="s">
        <v>74</v>
      </c>
      <c r="L420" t="s">
        <v>74</v>
      </c>
      <c r="M420" t="s">
        <v>78</v>
      </c>
      <c r="N420" t="s">
        <v>1434</v>
      </c>
      <c r="O420" t="s">
        <v>74</v>
      </c>
      <c r="P420" t="s">
        <v>74</v>
      </c>
      <c r="Q420" t="s">
        <v>74</v>
      </c>
      <c r="R420" t="s">
        <v>74</v>
      </c>
      <c r="S420" t="s">
        <v>74</v>
      </c>
      <c r="T420" t="s">
        <v>74</v>
      </c>
      <c r="U420" t="s">
        <v>8351</v>
      </c>
      <c r="V420" t="s">
        <v>8352</v>
      </c>
      <c r="W420" t="s">
        <v>8353</v>
      </c>
      <c r="X420" t="s">
        <v>8354</v>
      </c>
      <c r="Y420" t="s">
        <v>8355</v>
      </c>
      <c r="Z420" t="s">
        <v>8356</v>
      </c>
      <c r="AA420" t="s">
        <v>8357</v>
      </c>
      <c r="AB420" t="s">
        <v>8358</v>
      </c>
      <c r="AC420" t="s">
        <v>8359</v>
      </c>
      <c r="AD420" t="s">
        <v>8360</v>
      </c>
      <c r="AE420" t="s">
        <v>8361</v>
      </c>
      <c r="AF420" t="s">
        <v>74</v>
      </c>
      <c r="AG420">
        <v>254</v>
      </c>
      <c r="AH420">
        <v>41</v>
      </c>
      <c r="AI420">
        <v>47</v>
      </c>
      <c r="AJ420">
        <v>3</v>
      </c>
      <c r="AK420">
        <v>82</v>
      </c>
      <c r="AL420" t="s">
        <v>289</v>
      </c>
      <c r="AM420" t="s">
        <v>290</v>
      </c>
      <c r="AN420" t="s">
        <v>291</v>
      </c>
      <c r="AO420" t="s">
        <v>4016</v>
      </c>
      <c r="AP420" t="s">
        <v>4017</v>
      </c>
      <c r="AQ420" t="s">
        <v>74</v>
      </c>
      <c r="AR420" t="s">
        <v>4018</v>
      </c>
      <c r="AS420" t="s">
        <v>4019</v>
      </c>
      <c r="AT420" t="s">
        <v>803</v>
      </c>
      <c r="AU420">
        <v>2020</v>
      </c>
      <c r="AV420">
        <v>201</v>
      </c>
      <c r="AW420" t="s">
        <v>74</v>
      </c>
      <c r="AX420" t="s">
        <v>74</v>
      </c>
      <c r="AY420" t="s">
        <v>74</v>
      </c>
      <c r="AZ420" t="s">
        <v>74</v>
      </c>
      <c r="BA420" t="s">
        <v>74</v>
      </c>
      <c r="BB420" t="s">
        <v>74</v>
      </c>
      <c r="BC420" t="s">
        <v>74</v>
      </c>
      <c r="BD420">
        <v>102976</v>
      </c>
      <c r="BE420" t="s">
        <v>8362</v>
      </c>
      <c r="BF420" t="str">
        <f>HYPERLINK("http://dx.doi.org/10.1016/j.earscirev.2019.102976","http://dx.doi.org/10.1016/j.earscirev.2019.102976")</f>
        <v>http://dx.doi.org/10.1016/j.earscirev.2019.102976</v>
      </c>
      <c r="BG420" t="s">
        <v>74</v>
      </c>
      <c r="BH420" t="s">
        <v>74</v>
      </c>
      <c r="BI420">
        <v>17</v>
      </c>
      <c r="BJ420" t="s">
        <v>246</v>
      </c>
      <c r="BK420" t="s">
        <v>103</v>
      </c>
      <c r="BL420" t="s">
        <v>247</v>
      </c>
      <c r="BM420" t="s">
        <v>8363</v>
      </c>
      <c r="BN420" t="s">
        <v>74</v>
      </c>
      <c r="BO420" t="s">
        <v>8364</v>
      </c>
      <c r="BP420" t="s">
        <v>74</v>
      </c>
      <c r="BQ420" t="s">
        <v>74</v>
      </c>
      <c r="BR420" t="s">
        <v>106</v>
      </c>
      <c r="BS420" t="s">
        <v>8365</v>
      </c>
      <c r="BT420" t="str">
        <f>HYPERLINK("https%3A%2F%2Fwww.webofscience.com%2Fwos%2Fwoscc%2Ffull-record%2FWOS:000520949700005","View Full Record in Web of Science")</f>
        <v>View Full Record in Web of Science</v>
      </c>
    </row>
    <row r="421" spans="1:72" x14ac:dyDescent="0.15">
      <c r="A421" t="s">
        <v>72</v>
      </c>
      <c r="B421" t="s">
        <v>8366</v>
      </c>
      <c r="C421" t="s">
        <v>74</v>
      </c>
      <c r="D421" t="s">
        <v>74</v>
      </c>
      <c r="E421" t="s">
        <v>74</v>
      </c>
      <c r="F421" t="s">
        <v>8367</v>
      </c>
      <c r="G421" t="s">
        <v>74</v>
      </c>
      <c r="H421" t="s">
        <v>74</v>
      </c>
      <c r="I421" t="s">
        <v>8368</v>
      </c>
      <c r="J421" t="s">
        <v>4003</v>
      </c>
      <c r="K421" t="s">
        <v>74</v>
      </c>
      <c r="L421" t="s">
        <v>74</v>
      </c>
      <c r="M421" t="s">
        <v>78</v>
      </c>
      <c r="N421" t="s">
        <v>1434</v>
      </c>
      <c r="O421" t="s">
        <v>74</v>
      </c>
      <c r="P421" t="s">
        <v>74</v>
      </c>
      <c r="Q421" t="s">
        <v>74</v>
      </c>
      <c r="R421" t="s">
        <v>74</v>
      </c>
      <c r="S421" t="s">
        <v>74</v>
      </c>
      <c r="T421" t="s">
        <v>74</v>
      </c>
      <c r="U421" t="s">
        <v>8369</v>
      </c>
      <c r="V421" t="s">
        <v>8370</v>
      </c>
      <c r="W421" t="s">
        <v>8371</v>
      </c>
      <c r="X421" t="s">
        <v>8372</v>
      </c>
      <c r="Y421" t="s">
        <v>8373</v>
      </c>
      <c r="Z421" t="s">
        <v>8374</v>
      </c>
      <c r="AA421" t="s">
        <v>8375</v>
      </c>
      <c r="AB421" t="s">
        <v>8376</v>
      </c>
      <c r="AC421" t="s">
        <v>8377</v>
      </c>
      <c r="AD421" t="s">
        <v>8378</v>
      </c>
      <c r="AE421" t="s">
        <v>8379</v>
      </c>
      <c r="AF421" t="s">
        <v>74</v>
      </c>
      <c r="AG421">
        <v>178</v>
      </c>
      <c r="AH421">
        <v>19</v>
      </c>
      <c r="AI421">
        <v>20</v>
      </c>
      <c r="AJ421">
        <v>3</v>
      </c>
      <c r="AK421">
        <v>16</v>
      </c>
      <c r="AL421" t="s">
        <v>289</v>
      </c>
      <c r="AM421" t="s">
        <v>290</v>
      </c>
      <c r="AN421" t="s">
        <v>291</v>
      </c>
      <c r="AO421" t="s">
        <v>4016</v>
      </c>
      <c r="AP421" t="s">
        <v>4017</v>
      </c>
      <c r="AQ421" t="s">
        <v>74</v>
      </c>
      <c r="AR421" t="s">
        <v>4018</v>
      </c>
      <c r="AS421" t="s">
        <v>4019</v>
      </c>
      <c r="AT421" t="s">
        <v>803</v>
      </c>
      <c r="AU421">
        <v>2020</v>
      </c>
      <c r="AV421">
        <v>201</v>
      </c>
      <c r="AW421" t="s">
        <v>74</v>
      </c>
      <c r="AX421" t="s">
        <v>74</v>
      </c>
      <c r="AY421" t="s">
        <v>74</v>
      </c>
      <c r="AZ421" t="s">
        <v>74</v>
      </c>
      <c r="BA421" t="s">
        <v>74</v>
      </c>
      <c r="BB421" t="s">
        <v>74</v>
      </c>
      <c r="BC421" t="s">
        <v>74</v>
      </c>
      <c r="BD421">
        <v>103041</v>
      </c>
      <c r="BE421" t="s">
        <v>8380</v>
      </c>
      <c r="BF421" t="str">
        <f>HYPERLINK("http://dx.doi.org/10.1016/j.earscirev.2019.103041","http://dx.doi.org/10.1016/j.earscirev.2019.103041")</f>
        <v>http://dx.doi.org/10.1016/j.earscirev.2019.103041</v>
      </c>
      <c r="BG421" t="s">
        <v>74</v>
      </c>
      <c r="BH421" t="s">
        <v>74</v>
      </c>
      <c r="BI421">
        <v>29</v>
      </c>
      <c r="BJ421" t="s">
        <v>246</v>
      </c>
      <c r="BK421" t="s">
        <v>103</v>
      </c>
      <c r="BL421" t="s">
        <v>247</v>
      </c>
      <c r="BM421" t="s">
        <v>8363</v>
      </c>
      <c r="BN421" t="s">
        <v>74</v>
      </c>
      <c r="BO421" t="s">
        <v>74</v>
      </c>
      <c r="BP421" t="s">
        <v>74</v>
      </c>
      <c r="BQ421" t="s">
        <v>74</v>
      </c>
      <c r="BR421" t="s">
        <v>106</v>
      </c>
      <c r="BS421" t="s">
        <v>8381</v>
      </c>
      <c r="BT421" t="str">
        <f>HYPERLINK("https%3A%2F%2Fwww.webofscience.com%2Fwos%2Fwoscc%2Ffull-record%2FWOS:000520949700007","View Full Record in Web of Science")</f>
        <v>View Full Record in Web of Science</v>
      </c>
    </row>
    <row r="422" spans="1:72" x14ac:dyDescent="0.15">
      <c r="A422" t="s">
        <v>72</v>
      </c>
      <c r="B422" t="s">
        <v>8382</v>
      </c>
      <c r="C422" t="s">
        <v>74</v>
      </c>
      <c r="D422" t="s">
        <v>74</v>
      </c>
      <c r="E422" t="s">
        <v>74</v>
      </c>
      <c r="F422" t="s">
        <v>8383</v>
      </c>
      <c r="G422" t="s">
        <v>74</v>
      </c>
      <c r="H422" t="s">
        <v>74</v>
      </c>
      <c r="I422" t="s">
        <v>8384</v>
      </c>
      <c r="J422" t="s">
        <v>4269</v>
      </c>
      <c r="K422" t="s">
        <v>74</v>
      </c>
      <c r="L422" t="s">
        <v>74</v>
      </c>
      <c r="M422" t="s">
        <v>78</v>
      </c>
      <c r="N422" t="s">
        <v>79</v>
      </c>
      <c r="O422" t="s">
        <v>74</v>
      </c>
      <c r="P422" t="s">
        <v>74</v>
      </c>
      <c r="Q422" t="s">
        <v>74</v>
      </c>
      <c r="R422" t="s">
        <v>74</v>
      </c>
      <c r="S422" t="s">
        <v>74</v>
      </c>
      <c r="T422" t="s">
        <v>8385</v>
      </c>
      <c r="U422" t="s">
        <v>8386</v>
      </c>
      <c r="V422" t="s">
        <v>8387</v>
      </c>
      <c r="W422" t="s">
        <v>8388</v>
      </c>
      <c r="X422" t="s">
        <v>8389</v>
      </c>
      <c r="Y422" t="s">
        <v>8390</v>
      </c>
      <c r="Z422" t="s">
        <v>8391</v>
      </c>
      <c r="AA422" t="s">
        <v>8392</v>
      </c>
      <c r="AB422" t="s">
        <v>8393</v>
      </c>
      <c r="AC422" t="s">
        <v>8394</v>
      </c>
      <c r="AD422" t="s">
        <v>8395</v>
      </c>
      <c r="AE422" t="s">
        <v>8396</v>
      </c>
      <c r="AF422" t="s">
        <v>74</v>
      </c>
      <c r="AG422">
        <v>83</v>
      </c>
      <c r="AH422">
        <v>15</v>
      </c>
      <c r="AI422">
        <v>15</v>
      </c>
      <c r="AJ422">
        <v>1</v>
      </c>
      <c r="AK422">
        <v>8</v>
      </c>
      <c r="AL422" t="s">
        <v>3817</v>
      </c>
      <c r="AM422" t="s">
        <v>3818</v>
      </c>
      <c r="AN422" t="s">
        <v>3819</v>
      </c>
      <c r="AO422" t="s">
        <v>74</v>
      </c>
      <c r="AP422" t="s">
        <v>4281</v>
      </c>
      <c r="AQ422" t="s">
        <v>74</v>
      </c>
      <c r="AR422" t="s">
        <v>4269</v>
      </c>
      <c r="AS422" t="s">
        <v>4282</v>
      </c>
      <c r="AT422" t="s">
        <v>803</v>
      </c>
      <c r="AU422">
        <v>2020</v>
      </c>
      <c r="AV422">
        <v>10</v>
      </c>
      <c r="AW422">
        <v>2</v>
      </c>
      <c r="AX422" t="s">
        <v>74</v>
      </c>
      <c r="AY422" t="s">
        <v>74</v>
      </c>
      <c r="AZ422" t="s">
        <v>74</v>
      </c>
      <c r="BA422" t="s">
        <v>74</v>
      </c>
      <c r="BB422" t="s">
        <v>74</v>
      </c>
      <c r="BC422" t="s">
        <v>74</v>
      </c>
      <c r="BD422">
        <v>67</v>
      </c>
      <c r="BE422" t="s">
        <v>8397</v>
      </c>
      <c r="BF422" t="str">
        <f>HYPERLINK("http://dx.doi.org/10.3390/geosciences10020067","http://dx.doi.org/10.3390/geosciences10020067")</f>
        <v>http://dx.doi.org/10.3390/geosciences10020067</v>
      </c>
      <c r="BG422" t="s">
        <v>74</v>
      </c>
      <c r="BH422" t="s">
        <v>74</v>
      </c>
      <c r="BI422">
        <v>27</v>
      </c>
      <c r="BJ422" t="s">
        <v>246</v>
      </c>
      <c r="BK422" t="s">
        <v>274</v>
      </c>
      <c r="BL422" t="s">
        <v>247</v>
      </c>
      <c r="BM422" t="s">
        <v>8398</v>
      </c>
      <c r="BN422" t="s">
        <v>74</v>
      </c>
      <c r="BO422" t="s">
        <v>987</v>
      </c>
      <c r="BP422" t="s">
        <v>74</v>
      </c>
      <c r="BQ422" t="s">
        <v>74</v>
      </c>
      <c r="BR422" t="s">
        <v>106</v>
      </c>
      <c r="BS422" t="s">
        <v>8399</v>
      </c>
      <c r="BT422" t="str">
        <f>HYPERLINK("https%3A%2F%2Fwww.webofscience.com%2Fwos%2Fwoscc%2Ffull-record%2FWOS:000519623600047","View Full Record in Web of Science")</f>
        <v>View Full Record in Web of Science</v>
      </c>
    </row>
    <row r="423" spans="1:72" x14ac:dyDescent="0.15">
      <c r="A423" t="s">
        <v>72</v>
      </c>
      <c r="B423" t="s">
        <v>8400</v>
      </c>
      <c r="C423" t="s">
        <v>74</v>
      </c>
      <c r="D423" t="s">
        <v>74</v>
      </c>
      <c r="E423" t="s">
        <v>74</v>
      </c>
      <c r="F423" t="s">
        <v>8401</v>
      </c>
      <c r="G423" t="s">
        <v>74</v>
      </c>
      <c r="H423" t="s">
        <v>74</v>
      </c>
      <c r="I423" t="s">
        <v>8402</v>
      </c>
      <c r="J423" t="s">
        <v>4026</v>
      </c>
      <c r="K423" t="s">
        <v>74</v>
      </c>
      <c r="L423" t="s">
        <v>74</v>
      </c>
      <c r="M423" t="s">
        <v>78</v>
      </c>
      <c r="N423" t="s">
        <v>79</v>
      </c>
      <c r="O423" t="s">
        <v>74</v>
      </c>
      <c r="P423" t="s">
        <v>74</v>
      </c>
      <c r="Q423" t="s">
        <v>74</v>
      </c>
      <c r="R423" t="s">
        <v>74</v>
      </c>
      <c r="S423" t="s">
        <v>74</v>
      </c>
      <c r="T423" t="s">
        <v>8403</v>
      </c>
      <c r="U423" t="s">
        <v>8404</v>
      </c>
      <c r="V423" t="s">
        <v>8405</v>
      </c>
      <c r="W423" t="s">
        <v>8406</v>
      </c>
      <c r="X423" t="s">
        <v>8407</v>
      </c>
      <c r="Y423" t="s">
        <v>8408</v>
      </c>
      <c r="Z423" t="s">
        <v>8409</v>
      </c>
      <c r="AA423" t="s">
        <v>8410</v>
      </c>
      <c r="AB423" t="s">
        <v>8411</v>
      </c>
      <c r="AC423" t="s">
        <v>8412</v>
      </c>
      <c r="AD423" t="s">
        <v>8413</v>
      </c>
      <c r="AE423" t="s">
        <v>8414</v>
      </c>
      <c r="AF423" t="s">
        <v>74</v>
      </c>
      <c r="AG423">
        <v>69</v>
      </c>
      <c r="AH423">
        <v>10</v>
      </c>
      <c r="AI423">
        <v>13</v>
      </c>
      <c r="AJ423">
        <v>2</v>
      </c>
      <c r="AK423">
        <v>55</v>
      </c>
      <c r="AL423" t="s">
        <v>289</v>
      </c>
      <c r="AM423" t="s">
        <v>290</v>
      </c>
      <c r="AN423" t="s">
        <v>291</v>
      </c>
      <c r="AO423" t="s">
        <v>4039</v>
      </c>
      <c r="AP423" t="s">
        <v>4040</v>
      </c>
      <c r="AQ423" t="s">
        <v>74</v>
      </c>
      <c r="AR423" t="s">
        <v>4026</v>
      </c>
      <c r="AS423" t="s">
        <v>4041</v>
      </c>
      <c r="AT423" t="s">
        <v>803</v>
      </c>
      <c r="AU423">
        <v>2020</v>
      </c>
      <c r="AV423">
        <v>92</v>
      </c>
      <c r="AW423" t="s">
        <v>74</v>
      </c>
      <c r="AX423" t="s">
        <v>74</v>
      </c>
      <c r="AY423" t="s">
        <v>74</v>
      </c>
      <c r="AZ423" t="s">
        <v>74</v>
      </c>
      <c r="BA423" t="s">
        <v>74</v>
      </c>
      <c r="BB423" t="s">
        <v>74</v>
      </c>
      <c r="BC423" t="s">
        <v>74</v>
      </c>
      <c r="BD423">
        <v>101697</v>
      </c>
      <c r="BE423" t="s">
        <v>8415</v>
      </c>
      <c r="BF423" t="str">
        <f>HYPERLINK("http://dx.doi.org/10.1016/j.hal.2019.101697","http://dx.doi.org/10.1016/j.hal.2019.101697")</f>
        <v>http://dx.doi.org/10.1016/j.hal.2019.101697</v>
      </c>
      <c r="BG423" t="s">
        <v>74</v>
      </c>
      <c r="BH423" t="s">
        <v>74</v>
      </c>
      <c r="BI423">
        <v>12</v>
      </c>
      <c r="BJ423" t="s">
        <v>344</v>
      </c>
      <c r="BK423" t="s">
        <v>103</v>
      </c>
      <c r="BL423" t="s">
        <v>344</v>
      </c>
      <c r="BM423" t="s">
        <v>8416</v>
      </c>
      <c r="BN423">
        <v>32113604</v>
      </c>
      <c r="BO423" t="s">
        <v>694</v>
      </c>
      <c r="BP423" t="s">
        <v>74</v>
      </c>
      <c r="BQ423" t="s">
        <v>74</v>
      </c>
      <c r="BR423" t="s">
        <v>106</v>
      </c>
      <c r="BS423" t="s">
        <v>8417</v>
      </c>
      <c r="BT423" t="str">
        <f>HYPERLINK("https%3A%2F%2Fwww.webofscience.com%2Fwos%2Fwoscc%2Ffull-record%2FWOS:000519335700019","View Full Record in Web of Science")</f>
        <v>View Full Record in Web of Science</v>
      </c>
    </row>
    <row r="424" spans="1:72" x14ac:dyDescent="0.15">
      <c r="A424" t="s">
        <v>72</v>
      </c>
      <c r="B424" t="s">
        <v>8418</v>
      </c>
      <c r="C424" t="s">
        <v>74</v>
      </c>
      <c r="D424" t="s">
        <v>74</v>
      </c>
      <c r="E424" t="s">
        <v>74</v>
      </c>
      <c r="F424" t="s">
        <v>8419</v>
      </c>
      <c r="G424" t="s">
        <v>74</v>
      </c>
      <c r="H424" t="s">
        <v>74</v>
      </c>
      <c r="I424" t="s">
        <v>8420</v>
      </c>
      <c r="J424" t="s">
        <v>5327</v>
      </c>
      <c r="K424" t="s">
        <v>74</v>
      </c>
      <c r="L424" t="s">
        <v>74</v>
      </c>
      <c r="M424" t="s">
        <v>78</v>
      </c>
      <c r="N424" t="s">
        <v>79</v>
      </c>
      <c r="O424" t="s">
        <v>74</v>
      </c>
      <c r="P424" t="s">
        <v>74</v>
      </c>
      <c r="Q424" t="s">
        <v>74</v>
      </c>
      <c r="R424" t="s">
        <v>74</v>
      </c>
      <c r="S424" t="s">
        <v>74</v>
      </c>
      <c r="T424" t="s">
        <v>8421</v>
      </c>
      <c r="U424" t="s">
        <v>8422</v>
      </c>
      <c r="V424" t="s">
        <v>8423</v>
      </c>
      <c r="W424" t="s">
        <v>8424</v>
      </c>
      <c r="X424" t="s">
        <v>8425</v>
      </c>
      <c r="Y424" t="s">
        <v>8426</v>
      </c>
      <c r="Z424" t="s">
        <v>8427</v>
      </c>
      <c r="AA424" t="s">
        <v>8428</v>
      </c>
      <c r="AB424" t="s">
        <v>8429</v>
      </c>
      <c r="AC424" t="s">
        <v>8430</v>
      </c>
      <c r="AD424" t="s">
        <v>8431</v>
      </c>
      <c r="AE424" t="s">
        <v>8432</v>
      </c>
      <c r="AF424" t="s">
        <v>74</v>
      </c>
      <c r="AG424">
        <v>83</v>
      </c>
      <c r="AH424">
        <v>16</v>
      </c>
      <c r="AI424">
        <v>16</v>
      </c>
      <c r="AJ424">
        <v>1</v>
      </c>
      <c r="AK424">
        <v>17</v>
      </c>
      <c r="AL424" t="s">
        <v>3817</v>
      </c>
      <c r="AM424" t="s">
        <v>3818</v>
      </c>
      <c r="AN424" t="s">
        <v>3819</v>
      </c>
      <c r="AO424" t="s">
        <v>74</v>
      </c>
      <c r="AP424" t="s">
        <v>5340</v>
      </c>
      <c r="AQ424" t="s">
        <v>74</v>
      </c>
      <c r="AR424" t="s">
        <v>5341</v>
      </c>
      <c r="AS424" t="s">
        <v>5342</v>
      </c>
      <c r="AT424" t="s">
        <v>803</v>
      </c>
      <c r="AU424">
        <v>2020</v>
      </c>
      <c r="AV424">
        <v>12</v>
      </c>
      <c r="AW424">
        <v>4</v>
      </c>
      <c r="AX424" t="s">
        <v>74</v>
      </c>
      <c r="AY424" t="s">
        <v>74</v>
      </c>
      <c r="AZ424" t="s">
        <v>74</v>
      </c>
      <c r="BA424" t="s">
        <v>74</v>
      </c>
      <c r="BB424" t="s">
        <v>74</v>
      </c>
      <c r="BC424" t="s">
        <v>74</v>
      </c>
      <c r="BD424">
        <v>630</v>
      </c>
      <c r="BE424" t="s">
        <v>8433</v>
      </c>
      <c r="BF424" t="str">
        <f>HYPERLINK("http://dx.doi.org/10.3390/rs12040630","http://dx.doi.org/10.3390/rs12040630")</f>
        <v>http://dx.doi.org/10.3390/rs12040630</v>
      </c>
      <c r="BG424" t="s">
        <v>74</v>
      </c>
      <c r="BH424" t="s">
        <v>74</v>
      </c>
      <c r="BI424">
        <v>22</v>
      </c>
      <c r="BJ424" t="s">
        <v>5344</v>
      </c>
      <c r="BK424" t="s">
        <v>103</v>
      </c>
      <c r="BL424" t="s">
        <v>5345</v>
      </c>
      <c r="BM424" t="s">
        <v>8434</v>
      </c>
      <c r="BN424" t="s">
        <v>74</v>
      </c>
      <c r="BO424" t="s">
        <v>1359</v>
      </c>
      <c r="BP424" t="s">
        <v>74</v>
      </c>
      <c r="BQ424" t="s">
        <v>74</v>
      </c>
      <c r="BR424" t="s">
        <v>106</v>
      </c>
      <c r="BS424" t="s">
        <v>8435</v>
      </c>
      <c r="BT424" t="str">
        <f>HYPERLINK("https%3A%2F%2Fwww.webofscience.com%2Fwos%2Fwoscc%2Ffull-record%2FWOS:000519564600041","View Full Record in Web of Science")</f>
        <v>View Full Record in Web of Science</v>
      </c>
    </row>
    <row r="425" spans="1:72" x14ac:dyDescent="0.15">
      <c r="A425" t="s">
        <v>72</v>
      </c>
      <c r="B425" t="s">
        <v>8436</v>
      </c>
      <c r="C425" t="s">
        <v>74</v>
      </c>
      <c r="D425" t="s">
        <v>74</v>
      </c>
      <c r="E425" t="s">
        <v>74</v>
      </c>
      <c r="F425" t="s">
        <v>8437</v>
      </c>
      <c r="G425" t="s">
        <v>74</v>
      </c>
      <c r="H425" t="s">
        <v>74</v>
      </c>
      <c r="I425" t="s">
        <v>8438</v>
      </c>
      <c r="J425" t="s">
        <v>5327</v>
      </c>
      <c r="K425" t="s">
        <v>74</v>
      </c>
      <c r="L425" t="s">
        <v>74</v>
      </c>
      <c r="M425" t="s">
        <v>78</v>
      </c>
      <c r="N425" t="s">
        <v>79</v>
      </c>
      <c r="O425" t="s">
        <v>74</v>
      </c>
      <c r="P425" t="s">
        <v>74</v>
      </c>
      <c r="Q425" t="s">
        <v>74</v>
      </c>
      <c r="R425" t="s">
        <v>74</v>
      </c>
      <c r="S425" t="s">
        <v>74</v>
      </c>
      <c r="T425" t="s">
        <v>8439</v>
      </c>
      <c r="U425" t="s">
        <v>8440</v>
      </c>
      <c r="V425" t="s">
        <v>8441</v>
      </c>
      <c r="W425" t="s">
        <v>8442</v>
      </c>
      <c r="X425" t="s">
        <v>8443</v>
      </c>
      <c r="Y425" t="s">
        <v>8444</v>
      </c>
      <c r="Z425" t="s">
        <v>8445</v>
      </c>
      <c r="AA425" t="s">
        <v>8446</v>
      </c>
      <c r="AB425" t="s">
        <v>8447</v>
      </c>
      <c r="AC425" t="s">
        <v>8448</v>
      </c>
      <c r="AD425" t="s">
        <v>8449</v>
      </c>
      <c r="AE425" t="s">
        <v>8450</v>
      </c>
      <c r="AF425" t="s">
        <v>74</v>
      </c>
      <c r="AG425">
        <v>40</v>
      </c>
      <c r="AH425">
        <v>22</v>
      </c>
      <c r="AI425">
        <v>23</v>
      </c>
      <c r="AJ425">
        <v>1</v>
      </c>
      <c r="AK425">
        <v>13</v>
      </c>
      <c r="AL425" t="s">
        <v>3817</v>
      </c>
      <c r="AM425" t="s">
        <v>3818</v>
      </c>
      <c r="AN425" t="s">
        <v>3819</v>
      </c>
      <c r="AO425" t="s">
        <v>74</v>
      </c>
      <c r="AP425" t="s">
        <v>5340</v>
      </c>
      <c r="AQ425" t="s">
        <v>74</v>
      </c>
      <c r="AR425" t="s">
        <v>5341</v>
      </c>
      <c r="AS425" t="s">
        <v>5342</v>
      </c>
      <c r="AT425" t="s">
        <v>803</v>
      </c>
      <c r="AU425">
        <v>2020</v>
      </c>
      <c r="AV425">
        <v>12</v>
      </c>
      <c r="AW425">
        <v>4</v>
      </c>
      <c r="AX425" t="s">
        <v>74</v>
      </c>
      <c r="AY425" t="s">
        <v>74</v>
      </c>
      <c r="AZ425" t="s">
        <v>74</v>
      </c>
      <c r="BA425" t="s">
        <v>74</v>
      </c>
      <c r="BB425" t="s">
        <v>74</v>
      </c>
      <c r="BC425" t="s">
        <v>74</v>
      </c>
      <c r="BD425">
        <v>601</v>
      </c>
      <c r="BE425" t="s">
        <v>8451</v>
      </c>
      <c r="BF425" t="str">
        <f>HYPERLINK("http://dx.doi.org/10.3390/rs12040601","http://dx.doi.org/10.3390/rs12040601")</f>
        <v>http://dx.doi.org/10.3390/rs12040601</v>
      </c>
      <c r="BG425" t="s">
        <v>74</v>
      </c>
      <c r="BH425" t="s">
        <v>74</v>
      </c>
      <c r="BI425">
        <v>36</v>
      </c>
      <c r="BJ425" t="s">
        <v>5344</v>
      </c>
      <c r="BK425" t="s">
        <v>103</v>
      </c>
      <c r="BL425" t="s">
        <v>5345</v>
      </c>
      <c r="BM425" t="s">
        <v>8434</v>
      </c>
      <c r="BN425" t="s">
        <v>74</v>
      </c>
      <c r="BO425" t="s">
        <v>987</v>
      </c>
      <c r="BP425" t="s">
        <v>74</v>
      </c>
      <c r="BQ425" t="s">
        <v>74</v>
      </c>
      <c r="BR425" t="s">
        <v>106</v>
      </c>
      <c r="BS425" t="s">
        <v>8452</v>
      </c>
      <c r="BT425" t="str">
        <f>HYPERLINK("https%3A%2F%2Fwww.webofscience.com%2Fwos%2Fwoscc%2Ffull-record%2FWOS:000519564600012","View Full Record in Web of Science")</f>
        <v>View Full Record in Web of Science</v>
      </c>
    </row>
    <row r="426" spans="1:72" x14ac:dyDescent="0.15">
      <c r="A426" t="s">
        <v>72</v>
      </c>
      <c r="B426" t="s">
        <v>8453</v>
      </c>
      <c r="C426" t="s">
        <v>74</v>
      </c>
      <c r="D426" t="s">
        <v>74</v>
      </c>
      <c r="E426" t="s">
        <v>74</v>
      </c>
      <c r="F426" t="s">
        <v>8454</v>
      </c>
      <c r="G426" t="s">
        <v>74</v>
      </c>
      <c r="H426" t="s">
        <v>74</v>
      </c>
      <c r="I426" t="s">
        <v>8455</v>
      </c>
      <c r="J426" t="s">
        <v>3611</v>
      </c>
      <c r="K426" t="s">
        <v>74</v>
      </c>
      <c r="L426" t="s">
        <v>74</v>
      </c>
      <c r="M426" t="s">
        <v>78</v>
      </c>
      <c r="N426" t="s">
        <v>79</v>
      </c>
      <c r="O426" t="s">
        <v>74</v>
      </c>
      <c r="P426" t="s">
        <v>74</v>
      </c>
      <c r="Q426" t="s">
        <v>74</v>
      </c>
      <c r="R426" t="s">
        <v>74</v>
      </c>
      <c r="S426" t="s">
        <v>74</v>
      </c>
      <c r="T426" t="s">
        <v>8456</v>
      </c>
      <c r="U426" t="s">
        <v>8457</v>
      </c>
      <c r="V426" t="s">
        <v>8458</v>
      </c>
      <c r="W426" t="s">
        <v>8459</v>
      </c>
      <c r="X426" t="s">
        <v>8460</v>
      </c>
      <c r="Y426" t="s">
        <v>8461</v>
      </c>
      <c r="Z426" t="s">
        <v>8462</v>
      </c>
      <c r="AA426" t="s">
        <v>8463</v>
      </c>
      <c r="AB426" t="s">
        <v>74</v>
      </c>
      <c r="AC426" t="s">
        <v>8464</v>
      </c>
      <c r="AD426" t="s">
        <v>8395</v>
      </c>
      <c r="AE426" t="s">
        <v>8465</v>
      </c>
      <c r="AF426" t="s">
        <v>74</v>
      </c>
      <c r="AG426">
        <v>44</v>
      </c>
      <c r="AH426">
        <v>8</v>
      </c>
      <c r="AI426">
        <v>8</v>
      </c>
      <c r="AJ426">
        <v>1</v>
      </c>
      <c r="AK426">
        <v>13</v>
      </c>
      <c r="AL426" t="s">
        <v>3622</v>
      </c>
      <c r="AM426" t="s">
        <v>3623</v>
      </c>
      <c r="AN426" t="s">
        <v>3624</v>
      </c>
      <c r="AO426" t="s">
        <v>3625</v>
      </c>
      <c r="AP426" t="s">
        <v>3626</v>
      </c>
      <c r="AQ426" t="s">
        <v>74</v>
      </c>
      <c r="AR426" t="s">
        <v>3627</v>
      </c>
      <c r="AS426" t="s">
        <v>3628</v>
      </c>
      <c r="AT426" t="s">
        <v>803</v>
      </c>
      <c r="AU426">
        <v>2020</v>
      </c>
      <c r="AV426">
        <v>45</v>
      </c>
      <c r="AW426">
        <v>2</v>
      </c>
      <c r="AX426" t="s">
        <v>74</v>
      </c>
      <c r="AY426" t="s">
        <v>74</v>
      </c>
      <c r="AZ426" t="s">
        <v>74</v>
      </c>
      <c r="BA426" t="s">
        <v>74</v>
      </c>
      <c r="BB426">
        <v>63</v>
      </c>
      <c r="BC426">
        <v>73</v>
      </c>
      <c r="BD426" t="s">
        <v>74</v>
      </c>
      <c r="BE426" t="s">
        <v>8466</v>
      </c>
      <c r="BF426" t="str">
        <f>HYPERLINK("http://dx.doi.org/10.3103/S1068373920020016","http://dx.doi.org/10.3103/S1068373920020016")</f>
        <v>http://dx.doi.org/10.3103/S1068373920020016</v>
      </c>
      <c r="BG426" t="s">
        <v>74</v>
      </c>
      <c r="BH426" t="s">
        <v>74</v>
      </c>
      <c r="BI426">
        <v>11</v>
      </c>
      <c r="BJ426" t="s">
        <v>907</v>
      </c>
      <c r="BK426" t="s">
        <v>103</v>
      </c>
      <c r="BL426" t="s">
        <v>907</v>
      </c>
      <c r="BM426" t="s">
        <v>8467</v>
      </c>
      <c r="BN426" t="s">
        <v>74</v>
      </c>
      <c r="BO426" t="s">
        <v>74</v>
      </c>
      <c r="BP426" t="s">
        <v>74</v>
      </c>
      <c r="BQ426" t="s">
        <v>74</v>
      </c>
      <c r="BR426" t="s">
        <v>106</v>
      </c>
      <c r="BS426" t="s">
        <v>8468</v>
      </c>
      <c r="BT426" t="str">
        <f>HYPERLINK("https%3A%2F%2Fwww.webofscience.com%2Fwos%2Fwoscc%2Ffull-record%2FWOS:000520830500001","View Full Record in Web of Science")</f>
        <v>View Full Record in Web of Science</v>
      </c>
    </row>
    <row r="427" spans="1:72" x14ac:dyDescent="0.15">
      <c r="A427" t="s">
        <v>72</v>
      </c>
      <c r="B427" t="s">
        <v>8469</v>
      </c>
      <c r="C427" t="s">
        <v>74</v>
      </c>
      <c r="D427" t="s">
        <v>74</v>
      </c>
      <c r="E427" t="s">
        <v>74</v>
      </c>
      <c r="F427" t="s">
        <v>8470</v>
      </c>
      <c r="G427" t="s">
        <v>74</v>
      </c>
      <c r="H427" t="s">
        <v>74</v>
      </c>
      <c r="I427" t="s">
        <v>8471</v>
      </c>
      <c r="J427" t="s">
        <v>3611</v>
      </c>
      <c r="K427" t="s">
        <v>74</v>
      </c>
      <c r="L427" t="s">
        <v>74</v>
      </c>
      <c r="M427" t="s">
        <v>78</v>
      </c>
      <c r="N427" t="s">
        <v>79</v>
      </c>
      <c r="O427" t="s">
        <v>74</v>
      </c>
      <c r="P427" t="s">
        <v>74</v>
      </c>
      <c r="Q427" t="s">
        <v>74</v>
      </c>
      <c r="R427" t="s">
        <v>74</v>
      </c>
      <c r="S427" t="s">
        <v>74</v>
      </c>
      <c r="T427" t="s">
        <v>8472</v>
      </c>
      <c r="U427" t="s">
        <v>8473</v>
      </c>
      <c r="V427" t="s">
        <v>8474</v>
      </c>
      <c r="W427" t="s">
        <v>8475</v>
      </c>
      <c r="X427" t="s">
        <v>3637</v>
      </c>
      <c r="Y427" t="s">
        <v>8476</v>
      </c>
      <c r="Z427" t="s">
        <v>8477</v>
      </c>
      <c r="AA427" t="s">
        <v>8478</v>
      </c>
      <c r="AB427" t="s">
        <v>74</v>
      </c>
      <c r="AC427" t="s">
        <v>74</v>
      </c>
      <c r="AD427" t="s">
        <v>74</v>
      </c>
      <c r="AE427" t="s">
        <v>74</v>
      </c>
      <c r="AF427" t="s">
        <v>74</v>
      </c>
      <c r="AG427">
        <v>31</v>
      </c>
      <c r="AH427">
        <v>3</v>
      </c>
      <c r="AI427">
        <v>3</v>
      </c>
      <c r="AJ427">
        <v>0</v>
      </c>
      <c r="AK427">
        <v>5</v>
      </c>
      <c r="AL427" t="s">
        <v>3622</v>
      </c>
      <c r="AM427" t="s">
        <v>3623</v>
      </c>
      <c r="AN427" t="s">
        <v>3624</v>
      </c>
      <c r="AO427" t="s">
        <v>3625</v>
      </c>
      <c r="AP427" t="s">
        <v>3626</v>
      </c>
      <c r="AQ427" t="s">
        <v>74</v>
      </c>
      <c r="AR427" t="s">
        <v>3627</v>
      </c>
      <c r="AS427" t="s">
        <v>3628</v>
      </c>
      <c r="AT427" t="s">
        <v>803</v>
      </c>
      <c r="AU427">
        <v>2020</v>
      </c>
      <c r="AV427">
        <v>45</v>
      </c>
      <c r="AW427">
        <v>2</v>
      </c>
      <c r="AX427" t="s">
        <v>74</v>
      </c>
      <c r="AY427" t="s">
        <v>74</v>
      </c>
      <c r="AZ427" t="s">
        <v>74</v>
      </c>
      <c r="BA427" t="s">
        <v>74</v>
      </c>
      <c r="BB427">
        <v>74</v>
      </c>
      <c r="BC427">
        <v>80</v>
      </c>
      <c r="BD427" t="s">
        <v>74</v>
      </c>
      <c r="BE427" t="s">
        <v>8479</v>
      </c>
      <c r="BF427" t="str">
        <f>HYPERLINK("http://dx.doi.org/10.3103/S1068373920020028","http://dx.doi.org/10.3103/S1068373920020028")</f>
        <v>http://dx.doi.org/10.3103/S1068373920020028</v>
      </c>
      <c r="BG427" t="s">
        <v>74</v>
      </c>
      <c r="BH427" t="s">
        <v>74</v>
      </c>
      <c r="BI427">
        <v>7</v>
      </c>
      <c r="BJ427" t="s">
        <v>907</v>
      </c>
      <c r="BK427" t="s">
        <v>103</v>
      </c>
      <c r="BL427" t="s">
        <v>907</v>
      </c>
      <c r="BM427" t="s">
        <v>8467</v>
      </c>
      <c r="BN427" t="s">
        <v>74</v>
      </c>
      <c r="BO427" t="s">
        <v>74</v>
      </c>
      <c r="BP427" t="s">
        <v>74</v>
      </c>
      <c r="BQ427" t="s">
        <v>74</v>
      </c>
      <c r="BR427" t="s">
        <v>106</v>
      </c>
      <c r="BS427" t="s">
        <v>8480</v>
      </c>
      <c r="BT427" t="str">
        <f>HYPERLINK("https%3A%2F%2Fwww.webofscience.com%2Fwos%2Fwoscc%2Ffull-record%2FWOS:000520830500002","View Full Record in Web of Science")</f>
        <v>View Full Record in Web of Science</v>
      </c>
    </row>
    <row r="428" spans="1:72" x14ac:dyDescent="0.15">
      <c r="A428" t="s">
        <v>72</v>
      </c>
      <c r="B428" t="s">
        <v>8481</v>
      </c>
      <c r="C428" t="s">
        <v>74</v>
      </c>
      <c r="D428" t="s">
        <v>74</v>
      </c>
      <c r="E428" t="s">
        <v>74</v>
      </c>
      <c r="F428" t="s">
        <v>8482</v>
      </c>
      <c r="G428" t="s">
        <v>74</v>
      </c>
      <c r="H428" t="s">
        <v>74</v>
      </c>
      <c r="I428" t="s">
        <v>8483</v>
      </c>
      <c r="J428" t="s">
        <v>3611</v>
      </c>
      <c r="K428" t="s">
        <v>74</v>
      </c>
      <c r="L428" t="s">
        <v>74</v>
      </c>
      <c r="M428" t="s">
        <v>78</v>
      </c>
      <c r="N428" t="s">
        <v>79</v>
      </c>
      <c r="O428" t="s">
        <v>74</v>
      </c>
      <c r="P428" t="s">
        <v>74</v>
      </c>
      <c r="Q428" t="s">
        <v>74</v>
      </c>
      <c r="R428" t="s">
        <v>74</v>
      </c>
      <c r="S428" t="s">
        <v>74</v>
      </c>
      <c r="T428" t="s">
        <v>8484</v>
      </c>
      <c r="U428" t="s">
        <v>74</v>
      </c>
      <c r="V428" t="s">
        <v>8485</v>
      </c>
      <c r="W428" t="s">
        <v>8486</v>
      </c>
      <c r="X428" t="s">
        <v>8487</v>
      </c>
      <c r="Y428" t="s">
        <v>8488</v>
      </c>
      <c r="Z428" t="s">
        <v>8489</v>
      </c>
      <c r="AA428" t="s">
        <v>8490</v>
      </c>
      <c r="AB428" t="s">
        <v>74</v>
      </c>
      <c r="AC428" t="s">
        <v>8491</v>
      </c>
      <c r="AD428" t="s">
        <v>8395</v>
      </c>
      <c r="AE428" t="s">
        <v>8492</v>
      </c>
      <c r="AF428" t="s">
        <v>74</v>
      </c>
      <c r="AG428">
        <v>22</v>
      </c>
      <c r="AH428">
        <v>1</v>
      </c>
      <c r="AI428">
        <v>1</v>
      </c>
      <c r="AJ428">
        <v>0</v>
      </c>
      <c r="AK428">
        <v>0</v>
      </c>
      <c r="AL428" t="s">
        <v>3622</v>
      </c>
      <c r="AM428" t="s">
        <v>3623</v>
      </c>
      <c r="AN428" t="s">
        <v>3624</v>
      </c>
      <c r="AO428" t="s">
        <v>3625</v>
      </c>
      <c r="AP428" t="s">
        <v>3626</v>
      </c>
      <c r="AQ428" t="s">
        <v>74</v>
      </c>
      <c r="AR428" t="s">
        <v>3627</v>
      </c>
      <c r="AS428" t="s">
        <v>3628</v>
      </c>
      <c r="AT428" t="s">
        <v>803</v>
      </c>
      <c r="AU428">
        <v>2020</v>
      </c>
      <c r="AV428">
        <v>45</v>
      </c>
      <c r="AW428">
        <v>2</v>
      </c>
      <c r="AX428" t="s">
        <v>74</v>
      </c>
      <c r="AY428" t="s">
        <v>74</v>
      </c>
      <c r="AZ428" t="s">
        <v>74</v>
      </c>
      <c r="BA428" t="s">
        <v>74</v>
      </c>
      <c r="BB428">
        <v>81</v>
      </c>
      <c r="BC428">
        <v>86</v>
      </c>
      <c r="BD428" t="s">
        <v>74</v>
      </c>
      <c r="BE428" t="s">
        <v>8493</v>
      </c>
      <c r="BF428" t="str">
        <f>HYPERLINK("http://dx.doi.org/10.3103/S106837392002003X","http://dx.doi.org/10.3103/S106837392002003X")</f>
        <v>http://dx.doi.org/10.3103/S106837392002003X</v>
      </c>
      <c r="BG428" t="s">
        <v>74</v>
      </c>
      <c r="BH428" t="s">
        <v>74</v>
      </c>
      <c r="BI428">
        <v>6</v>
      </c>
      <c r="BJ428" t="s">
        <v>907</v>
      </c>
      <c r="BK428" t="s">
        <v>103</v>
      </c>
      <c r="BL428" t="s">
        <v>907</v>
      </c>
      <c r="BM428" t="s">
        <v>8467</v>
      </c>
      <c r="BN428" t="s">
        <v>74</v>
      </c>
      <c r="BO428" t="s">
        <v>74</v>
      </c>
      <c r="BP428" t="s">
        <v>74</v>
      </c>
      <c r="BQ428" t="s">
        <v>74</v>
      </c>
      <c r="BR428" t="s">
        <v>106</v>
      </c>
      <c r="BS428" t="s">
        <v>8494</v>
      </c>
      <c r="BT428" t="str">
        <f>HYPERLINK("https%3A%2F%2Fwww.webofscience.com%2Fwos%2Fwoscc%2Ffull-record%2FWOS:000520830500003","View Full Record in Web of Science")</f>
        <v>View Full Record in Web of Science</v>
      </c>
    </row>
    <row r="429" spans="1:72" x14ac:dyDescent="0.15">
      <c r="A429" t="s">
        <v>72</v>
      </c>
      <c r="B429" t="s">
        <v>8495</v>
      </c>
      <c r="C429" t="s">
        <v>74</v>
      </c>
      <c r="D429" t="s">
        <v>74</v>
      </c>
      <c r="E429" t="s">
        <v>74</v>
      </c>
      <c r="F429" t="s">
        <v>8496</v>
      </c>
      <c r="G429" t="s">
        <v>74</v>
      </c>
      <c r="H429" t="s">
        <v>74</v>
      </c>
      <c r="I429" t="s">
        <v>8497</v>
      </c>
      <c r="J429" t="s">
        <v>3611</v>
      </c>
      <c r="K429" t="s">
        <v>74</v>
      </c>
      <c r="L429" t="s">
        <v>74</v>
      </c>
      <c r="M429" t="s">
        <v>78</v>
      </c>
      <c r="N429" t="s">
        <v>79</v>
      </c>
      <c r="O429" t="s">
        <v>74</v>
      </c>
      <c r="P429" t="s">
        <v>74</v>
      </c>
      <c r="Q429" t="s">
        <v>74</v>
      </c>
      <c r="R429" t="s">
        <v>74</v>
      </c>
      <c r="S429" t="s">
        <v>74</v>
      </c>
      <c r="T429" t="s">
        <v>8498</v>
      </c>
      <c r="U429" t="s">
        <v>74</v>
      </c>
      <c r="V429" t="s">
        <v>8499</v>
      </c>
      <c r="W429" t="s">
        <v>8500</v>
      </c>
      <c r="X429" t="s">
        <v>8501</v>
      </c>
      <c r="Y429" t="s">
        <v>8502</v>
      </c>
      <c r="Z429" t="s">
        <v>8503</v>
      </c>
      <c r="AA429" t="s">
        <v>8504</v>
      </c>
      <c r="AB429" t="s">
        <v>8505</v>
      </c>
      <c r="AC429" t="s">
        <v>8506</v>
      </c>
      <c r="AD429" t="s">
        <v>8507</v>
      </c>
      <c r="AE429" t="s">
        <v>8508</v>
      </c>
      <c r="AF429" t="s">
        <v>74</v>
      </c>
      <c r="AG429">
        <v>15</v>
      </c>
      <c r="AH429">
        <v>1</v>
      </c>
      <c r="AI429">
        <v>1</v>
      </c>
      <c r="AJ429">
        <v>1</v>
      </c>
      <c r="AK429">
        <v>6</v>
      </c>
      <c r="AL429" t="s">
        <v>3622</v>
      </c>
      <c r="AM429" t="s">
        <v>3623</v>
      </c>
      <c r="AN429" t="s">
        <v>3624</v>
      </c>
      <c r="AO429" t="s">
        <v>3625</v>
      </c>
      <c r="AP429" t="s">
        <v>3626</v>
      </c>
      <c r="AQ429" t="s">
        <v>74</v>
      </c>
      <c r="AR429" t="s">
        <v>3627</v>
      </c>
      <c r="AS429" t="s">
        <v>3628</v>
      </c>
      <c r="AT429" t="s">
        <v>803</v>
      </c>
      <c r="AU429">
        <v>2020</v>
      </c>
      <c r="AV429">
        <v>45</v>
      </c>
      <c r="AW429">
        <v>2</v>
      </c>
      <c r="AX429" t="s">
        <v>74</v>
      </c>
      <c r="AY429" t="s">
        <v>74</v>
      </c>
      <c r="AZ429" t="s">
        <v>74</v>
      </c>
      <c r="BA429" t="s">
        <v>74</v>
      </c>
      <c r="BB429">
        <v>87</v>
      </c>
      <c r="BC429">
        <v>95</v>
      </c>
      <c r="BD429" t="s">
        <v>74</v>
      </c>
      <c r="BE429" t="s">
        <v>8509</v>
      </c>
      <c r="BF429" t="str">
        <f>HYPERLINK("http://dx.doi.org/10.3103/S1068373920020041","http://dx.doi.org/10.3103/S1068373920020041")</f>
        <v>http://dx.doi.org/10.3103/S1068373920020041</v>
      </c>
      <c r="BG429" t="s">
        <v>74</v>
      </c>
      <c r="BH429" t="s">
        <v>74</v>
      </c>
      <c r="BI429">
        <v>9</v>
      </c>
      <c r="BJ429" t="s">
        <v>907</v>
      </c>
      <c r="BK429" t="s">
        <v>103</v>
      </c>
      <c r="BL429" t="s">
        <v>907</v>
      </c>
      <c r="BM429" t="s">
        <v>8467</v>
      </c>
      <c r="BN429" t="s">
        <v>74</v>
      </c>
      <c r="BO429" t="s">
        <v>74</v>
      </c>
      <c r="BP429" t="s">
        <v>74</v>
      </c>
      <c r="BQ429" t="s">
        <v>74</v>
      </c>
      <c r="BR429" t="s">
        <v>106</v>
      </c>
      <c r="BS429" t="s">
        <v>8510</v>
      </c>
      <c r="BT429" t="str">
        <f>HYPERLINK("https%3A%2F%2Fwww.webofscience.com%2Fwos%2Fwoscc%2Ffull-record%2FWOS:000520830500004","View Full Record in Web of Science")</f>
        <v>View Full Record in Web of Science</v>
      </c>
    </row>
    <row r="430" spans="1:72" x14ac:dyDescent="0.15">
      <c r="A430" t="s">
        <v>72</v>
      </c>
      <c r="B430" t="s">
        <v>8511</v>
      </c>
      <c r="C430" t="s">
        <v>74</v>
      </c>
      <c r="D430" t="s">
        <v>74</v>
      </c>
      <c r="E430" t="s">
        <v>74</v>
      </c>
      <c r="F430" t="s">
        <v>8512</v>
      </c>
      <c r="G430" t="s">
        <v>74</v>
      </c>
      <c r="H430" t="s">
        <v>74</v>
      </c>
      <c r="I430" t="s">
        <v>8513</v>
      </c>
      <c r="J430" t="s">
        <v>3611</v>
      </c>
      <c r="K430" t="s">
        <v>74</v>
      </c>
      <c r="L430" t="s">
        <v>74</v>
      </c>
      <c r="M430" t="s">
        <v>78</v>
      </c>
      <c r="N430" t="s">
        <v>79</v>
      </c>
      <c r="O430" t="s">
        <v>74</v>
      </c>
      <c r="P430" t="s">
        <v>74</v>
      </c>
      <c r="Q430" t="s">
        <v>74</v>
      </c>
      <c r="R430" t="s">
        <v>74</v>
      </c>
      <c r="S430" t="s">
        <v>74</v>
      </c>
      <c r="T430" t="s">
        <v>8514</v>
      </c>
      <c r="U430" t="s">
        <v>8515</v>
      </c>
      <c r="V430" t="s">
        <v>8516</v>
      </c>
      <c r="W430" t="s">
        <v>8517</v>
      </c>
      <c r="X430" t="s">
        <v>8518</v>
      </c>
      <c r="Y430" t="s">
        <v>8519</v>
      </c>
      <c r="Z430" t="s">
        <v>8520</v>
      </c>
      <c r="AA430" t="s">
        <v>74</v>
      </c>
      <c r="AB430" t="s">
        <v>74</v>
      </c>
      <c r="AC430" t="s">
        <v>8521</v>
      </c>
      <c r="AD430" t="s">
        <v>8522</v>
      </c>
      <c r="AE430" t="s">
        <v>8523</v>
      </c>
      <c r="AF430" t="s">
        <v>74</v>
      </c>
      <c r="AG430">
        <v>42</v>
      </c>
      <c r="AH430">
        <v>3</v>
      </c>
      <c r="AI430">
        <v>3</v>
      </c>
      <c r="AJ430">
        <v>2</v>
      </c>
      <c r="AK430">
        <v>19</v>
      </c>
      <c r="AL430" t="s">
        <v>3622</v>
      </c>
      <c r="AM430" t="s">
        <v>3623</v>
      </c>
      <c r="AN430" t="s">
        <v>3624</v>
      </c>
      <c r="AO430" t="s">
        <v>3625</v>
      </c>
      <c r="AP430" t="s">
        <v>3626</v>
      </c>
      <c r="AQ430" t="s">
        <v>74</v>
      </c>
      <c r="AR430" t="s">
        <v>3627</v>
      </c>
      <c r="AS430" t="s">
        <v>3628</v>
      </c>
      <c r="AT430" t="s">
        <v>803</v>
      </c>
      <c r="AU430">
        <v>2020</v>
      </c>
      <c r="AV430">
        <v>45</v>
      </c>
      <c r="AW430">
        <v>2</v>
      </c>
      <c r="AX430" t="s">
        <v>74</v>
      </c>
      <c r="AY430" t="s">
        <v>74</v>
      </c>
      <c r="AZ430" t="s">
        <v>74</v>
      </c>
      <c r="BA430" t="s">
        <v>74</v>
      </c>
      <c r="BB430">
        <v>105</v>
      </c>
      <c r="BC430">
        <v>117</v>
      </c>
      <c r="BD430" t="s">
        <v>74</v>
      </c>
      <c r="BE430" t="s">
        <v>8524</v>
      </c>
      <c r="BF430" t="str">
        <f>HYPERLINK("http://dx.doi.org/10.3103/S1068373920020065","http://dx.doi.org/10.3103/S1068373920020065")</f>
        <v>http://dx.doi.org/10.3103/S1068373920020065</v>
      </c>
      <c r="BG430" t="s">
        <v>74</v>
      </c>
      <c r="BH430" t="s">
        <v>74</v>
      </c>
      <c r="BI430">
        <v>13</v>
      </c>
      <c r="BJ430" t="s">
        <v>907</v>
      </c>
      <c r="BK430" t="s">
        <v>103</v>
      </c>
      <c r="BL430" t="s">
        <v>907</v>
      </c>
      <c r="BM430" t="s">
        <v>8467</v>
      </c>
      <c r="BN430" t="s">
        <v>74</v>
      </c>
      <c r="BO430" t="s">
        <v>74</v>
      </c>
      <c r="BP430" t="s">
        <v>74</v>
      </c>
      <c r="BQ430" t="s">
        <v>74</v>
      </c>
      <c r="BR430" t="s">
        <v>106</v>
      </c>
      <c r="BS430" t="s">
        <v>8525</v>
      </c>
      <c r="BT430" t="str">
        <f>HYPERLINK("https%3A%2F%2Fwww.webofscience.com%2Fwos%2Fwoscc%2Ffull-record%2FWOS:000520830500006","View Full Record in Web of Science")</f>
        <v>View Full Record in Web of Science</v>
      </c>
    </row>
    <row r="431" spans="1:72" x14ac:dyDescent="0.15">
      <c r="A431" t="s">
        <v>72</v>
      </c>
      <c r="B431" t="s">
        <v>8526</v>
      </c>
      <c r="C431" t="s">
        <v>74</v>
      </c>
      <c r="D431" t="s">
        <v>74</v>
      </c>
      <c r="E431" t="s">
        <v>74</v>
      </c>
      <c r="F431" t="s">
        <v>8527</v>
      </c>
      <c r="G431" t="s">
        <v>74</v>
      </c>
      <c r="H431" t="s">
        <v>74</v>
      </c>
      <c r="I431" t="s">
        <v>8528</v>
      </c>
      <c r="J431" t="s">
        <v>3611</v>
      </c>
      <c r="K431" t="s">
        <v>74</v>
      </c>
      <c r="L431" t="s">
        <v>74</v>
      </c>
      <c r="M431" t="s">
        <v>78</v>
      </c>
      <c r="N431" t="s">
        <v>79</v>
      </c>
      <c r="O431" t="s">
        <v>74</v>
      </c>
      <c r="P431" t="s">
        <v>74</v>
      </c>
      <c r="Q431" t="s">
        <v>74</v>
      </c>
      <c r="R431" t="s">
        <v>74</v>
      </c>
      <c r="S431" t="s">
        <v>74</v>
      </c>
      <c r="T431" t="s">
        <v>8529</v>
      </c>
      <c r="U431" t="s">
        <v>74</v>
      </c>
      <c r="V431" t="s">
        <v>8530</v>
      </c>
      <c r="W431" t="s">
        <v>8531</v>
      </c>
      <c r="X431" t="s">
        <v>8532</v>
      </c>
      <c r="Y431" t="s">
        <v>8533</v>
      </c>
      <c r="Z431" t="s">
        <v>8534</v>
      </c>
      <c r="AA431" t="s">
        <v>8535</v>
      </c>
      <c r="AB431" t="s">
        <v>8536</v>
      </c>
      <c r="AC431" t="s">
        <v>8537</v>
      </c>
      <c r="AD431" t="s">
        <v>8395</v>
      </c>
      <c r="AE431" t="s">
        <v>8538</v>
      </c>
      <c r="AF431" t="s">
        <v>74</v>
      </c>
      <c r="AG431">
        <v>15</v>
      </c>
      <c r="AH431">
        <v>7</v>
      </c>
      <c r="AI431">
        <v>7</v>
      </c>
      <c r="AJ431">
        <v>1</v>
      </c>
      <c r="AK431">
        <v>6</v>
      </c>
      <c r="AL431" t="s">
        <v>3622</v>
      </c>
      <c r="AM431" t="s">
        <v>3623</v>
      </c>
      <c r="AN431" t="s">
        <v>3624</v>
      </c>
      <c r="AO431" t="s">
        <v>3625</v>
      </c>
      <c r="AP431" t="s">
        <v>3626</v>
      </c>
      <c r="AQ431" t="s">
        <v>74</v>
      </c>
      <c r="AR431" t="s">
        <v>3627</v>
      </c>
      <c r="AS431" t="s">
        <v>3628</v>
      </c>
      <c r="AT431" t="s">
        <v>803</v>
      </c>
      <c r="AU431">
        <v>2020</v>
      </c>
      <c r="AV431">
        <v>45</v>
      </c>
      <c r="AW431">
        <v>2</v>
      </c>
      <c r="AX431" t="s">
        <v>74</v>
      </c>
      <c r="AY431" t="s">
        <v>74</v>
      </c>
      <c r="AZ431" t="s">
        <v>74</v>
      </c>
      <c r="BA431" t="s">
        <v>74</v>
      </c>
      <c r="BB431">
        <v>118</v>
      </c>
      <c r="BC431">
        <v>123</v>
      </c>
      <c r="BD431" t="s">
        <v>74</v>
      </c>
      <c r="BE431" t="s">
        <v>8539</v>
      </c>
      <c r="BF431" t="str">
        <f>HYPERLINK("http://dx.doi.org/10.3103/S1068373920020077","http://dx.doi.org/10.3103/S1068373920020077")</f>
        <v>http://dx.doi.org/10.3103/S1068373920020077</v>
      </c>
      <c r="BG431" t="s">
        <v>74</v>
      </c>
      <c r="BH431" t="s">
        <v>74</v>
      </c>
      <c r="BI431">
        <v>6</v>
      </c>
      <c r="BJ431" t="s">
        <v>907</v>
      </c>
      <c r="BK431" t="s">
        <v>103</v>
      </c>
      <c r="BL431" t="s">
        <v>907</v>
      </c>
      <c r="BM431" t="s">
        <v>8467</v>
      </c>
      <c r="BN431" t="s">
        <v>74</v>
      </c>
      <c r="BO431" t="s">
        <v>74</v>
      </c>
      <c r="BP431" t="s">
        <v>74</v>
      </c>
      <c r="BQ431" t="s">
        <v>74</v>
      </c>
      <c r="BR431" t="s">
        <v>106</v>
      </c>
      <c r="BS431" t="s">
        <v>8540</v>
      </c>
      <c r="BT431" t="str">
        <f>HYPERLINK("https%3A%2F%2Fwww.webofscience.com%2Fwos%2Fwoscc%2Ffull-record%2FWOS:000520830500007","View Full Record in Web of Science")</f>
        <v>View Full Record in Web of Science</v>
      </c>
    </row>
    <row r="432" spans="1:72" x14ac:dyDescent="0.15">
      <c r="A432" t="s">
        <v>72</v>
      </c>
      <c r="B432" t="s">
        <v>8541</v>
      </c>
      <c r="C432" t="s">
        <v>74</v>
      </c>
      <c r="D432" t="s">
        <v>74</v>
      </c>
      <c r="E432" t="s">
        <v>74</v>
      </c>
      <c r="F432" t="s">
        <v>8542</v>
      </c>
      <c r="G432" t="s">
        <v>74</v>
      </c>
      <c r="H432" t="s">
        <v>74</v>
      </c>
      <c r="I432" t="s">
        <v>8543</v>
      </c>
      <c r="J432" t="s">
        <v>3611</v>
      </c>
      <c r="K432" t="s">
        <v>74</v>
      </c>
      <c r="L432" t="s">
        <v>74</v>
      </c>
      <c r="M432" t="s">
        <v>78</v>
      </c>
      <c r="N432" t="s">
        <v>79</v>
      </c>
      <c r="O432" t="s">
        <v>74</v>
      </c>
      <c r="P432" t="s">
        <v>74</v>
      </c>
      <c r="Q432" t="s">
        <v>74</v>
      </c>
      <c r="R432" t="s">
        <v>74</v>
      </c>
      <c r="S432" t="s">
        <v>74</v>
      </c>
      <c r="T432" t="s">
        <v>8544</v>
      </c>
      <c r="U432" t="s">
        <v>74</v>
      </c>
      <c r="V432" t="s">
        <v>8545</v>
      </c>
      <c r="W432" t="s">
        <v>8546</v>
      </c>
      <c r="X432" t="s">
        <v>8547</v>
      </c>
      <c r="Y432" t="s">
        <v>8548</v>
      </c>
      <c r="Z432" t="s">
        <v>8549</v>
      </c>
      <c r="AA432" t="s">
        <v>8550</v>
      </c>
      <c r="AB432" t="s">
        <v>8551</v>
      </c>
      <c r="AC432" t="s">
        <v>8552</v>
      </c>
      <c r="AD432" t="s">
        <v>8553</v>
      </c>
      <c r="AE432" t="s">
        <v>8554</v>
      </c>
      <c r="AF432" t="s">
        <v>74</v>
      </c>
      <c r="AG432">
        <v>10</v>
      </c>
      <c r="AH432">
        <v>1</v>
      </c>
      <c r="AI432">
        <v>1</v>
      </c>
      <c r="AJ432">
        <v>0</v>
      </c>
      <c r="AK432">
        <v>5</v>
      </c>
      <c r="AL432" t="s">
        <v>3622</v>
      </c>
      <c r="AM432" t="s">
        <v>3623</v>
      </c>
      <c r="AN432" t="s">
        <v>3624</v>
      </c>
      <c r="AO432" t="s">
        <v>3625</v>
      </c>
      <c r="AP432" t="s">
        <v>3626</v>
      </c>
      <c r="AQ432" t="s">
        <v>74</v>
      </c>
      <c r="AR432" t="s">
        <v>3627</v>
      </c>
      <c r="AS432" t="s">
        <v>3628</v>
      </c>
      <c r="AT432" t="s">
        <v>803</v>
      </c>
      <c r="AU432">
        <v>2020</v>
      </c>
      <c r="AV432">
        <v>45</v>
      </c>
      <c r="AW432">
        <v>2</v>
      </c>
      <c r="AX432" t="s">
        <v>74</v>
      </c>
      <c r="AY432" t="s">
        <v>74</v>
      </c>
      <c r="AZ432" t="s">
        <v>74</v>
      </c>
      <c r="BA432" t="s">
        <v>74</v>
      </c>
      <c r="BB432">
        <v>124</v>
      </c>
      <c r="BC432">
        <v>131</v>
      </c>
      <c r="BD432" t="s">
        <v>74</v>
      </c>
      <c r="BE432" t="s">
        <v>8555</v>
      </c>
      <c r="BF432" t="str">
        <f>HYPERLINK("http://dx.doi.org/10.3103/S1068373920020089","http://dx.doi.org/10.3103/S1068373920020089")</f>
        <v>http://dx.doi.org/10.3103/S1068373920020089</v>
      </c>
      <c r="BG432" t="s">
        <v>74</v>
      </c>
      <c r="BH432" t="s">
        <v>74</v>
      </c>
      <c r="BI432">
        <v>8</v>
      </c>
      <c r="BJ432" t="s">
        <v>907</v>
      </c>
      <c r="BK432" t="s">
        <v>103</v>
      </c>
      <c r="BL432" t="s">
        <v>907</v>
      </c>
      <c r="BM432" t="s">
        <v>8467</v>
      </c>
      <c r="BN432" t="s">
        <v>74</v>
      </c>
      <c r="BO432" t="s">
        <v>74</v>
      </c>
      <c r="BP432" t="s">
        <v>74</v>
      </c>
      <c r="BQ432" t="s">
        <v>74</v>
      </c>
      <c r="BR432" t="s">
        <v>106</v>
      </c>
      <c r="BS432" t="s">
        <v>8556</v>
      </c>
      <c r="BT432" t="str">
        <f>HYPERLINK("https%3A%2F%2Fwww.webofscience.com%2Fwos%2Fwoscc%2Ffull-record%2FWOS:000520830500008","View Full Record in Web of Science")</f>
        <v>View Full Record in Web of Science</v>
      </c>
    </row>
    <row r="433" spans="1:72" x14ac:dyDescent="0.15">
      <c r="A433" t="s">
        <v>72</v>
      </c>
      <c r="B433" t="s">
        <v>8557</v>
      </c>
      <c r="C433" t="s">
        <v>74</v>
      </c>
      <c r="D433" t="s">
        <v>74</v>
      </c>
      <c r="E433" t="s">
        <v>74</v>
      </c>
      <c r="F433" t="s">
        <v>8558</v>
      </c>
      <c r="G433" t="s">
        <v>74</v>
      </c>
      <c r="H433" t="s">
        <v>74</v>
      </c>
      <c r="I433" t="s">
        <v>8559</v>
      </c>
      <c r="J433" t="s">
        <v>3611</v>
      </c>
      <c r="K433" t="s">
        <v>74</v>
      </c>
      <c r="L433" t="s">
        <v>74</v>
      </c>
      <c r="M433" t="s">
        <v>78</v>
      </c>
      <c r="N433" t="s">
        <v>79</v>
      </c>
      <c r="O433" t="s">
        <v>74</v>
      </c>
      <c r="P433" t="s">
        <v>74</v>
      </c>
      <c r="Q433" t="s">
        <v>74</v>
      </c>
      <c r="R433" t="s">
        <v>74</v>
      </c>
      <c r="S433" t="s">
        <v>74</v>
      </c>
      <c r="T433" t="s">
        <v>8560</v>
      </c>
      <c r="U433" t="s">
        <v>74</v>
      </c>
      <c r="V433" t="s">
        <v>8561</v>
      </c>
      <c r="W433" t="s">
        <v>8562</v>
      </c>
      <c r="X433" t="s">
        <v>8563</v>
      </c>
      <c r="Y433" t="s">
        <v>8564</v>
      </c>
      <c r="Z433" t="s">
        <v>8565</v>
      </c>
      <c r="AA433" t="s">
        <v>8566</v>
      </c>
      <c r="AB433" t="s">
        <v>8567</v>
      </c>
      <c r="AC433" t="s">
        <v>8568</v>
      </c>
      <c r="AD433" t="s">
        <v>8395</v>
      </c>
      <c r="AE433" t="s">
        <v>8569</v>
      </c>
      <c r="AF433" t="s">
        <v>74</v>
      </c>
      <c r="AG433">
        <v>14</v>
      </c>
      <c r="AH433">
        <v>8</v>
      </c>
      <c r="AI433">
        <v>8</v>
      </c>
      <c r="AJ433">
        <v>1</v>
      </c>
      <c r="AK433">
        <v>7</v>
      </c>
      <c r="AL433" t="s">
        <v>3622</v>
      </c>
      <c r="AM433" t="s">
        <v>3623</v>
      </c>
      <c r="AN433" t="s">
        <v>3624</v>
      </c>
      <c r="AO433" t="s">
        <v>3625</v>
      </c>
      <c r="AP433" t="s">
        <v>3626</v>
      </c>
      <c r="AQ433" t="s">
        <v>74</v>
      </c>
      <c r="AR433" t="s">
        <v>3627</v>
      </c>
      <c r="AS433" t="s">
        <v>3628</v>
      </c>
      <c r="AT433" t="s">
        <v>803</v>
      </c>
      <c r="AU433">
        <v>2020</v>
      </c>
      <c r="AV433">
        <v>45</v>
      </c>
      <c r="AW433">
        <v>2</v>
      </c>
      <c r="AX433" t="s">
        <v>74</v>
      </c>
      <c r="AY433" t="s">
        <v>74</v>
      </c>
      <c r="AZ433" t="s">
        <v>74</v>
      </c>
      <c r="BA433" t="s">
        <v>74</v>
      </c>
      <c r="BB433">
        <v>132</v>
      </c>
      <c r="BC433">
        <v>140</v>
      </c>
      <c r="BD433" t="s">
        <v>74</v>
      </c>
      <c r="BE433" t="s">
        <v>8570</v>
      </c>
      <c r="BF433" t="str">
        <f>HYPERLINK("http://dx.doi.org/10.3103/S1068373920020090","http://dx.doi.org/10.3103/S1068373920020090")</f>
        <v>http://dx.doi.org/10.3103/S1068373920020090</v>
      </c>
      <c r="BG433" t="s">
        <v>74</v>
      </c>
      <c r="BH433" t="s">
        <v>74</v>
      </c>
      <c r="BI433">
        <v>9</v>
      </c>
      <c r="BJ433" t="s">
        <v>907</v>
      </c>
      <c r="BK433" t="s">
        <v>103</v>
      </c>
      <c r="BL433" t="s">
        <v>907</v>
      </c>
      <c r="BM433" t="s">
        <v>8467</v>
      </c>
      <c r="BN433" t="s">
        <v>74</v>
      </c>
      <c r="BO433" t="s">
        <v>74</v>
      </c>
      <c r="BP433" t="s">
        <v>74</v>
      </c>
      <c r="BQ433" t="s">
        <v>74</v>
      </c>
      <c r="BR433" t="s">
        <v>106</v>
      </c>
      <c r="BS433" t="s">
        <v>8571</v>
      </c>
      <c r="BT433" t="str">
        <f>HYPERLINK("https%3A%2F%2Fwww.webofscience.com%2Fwos%2Fwoscc%2Ffull-record%2FWOS:000520830500009","View Full Record in Web of Science")</f>
        <v>View Full Record in Web of Science</v>
      </c>
    </row>
    <row r="434" spans="1:72" x14ac:dyDescent="0.15">
      <c r="A434" t="s">
        <v>72</v>
      </c>
      <c r="B434" t="s">
        <v>8572</v>
      </c>
      <c r="C434" t="s">
        <v>74</v>
      </c>
      <c r="D434" t="s">
        <v>74</v>
      </c>
      <c r="E434" t="s">
        <v>74</v>
      </c>
      <c r="F434" t="s">
        <v>8573</v>
      </c>
      <c r="G434" t="s">
        <v>74</v>
      </c>
      <c r="H434" t="s">
        <v>74</v>
      </c>
      <c r="I434" t="s">
        <v>8574</v>
      </c>
      <c r="J434" t="s">
        <v>4422</v>
      </c>
      <c r="K434" t="s">
        <v>74</v>
      </c>
      <c r="L434" t="s">
        <v>74</v>
      </c>
      <c r="M434" t="s">
        <v>78</v>
      </c>
      <c r="N434" t="s">
        <v>79</v>
      </c>
      <c r="O434" t="s">
        <v>74</v>
      </c>
      <c r="P434" t="s">
        <v>74</v>
      </c>
      <c r="Q434" t="s">
        <v>74</v>
      </c>
      <c r="R434" t="s">
        <v>74</v>
      </c>
      <c r="S434" t="s">
        <v>74</v>
      </c>
      <c r="T434" t="s">
        <v>74</v>
      </c>
      <c r="U434" t="s">
        <v>8575</v>
      </c>
      <c r="V434" t="s">
        <v>8576</v>
      </c>
      <c r="W434" t="s">
        <v>8577</v>
      </c>
      <c r="X434" t="s">
        <v>8578</v>
      </c>
      <c r="Y434" t="s">
        <v>8579</v>
      </c>
      <c r="Z434" t="s">
        <v>8580</v>
      </c>
      <c r="AA434" t="s">
        <v>8581</v>
      </c>
      <c r="AB434" t="s">
        <v>8582</v>
      </c>
      <c r="AC434" t="s">
        <v>8583</v>
      </c>
      <c r="AD434" t="s">
        <v>8584</v>
      </c>
      <c r="AE434" t="s">
        <v>8585</v>
      </c>
      <c r="AF434" t="s">
        <v>74</v>
      </c>
      <c r="AG434">
        <v>82</v>
      </c>
      <c r="AH434">
        <v>5</v>
      </c>
      <c r="AI434">
        <v>8</v>
      </c>
      <c r="AJ434">
        <v>1</v>
      </c>
      <c r="AK434">
        <v>39</v>
      </c>
      <c r="AL434" t="s">
        <v>855</v>
      </c>
      <c r="AM434" t="s">
        <v>266</v>
      </c>
      <c r="AN434" t="s">
        <v>856</v>
      </c>
      <c r="AO434" t="s">
        <v>4435</v>
      </c>
      <c r="AP434" t="s">
        <v>4436</v>
      </c>
      <c r="AQ434" t="s">
        <v>74</v>
      </c>
      <c r="AR434" t="s">
        <v>4437</v>
      </c>
      <c r="AS434" t="s">
        <v>4438</v>
      </c>
      <c r="AT434" t="s">
        <v>803</v>
      </c>
      <c r="AU434">
        <v>2020</v>
      </c>
      <c r="AV434">
        <v>34</v>
      </c>
      <c r="AW434">
        <v>2</v>
      </c>
      <c r="AX434" t="s">
        <v>74</v>
      </c>
      <c r="AY434" t="s">
        <v>74</v>
      </c>
      <c r="AZ434" t="s">
        <v>74</v>
      </c>
      <c r="BA434" t="s">
        <v>74</v>
      </c>
      <c r="BB434" t="s">
        <v>74</v>
      </c>
      <c r="BC434" t="s">
        <v>74</v>
      </c>
      <c r="BD434" t="s">
        <v>8586</v>
      </c>
      <c r="BE434" t="s">
        <v>8587</v>
      </c>
      <c r="BF434" t="str">
        <f>HYPERLINK("http://dx.doi.org/10.1029/2019GB006279","http://dx.doi.org/10.1029/2019GB006279")</f>
        <v>http://dx.doi.org/10.1029/2019GB006279</v>
      </c>
      <c r="BG434" t="s">
        <v>74</v>
      </c>
      <c r="BH434" t="s">
        <v>74</v>
      </c>
      <c r="BI434">
        <v>18</v>
      </c>
      <c r="BJ434" t="s">
        <v>4415</v>
      </c>
      <c r="BK434" t="s">
        <v>103</v>
      </c>
      <c r="BL434" t="s">
        <v>4416</v>
      </c>
      <c r="BM434" t="s">
        <v>8588</v>
      </c>
      <c r="BN434" t="s">
        <v>74</v>
      </c>
      <c r="BO434" t="s">
        <v>74</v>
      </c>
      <c r="BP434" t="s">
        <v>74</v>
      </c>
      <c r="BQ434" t="s">
        <v>74</v>
      </c>
      <c r="BR434" t="s">
        <v>106</v>
      </c>
      <c r="BS434" t="s">
        <v>8589</v>
      </c>
      <c r="BT434" t="str">
        <f>HYPERLINK("https%3A%2F%2Fwww.webofscience.com%2Fwos%2Fwoscc%2Ffull-record%2FWOS:000520158900008","View Full Record in Web of Science")</f>
        <v>View Full Record in Web of Science</v>
      </c>
    </row>
    <row r="435" spans="1:72" x14ac:dyDescent="0.15">
      <c r="A435" t="s">
        <v>72</v>
      </c>
      <c r="B435" t="s">
        <v>8590</v>
      </c>
      <c r="C435" t="s">
        <v>74</v>
      </c>
      <c r="D435" t="s">
        <v>74</v>
      </c>
      <c r="E435" t="s">
        <v>74</v>
      </c>
      <c r="F435" t="s">
        <v>8591</v>
      </c>
      <c r="G435" t="s">
        <v>74</v>
      </c>
      <c r="H435" t="s">
        <v>74</v>
      </c>
      <c r="I435" t="s">
        <v>8592</v>
      </c>
      <c r="J435" t="s">
        <v>4470</v>
      </c>
      <c r="K435" t="s">
        <v>74</v>
      </c>
      <c r="L435" t="s">
        <v>74</v>
      </c>
      <c r="M435" t="s">
        <v>78</v>
      </c>
      <c r="N435" t="s">
        <v>79</v>
      </c>
      <c r="O435" t="s">
        <v>74</v>
      </c>
      <c r="P435" t="s">
        <v>74</v>
      </c>
      <c r="Q435" t="s">
        <v>74</v>
      </c>
      <c r="R435" t="s">
        <v>74</v>
      </c>
      <c r="S435" t="s">
        <v>74</v>
      </c>
      <c r="T435" t="s">
        <v>74</v>
      </c>
      <c r="U435" t="s">
        <v>8593</v>
      </c>
      <c r="V435" t="s">
        <v>8594</v>
      </c>
      <c r="W435" t="s">
        <v>8595</v>
      </c>
      <c r="X435" t="s">
        <v>8596</v>
      </c>
      <c r="Y435" t="s">
        <v>8597</v>
      </c>
      <c r="Z435" t="s">
        <v>8598</v>
      </c>
      <c r="AA435" t="s">
        <v>8599</v>
      </c>
      <c r="AB435" t="s">
        <v>8600</v>
      </c>
      <c r="AC435" t="s">
        <v>8601</v>
      </c>
      <c r="AD435" t="s">
        <v>8602</v>
      </c>
      <c r="AE435" t="s">
        <v>8603</v>
      </c>
      <c r="AF435" t="s">
        <v>74</v>
      </c>
      <c r="AG435">
        <v>276</v>
      </c>
      <c r="AH435">
        <v>65</v>
      </c>
      <c r="AI435">
        <v>70</v>
      </c>
      <c r="AJ435">
        <v>0</v>
      </c>
      <c r="AK435">
        <v>11</v>
      </c>
      <c r="AL435" t="s">
        <v>855</v>
      </c>
      <c r="AM435" t="s">
        <v>266</v>
      </c>
      <c r="AN435" t="s">
        <v>856</v>
      </c>
      <c r="AO435" t="s">
        <v>4483</v>
      </c>
      <c r="AP435" t="s">
        <v>4484</v>
      </c>
      <c r="AQ435" t="s">
        <v>74</v>
      </c>
      <c r="AR435" t="s">
        <v>4485</v>
      </c>
      <c r="AS435" t="s">
        <v>4486</v>
      </c>
      <c r="AT435" t="s">
        <v>803</v>
      </c>
      <c r="AU435">
        <v>2020</v>
      </c>
      <c r="AV435">
        <v>125</v>
      </c>
      <c r="AW435">
        <v>2</v>
      </c>
      <c r="AX435" t="s">
        <v>74</v>
      </c>
      <c r="AY435" t="s">
        <v>74</v>
      </c>
      <c r="AZ435" t="s">
        <v>74</v>
      </c>
      <c r="BA435" t="s">
        <v>74</v>
      </c>
      <c r="BB435" t="s">
        <v>74</v>
      </c>
      <c r="BC435" t="s">
        <v>74</v>
      </c>
      <c r="BD435" t="s">
        <v>8604</v>
      </c>
      <c r="BE435" t="s">
        <v>8605</v>
      </c>
      <c r="BF435" t="str">
        <f>HYPERLINK("http://dx.doi.org/10.1029/2018JF004873","http://dx.doi.org/10.1029/2018JF004873")</f>
        <v>http://dx.doi.org/10.1029/2018JF004873</v>
      </c>
      <c r="BG435" t="s">
        <v>74</v>
      </c>
      <c r="BH435" t="s">
        <v>74</v>
      </c>
      <c r="BI435">
        <v>28</v>
      </c>
      <c r="BJ435" t="s">
        <v>246</v>
      </c>
      <c r="BK435" t="s">
        <v>103</v>
      </c>
      <c r="BL435" t="s">
        <v>247</v>
      </c>
      <c r="BM435" t="s">
        <v>8606</v>
      </c>
      <c r="BN435" t="s">
        <v>74</v>
      </c>
      <c r="BO435" t="s">
        <v>6205</v>
      </c>
      <c r="BP435" t="s">
        <v>74</v>
      </c>
      <c r="BQ435" t="s">
        <v>74</v>
      </c>
      <c r="BR435" t="s">
        <v>106</v>
      </c>
      <c r="BS435" t="s">
        <v>8607</v>
      </c>
      <c r="BT435" t="str">
        <f>HYPERLINK("https%3A%2F%2Fwww.webofscience.com%2Fwos%2Fwoscc%2Ffull-record%2FWOS:000519719500008","View Full Record in Web of Science")</f>
        <v>View Full Record in Web of Science</v>
      </c>
    </row>
    <row r="436" spans="1:72" x14ac:dyDescent="0.15">
      <c r="A436" t="s">
        <v>72</v>
      </c>
      <c r="B436" t="s">
        <v>8608</v>
      </c>
      <c r="C436" t="s">
        <v>74</v>
      </c>
      <c r="D436" t="s">
        <v>74</v>
      </c>
      <c r="E436" t="s">
        <v>74</v>
      </c>
      <c r="F436" t="s">
        <v>8609</v>
      </c>
      <c r="G436" t="s">
        <v>74</v>
      </c>
      <c r="H436" t="s">
        <v>74</v>
      </c>
      <c r="I436" t="s">
        <v>8610</v>
      </c>
      <c r="J436" t="s">
        <v>4470</v>
      </c>
      <c r="K436" t="s">
        <v>74</v>
      </c>
      <c r="L436" t="s">
        <v>74</v>
      </c>
      <c r="M436" t="s">
        <v>78</v>
      </c>
      <c r="N436" t="s">
        <v>79</v>
      </c>
      <c r="O436" t="s">
        <v>74</v>
      </c>
      <c r="P436" t="s">
        <v>74</v>
      </c>
      <c r="Q436" t="s">
        <v>74</v>
      </c>
      <c r="R436" t="s">
        <v>74</v>
      </c>
      <c r="S436" t="s">
        <v>74</v>
      </c>
      <c r="T436" t="s">
        <v>74</v>
      </c>
      <c r="U436" t="s">
        <v>8611</v>
      </c>
      <c r="V436" t="s">
        <v>8612</v>
      </c>
      <c r="W436" t="s">
        <v>8613</v>
      </c>
      <c r="X436" t="s">
        <v>8614</v>
      </c>
      <c r="Y436" t="s">
        <v>8615</v>
      </c>
      <c r="Z436" t="s">
        <v>8616</v>
      </c>
      <c r="AA436" t="s">
        <v>8617</v>
      </c>
      <c r="AB436" t="s">
        <v>8618</v>
      </c>
      <c r="AC436" t="s">
        <v>8619</v>
      </c>
      <c r="AD436" t="s">
        <v>8620</v>
      </c>
      <c r="AE436" t="s">
        <v>8621</v>
      </c>
      <c r="AF436" t="s">
        <v>74</v>
      </c>
      <c r="AG436">
        <v>59</v>
      </c>
      <c r="AH436">
        <v>3</v>
      </c>
      <c r="AI436">
        <v>3</v>
      </c>
      <c r="AJ436">
        <v>0</v>
      </c>
      <c r="AK436">
        <v>10</v>
      </c>
      <c r="AL436" t="s">
        <v>855</v>
      </c>
      <c r="AM436" t="s">
        <v>266</v>
      </c>
      <c r="AN436" t="s">
        <v>856</v>
      </c>
      <c r="AO436" t="s">
        <v>4483</v>
      </c>
      <c r="AP436" t="s">
        <v>4484</v>
      </c>
      <c r="AQ436" t="s">
        <v>74</v>
      </c>
      <c r="AR436" t="s">
        <v>4485</v>
      </c>
      <c r="AS436" t="s">
        <v>4486</v>
      </c>
      <c r="AT436" t="s">
        <v>803</v>
      </c>
      <c r="AU436">
        <v>2020</v>
      </c>
      <c r="AV436">
        <v>125</v>
      </c>
      <c r="AW436">
        <v>2</v>
      </c>
      <c r="AX436" t="s">
        <v>74</v>
      </c>
      <c r="AY436" t="s">
        <v>74</v>
      </c>
      <c r="AZ436" t="s">
        <v>74</v>
      </c>
      <c r="BA436" t="s">
        <v>74</v>
      </c>
      <c r="BB436" t="s">
        <v>74</v>
      </c>
      <c r="BC436" t="s">
        <v>74</v>
      </c>
      <c r="BD436" t="s">
        <v>8622</v>
      </c>
      <c r="BE436" t="s">
        <v>8623</v>
      </c>
      <c r="BF436" t="str">
        <f>HYPERLINK("http://dx.doi.org/10.1029/2019JF005354","http://dx.doi.org/10.1029/2019JF005354")</f>
        <v>http://dx.doi.org/10.1029/2019JF005354</v>
      </c>
      <c r="BG436" t="s">
        <v>74</v>
      </c>
      <c r="BH436" t="s">
        <v>74</v>
      </c>
      <c r="BI436">
        <v>16</v>
      </c>
      <c r="BJ436" t="s">
        <v>246</v>
      </c>
      <c r="BK436" t="s">
        <v>103</v>
      </c>
      <c r="BL436" t="s">
        <v>247</v>
      </c>
      <c r="BM436" t="s">
        <v>8606</v>
      </c>
      <c r="BN436" t="s">
        <v>74</v>
      </c>
      <c r="BO436" t="s">
        <v>1542</v>
      </c>
      <c r="BP436" t="s">
        <v>74</v>
      </c>
      <c r="BQ436" t="s">
        <v>74</v>
      </c>
      <c r="BR436" t="s">
        <v>106</v>
      </c>
      <c r="BS436" t="s">
        <v>8624</v>
      </c>
      <c r="BT436" t="str">
        <f>HYPERLINK("https%3A%2F%2Fwww.webofscience.com%2Fwos%2Fwoscc%2Ffull-record%2FWOS:000519719500010","View Full Record in Web of Science")</f>
        <v>View Full Record in Web of Science</v>
      </c>
    </row>
    <row r="437" spans="1:72" x14ac:dyDescent="0.15">
      <c r="A437" t="s">
        <v>72</v>
      </c>
      <c r="B437" t="s">
        <v>8625</v>
      </c>
      <c r="C437" t="s">
        <v>74</v>
      </c>
      <c r="D437" t="s">
        <v>74</v>
      </c>
      <c r="E437" t="s">
        <v>74</v>
      </c>
      <c r="F437" t="s">
        <v>8626</v>
      </c>
      <c r="G437" t="s">
        <v>74</v>
      </c>
      <c r="H437" t="s">
        <v>74</v>
      </c>
      <c r="I437" t="s">
        <v>8627</v>
      </c>
      <c r="J437" t="s">
        <v>672</v>
      </c>
      <c r="K437" t="s">
        <v>74</v>
      </c>
      <c r="L437" t="s">
        <v>74</v>
      </c>
      <c r="M437" t="s">
        <v>78</v>
      </c>
      <c r="N437" t="s">
        <v>79</v>
      </c>
      <c r="O437" t="s">
        <v>74</v>
      </c>
      <c r="P437" t="s">
        <v>74</v>
      </c>
      <c r="Q437" t="s">
        <v>74</v>
      </c>
      <c r="R437" t="s">
        <v>74</v>
      </c>
      <c r="S437" t="s">
        <v>74</v>
      </c>
      <c r="T437" t="s">
        <v>8628</v>
      </c>
      <c r="U437" t="s">
        <v>8629</v>
      </c>
      <c r="V437" t="s">
        <v>8630</v>
      </c>
      <c r="W437" t="s">
        <v>8631</v>
      </c>
      <c r="X437" t="s">
        <v>8632</v>
      </c>
      <c r="Y437" t="s">
        <v>8633</v>
      </c>
      <c r="Z437" t="s">
        <v>8634</v>
      </c>
      <c r="AA437" t="s">
        <v>8635</v>
      </c>
      <c r="AB437" t="s">
        <v>8636</v>
      </c>
      <c r="AC437" t="s">
        <v>74</v>
      </c>
      <c r="AD437" t="s">
        <v>74</v>
      </c>
      <c r="AE437" t="s">
        <v>74</v>
      </c>
      <c r="AF437" t="s">
        <v>74</v>
      </c>
      <c r="AG437">
        <v>57</v>
      </c>
      <c r="AH437">
        <v>2</v>
      </c>
      <c r="AI437">
        <v>3</v>
      </c>
      <c r="AJ437">
        <v>1</v>
      </c>
      <c r="AK437">
        <v>13</v>
      </c>
      <c r="AL437" t="s">
        <v>121</v>
      </c>
      <c r="AM437" t="s">
        <v>166</v>
      </c>
      <c r="AN437" t="s">
        <v>685</v>
      </c>
      <c r="AO437" t="s">
        <v>686</v>
      </c>
      <c r="AP437" t="s">
        <v>687</v>
      </c>
      <c r="AQ437" t="s">
        <v>74</v>
      </c>
      <c r="AR437" t="s">
        <v>688</v>
      </c>
      <c r="AS437" t="s">
        <v>689</v>
      </c>
      <c r="AT437" t="s">
        <v>803</v>
      </c>
      <c r="AU437">
        <v>2020</v>
      </c>
      <c r="AV437">
        <v>43</v>
      </c>
      <c r="AW437">
        <v>2</v>
      </c>
      <c r="AX437" t="s">
        <v>74</v>
      </c>
      <c r="AY437" t="s">
        <v>74</v>
      </c>
      <c r="AZ437" t="s">
        <v>74</v>
      </c>
      <c r="BA437" t="s">
        <v>74</v>
      </c>
      <c r="BB437">
        <v>91</v>
      </c>
      <c r="BC437">
        <v>110</v>
      </c>
      <c r="BD437" t="s">
        <v>74</v>
      </c>
      <c r="BE437" t="s">
        <v>8637</v>
      </c>
      <c r="BF437" t="str">
        <f>HYPERLINK("http://dx.doi.org/10.1007/s00300-019-02612-2","http://dx.doi.org/10.1007/s00300-019-02612-2")</f>
        <v>http://dx.doi.org/10.1007/s00300-019-02612-2</v>
      </c>
      <c r="BG437" t="s">
        <v>74</v>
      </c>
      <c r="BH437" t="s">
        <v>74</v>
      </c>
      <c r="BI437">
        <v>20</v>
      </c>
      <c r="BJ437" t="s">
        <v>130</v>
      </c>
      <c r="BK437" t="s">
        <v>103</v>
      </c>
      <c r="BL437" t="s">
        <v>131</v>
      </c>
      <c r="BM437" t="s">
        <v>8638</v>
      </c>
      <c r="BN437" t="s">
        <v>74</v>
      </c>
      <c r="BO437" t="s">
        <v>461</v>
      </c>
      <c r="BP437" t="s">
        <v>74</v>
      </c>
      <c r="BQ437" t="s">
        <v>74</v>
      </c>
      <c r="BR437" t="s">
        <v>106</v>
      </c>
      <c r="BS437" t="s">
        <v>8639</v>
      </c>
      <c r="BT437" t="str">
        <f>HYPERLINK("https%3A%2F%2Fwww.webofscience.com%2Fwos%2Fwoscc%2Ffull-record%2FWOS:000519980900003","View Full Record in Web of Science")</f>
        <v>View Full Record in Web of Science</v>
      </c>
    </row>
    <row r="438" spans="1:72" x14ac:dyDescent="0.15">
      <c r="A438" t="s">
        <v>72</v>
      </c>
      <c r="B438" t="s">
        <v>8640</v>
      </c>
      <c r="C438" t="s">
        <v>74</v>
      </c>
      <c r="D438" t="s">
        <v>74</v>
      </c>
      <c r="E438" t="s">
        <v>74</v>
      </c>
      <c r="F438" t="s">
        <v>8641</v>
      </c>
      <c r="G438" t="s">
        <v>74</v>
      </c>
      <c r="H438" t="s">
        <v>74</v>
      </c>
      <c r="I438" t="s">
        <v>8642</v>
      </c>
      <c r="J438" t="s">
        <v>672</v>
      </c>
      <c r="K438" t="s">
        <v>74</v>
      </c>
      <c r="L438" t="s">
        <v>74</v>
      </c>
      <c r="M438" t="s">
        <v>78</v>
      </c>
      <c r="N438" t="s">
        <v>79</v>
      </c>
      <c r="O438" t="s">
        <v>74</v>
      </c>
      <c r="P438" t="s">
        <v>74</v>
      </c>
      <c r="Q438" t="s">
        <v>74</v>
      </c>
      <c r="R438" t="s">
        <v>74</v>
      </c>
      <c r="S438" t="s">
        <v>74</v>
      </c>
      <c r="T438" t="s">
        <v>8643</v>
      </c>
      <c r="U438" t="s">
        <v>8644</v>
      </c>
      <c r="V438" t="s">
        <v>8645</v>
      </c>
      <c r="W438" t="s">
        <v>8646</v>
      </c>
      <c r="X438" t="s">
        <v>8647</v>
      </c>
      <c r="Y438" t="s">
        <v>8648</v>
      </c>
      <c r="Z438" t="s">
        <v>8649</v>
      </c>
      <c r="AA438" t="s">
        <v>8650</v>
      </c>
      <c r="AB438" t="s">
        <v>8651</v>
      </c>
      <c r="AC438" t="s">
        <v>74</v>
      </c>
      <c r="AD438" t="s">
        <v>74</v>
      </c>
      <c r="AE438" t="s">
        <v>74</v>
      </c>
      <c r="AF438" t="s">
        <v>74</v>
      </c>
      <c r="AG438">
        <v>40</v>
      </c>
      <c r="AH438">
        <v>7</v>
      </c>
      <c r="AI438">
        <v>7</v>
      </c>
      <c r="AJ438">
        <v>3</v>
      </c>
      <c r="AK438">
        <v>9</v>
      </c>
      <c r="AL438" t="s">
        <v>121</v>
      </c>
      <c r="AM438" t="s">
        <v>166</v>
      </c>
      <c r="AN438" t="s">
        <v>685</v>
      </c>
      <c r="AO438" t="s">
        <v>686</v>
      </c>
      <c r="AP438" t="s">
        <v>687</v>
      </c>
      <c r="AQ438" t="s">
        <v>74</v>
      </c>
      <c r="AR438" t="s">
        <v>688</v>
      </c>
      <c r="AS438" t="s">
        <v>689</v>
      </c>
      <c r="AT438" t="s">
        <v>803</v>
      </c>
      <c r="AU438">
        <v>2020</v>
      </c>
      <c r="AV438">
        <v>43</v>
      </c>
      <c r="AW438">
        <v>2</v>
      </c>
      <c r="AX438" t="s">
        <v>74</v>
      </c>
      <c r="AY438" t="s">
        <v>74</v>
      </c>
      <c r="AZ438" t="s">
        <v>74</v>
      </c>
      <c r="BA438" t="s">
        <v>74</v>
      </c>
      <c r="BB438">
        <v>111</v>
      </c>
      <c r="BC438">
        <v>122</v>
      </c>
      <c r="BD438" t="s">
        <v>74</v>
      </c>
      <c r="BE438" t="s">
        <v>8652</v>
      </c>
      <c r="BF438" t="str">
        <f>HYPERLINK("http://dx.doi.org/10.1007/s00300-019-02613-1","http://dx.doi.org/10.1007/s00300-019-02613-1")</f>
        <v>http://dx.doi.org/10.1007/s00300-019-02613-1</v>
      </c>
      <c r="BG438" t="s">
        <v>74</v>
      </c>
      <c r="BH438" t="s">
        <v>74</v>
      </c>
      <c r="BI438">
        <v>12</v>
      </c>
      <c r="BJ438" t="s">
        <v>130</v>
      </c>
      <c r="BK438" t="s">
        <v>103</v>
      </c>
      <c r="BL438" t="s">
        <v>131</v>
      </c>
      <c r="BM438" t="s">
        <v>8638</v>
      </c>
      <c r="BN438" t="s">
        <v>74</v>
      </c>
      <c r="BO438" t="s">
        <v>74</v>
      </c>
      <c r="BP438" t="s">
        <v>74</v>
      </c>
      <c r="BQ438" t="s">
        <v>74</v>
      </c>
      <c r="BR438" t="s">
        <v>106</v>
      </c>
      <c r="BS438" t="s">
        <v>8653</v>
      </c>
      <c r="BT438" t="str">
        <f>HYPERLINK("https%3A%2F%2Fwww.webofscience.com%2Fwos%2Fwoscc%2Ffull-record%2FWOS:000519980900004","View Full Record in Web of Science")</f>
        <v>View Full Record in Web of Science</v>
      </c>
    </row>
    <row r="439" spans="1:72" x14ac:dyDescent="0.15">
      <c r="A439" t="s">
        <v>72</v>
      </c>
      <c r="B439" t="s">
        <v>8654</v>
      </c>
      <c r="C439" t="s">
        <v>74</v>
      </c>
      <c r="D439" t="s">
        <v>74</v>
      </c>
      <c r="E439" t="s">
        <v>74</v>
      </c>
      <c r="F439" t="s">
        <v>8655</v>
      </c>
      <c r="G439" t="s">
        <v>74</v>
      </c>
      <c r="H439" t="s">
        <v>74</v>
      </c>
      <c r="I439" t="s">
        <v>8656</v>
      </c>
      <c r="J439" t="s">
        <v>672</v>
      </c>
      <c r="K439" t="s">
        <v>74</v>
      </c>
      <c r="L439" t="s">
        <v>74</v>
      </c>
      <c r="M439" t="s">
        <v>78</v>
      </c>
      <c r="N439" t="s">
        <v>79</v>
      </c>
      <c r="O439" t="s">
        <v>74</v>
      </c>
      <c r="P439" t="s">
        <v>74</v>
      </c>
      <c r="Q439" t="s">
        <v>74</v>
      </c>
      <c r="R439" t="s">
        <v>74</v>
      </c>
      <c r="S439" t="s">
        <v>74</v>
      </c>
      <c r="T439" t="s">
        <v>8657</v>
      </c>
      <c r="U439" t="s">
        <v>8658</v>
      </c>
      <c r="V439" t="s">
        <v>8659</v>
      </c>
      <c r="W439" t="s">
        <v>8660</v>
      </c>
      <c r="X439" t="s">
        <v>8661</v>
      </c>
      <c r="Y439" t="s">
        <v>8662</v>
      </c>
      <c r="Z439" t="s">
        <v>8663</v>
      </c>
      <c r="AA439" t="s">
        <v>74</v>
      </c>
      <c r="AB439" t="s">
        <v>8664</v>
      </c>
      <c r="AC439" t="s">
        <v>74</v>
      </c>
      <c r="AD439" t="s">
        <v>74</v>
      </c>
      <c r="AE439" t="s">
        <v>74</v>
      </c>
      <c r="AF439" t="s">
        <v>74</v>
      </c>
      <c r="AG439">
        <v>36</v>
      </c>
      <c r="AH439">
        <v>4</v>
      </c>
      <c r="AI439">
        <v>4</v>
      </c>
      <c r="AJ439">
        <v>0</v>
      </c>
      <c r="AK439">
        <v>7</v>
      </c>
      <c r="AL439" t="s">
        <v>121</v>
      </c>
      <c r="AM439" t="s">
        <v>166</v>
      </c>
      <c r="AN439" t="s">
        <v>685</v>
      </c>
      <c r="AO439" t="s">
        <v>686</v>
      </c>
      <c r="AP439" t="s">
        <v>687</v>
      </c>
      <c r="AQ439" t="s">
        <v>74</v>
      </c>
      <c r="AR439" t="s">
        <v>688</v>
      </c>
      <c r="AS439" t="s">
        <v>689</v>
      </c>
      <c r="AT439" t="s">
        <v>803</v>
      </c>
      <c r="AU439">
        <v>2020</v>
      </c>
      <c r="AV439">
        <v>43</v>
      </c>
      <c r="AW439">
        <v>2</v>
      </c>
      <c r="AX439" t="s">
        <v>74</v>
      </c>
      <c r="AY439" t="s">
        <v>74</v>
      </c>
      <c r="AZ439" t="s">
        <v>74</v>
      </c>
      <c r="BA439" t="s">
        <v>74</v>
      </c>
      <c r="BB439">
        <v>123</v>
      </c>
      <c r="BC439">
        <v>129</v>
      </c>
      <c r="BD439" t="s">
        <v>74</v>
      </c>
      <c r="BE439" t="s">
        <v>8665</v>
      </c>
      <c r="BF439" t="str">
        <f>HYPERLINK("http://dx.doi.org/10.1007/s00300-019-02614-0","http://dx.doi.org/10.1007/s00300-019-02614-0")</f>
        <v>http://dx.doi.org/10.1007/s00300-019-02614-0</v>
      </c>
      <c r="BG439" t="s">
        <v>74</v>
      </c>
      <c r="BH439" t="s">
        <v>74</v>
      </c>
      <c r="BI439">
        <v>7</v>
      </c>
      <c r="BJ439" t="s">
        <v>130</v>
      </c>
      <c r="BK439" t="s">
        <v>103</v>
      </c>
      <c r="BL439" t="s">
        <v>131</v>
      </c>
      <c r="BM439" t="s">
        <v>8638</v>
      </c>
      <c r="BN439" t="s">
        <v>74</v>
      </c>
      <c r="BO439" t="s">
        <v>694</v>
      </c>
      <c r="BP439" t="s">
        <v>74</v>
      </c>
      <c r="BQ439" t="s">
        <v>74</v>
      </c>
      <c r="BR439" t="s">
        <v>106</v>
      </c>
      <c r="BS439" t="s">
        <v>8666</v>
      </c>
      <c r="BT439" t="str">
        <f>HYPERLINK("https%3A%2F%2Fwww.webofscience.com%2Fwos%2Fwoscc%2Ffull-record%2FWOS:000519980900005","View Full Record in Web of Science")</f>
        <v>View Full Record in Web of Science</v>
      </c>
    </row>
    <row r="440" spans="1:72" x14ac:dyDescent="0.15">
      <c r="A440" t="s">
        <v>72</v>
      </c>
      <c r="B440" t="s">
        <v>8667</v>
      </c>
      <c r="C440" t="s">
        <v>74</v>
      </c>
      <c r="D440" t="s">
        <v>74</v>
      </c>
      <c r="E440" t="s">
        <v>74</v>
      </c>
      <c r="F440" t="s">
        <v>8668</v>
      </c>
      <c r="G440" t="s">
        <v>74</v>
      </c>
      <c r="H440" t="s">
        <v>74</v>
      </c>
      <c r="I440" t="s">
        <v>8669</v>
      </c>
      <c r="J440" t="s">
        <v>672</v>
      </c>
      <c r="K440" t="s">
        <v>74</v>
      </c>
      <c r="L440" t="s">
        <v>74</v>
      </c>
      <c r="M440" t="s">
        <v>78</v>
      </c>
      <c r="N440" t="s">
        <v>79</v>
      </c>
      <c r="O440" t="s">
        <v>74</v>
      </c>
      <c r="P440" t="s">
        <v>74</v>
      </c>
      <c r="Q440" t="s">
        <v>74</v>
      </c>
      <c r="R440" t="s">
        <v>74</v>
      </c>
      <c r="S440" t="s">
        <v>74</v>
      </c>
      <c r="T440" t="s">
        <v>8670</v>
      </c>
      <c r="U440" t="s">
        <v>8671</v>
      </c>
      <c r="V440" t="s">
        <v>8672</v>
      </c>
      <c r="W440" t="s">
        <v>8673</v>
      </c>
      <c r="X440" t="s">
        <v>8674</v>
      </c>
      <c r="Y440" t="s">
        <v>8675</v>
      </c>
      <c r="Z440" t="s">
        <v>8676</v>
      </c>
      <c r="AA440" t="s">
        <v>74</v>
      </c>
      <c r="AB440" t="s">
        <v>8677</v>
      </c>
      <c r="AC440" t="s">
        <v>74</v>
      </c>
      <c r="AD440" t="s">
        <v>74</v>
      </c>
      <c r="AE440" t="s">
        <v>74</v>
      </c>
      <c r="AF440" t="s">
        <v>74</v>
      </c>
      <c r="AG440">
        <v>63</v>
      </c>
      <c r="AH440">
        <v>8</v>
      </c>
      <c r="AI440">
        <v>8</v>
      </c>
      <c r="AJ440">
        <v>1</v>
      </c>
      <c r="AK440">
        <v>10</v>
      </c>
      <c r="AL440" t="s">
        <v>121</v>
      </c>
      <c r="AM440" t="s">
        <v>166</v>
      </c>
      <c r="AN440" t="s">
        <v>685</v>
      </c>
      <c r="AO440" t="s">
        <v>686</v>
      </c>
      <c r="AP440" t="s">
        <v>687</v>
      </c>
      <c r="AQ440" t="s">
        <v>74</v>
      </c>
      <c r="AR440" t="s">
        <v>688</v>
      </c>
      <c r="AS440" t="s">
        <v>689</v>
      </c>
      <c r="AT440" t="s">
        <v>803</v>
      </c>
      <c r="AU440">
        <v>2020</v>
      </c>
      <c r="AV440">
        <v>43</v>
      </c>
      <c r="AW440">
        <v>2</v>
      </c>
      <c r="AX440" t="s">
        <v>74</v>
      </c>
      <c r="AY440" t="s">
        <v>74</v>
      </c>
      <c r="AZ440" t="s">
        <v>74</v>
      </c>
      <c r="BA440" t="s">
        <v>74</v>
      </c>
      <c r="BB440">
        <v>131</v>
      </c>
      <c r="BC440">
        <v>141</v>
      </c>
      <c r="BD440" t="s">
        <v>74</v>
      </c>
      <c r="BE440" t="s">
        <v>8678</v>
      </c>
      <c r="BF440" t="str">
        <f>HYPERLINK("http://dx.doi.org/10.1007/s00300-019-02615-z","http://dx.doi.org/10.1007/s00300-019-02615-z")</f>
        <v>http://dx.doi.org/10.1007/s00300-019-02615-z</v>
      </c>
      <c r="BG440" t="s">
        <v>74</v>
      </c>
      <c r="BH440" t="s">
        <v>74</v>
      </c>
      <c r="BI440">
        <v>11</v>
      </c>
      <c r="BJ440" t="s">
        <v>130</v>
      </c>
      <c r="BK440" t="s">
        <v>103</v>
      </c>
      <c r="BL440" t="s">
        <v>131</v>
      </c>
      <c r="BM440" t="s">
        <v>8638</v>
      </c>
      <c r="BN440" t="s">
        <v>74</v>
      </c>
      <c r="BO440" t="s">
        <v>694</v>
      </c>
      <c r="BP440" t="s">
        <v>74</v>
      </c>
      <c r="BQ440" t="s">
        <v>74</v>
      </c>
      <c r="BR440" t="s">
        <v>106</v>
      </c>
      <c r="BS440" t="s">
        <v>8679</v>
      </c>
      <c r="BT440" t="str">
        <f>HYPERLINK("https%3A%2F%2Fwww.webofscience.com%2Fwos%2Fwoscc%2Ffull-record%2FWOS:000519980900006","View Full Record in Web of Science")</f>
        <v>View Full Record in Web of Science</v>
      </c>
    </row>
    <row r="441" spans="1:72" x14ac:dyDescent="0.15">
      <c r="A441" t="s">
        <v>72</v>
      </c>
      <c r="B441" t="s">
        <v>8680</v>
      </c>
      <c r="C441" t="s">
        <v>74</v>
      </c>
      <c r="D441" t="s">
        <v>74</v>
      </c>
      <c r="E441" t="s">
        <v>74</v>
      </c>
      <c r="F441" t="s">
        <v>8681</v>
      </c>
      <c r="G441" t="s">
        <v>74</v>
      </c>
      <c r="H441" t="s">
        <v>74</v>
      </c>
      <c r="I441" t="s">
        <v>8682</v>
      </c>
      <c r="J441" t="s">
        <v>672</v>
      </c>
      <c r="K441" t="s">
        <v>74</v>
      </c>
      <c r="L441" t="s">
        <v>74</v>
      </c>
      <c r="M441" t="s">
        <v>78</v>
      </c>
      <c r="N441" t="s">
        <v>79</v>
      </c>
      <c r="O441" t="s">
        <v>74</v>
      </c>
      <c r="P441" t="s">
        <v>74</v>
      </c>
      <c r="Q441" t="s">
        <v>74</v>
      </c>
      <c r="R441" t="s">
        <v>74</v>
      </c>
      <c r="S441" t="s">
        <v>74</v>
      </c>
      <c r="T441" t="s">
        <v>8683</v>
      </c>
      <c r="U441" t="s">
        <v>8684</v>
      </c>
      <c r="V441" t="s">
        <v>8685</v>
      </c>
      <c r="W441" t="s">
        <v>8686</v>
      </c>
      <c r="X441" t="s">
        <v>8687</v>
      </c>
      <c r="Y441" t="s">
        <v>8688</v>
      </c>
      <c r="Z441" t="s">
        <v>8689</v>
      </c>
      <c r="AA441" t="s">
        <v>8690</v>
      </c>
      <c r="AB441" t="s">
        <v>8691</v>
      </c>
      <c r="AC441" t="s">
        <v>74</v>
      </c>
      <c r="AD441" t="s">
        <v>74</v>
      </c>
      <c r="AE441" t="s">
        <v>74</v>
      </c>
      <c r="AF441" t="s">
        <v>74</v>
      </c>
      <c r="AG441">
        <v>22</v>
      </c>
      <c r="AH441">
        <v>18</v>
      </c>
      <c r="AI441">
        <v>21</v>
      </c>
      <c r="AJ441">
        <v>0</v>
      </c>
      <c r="AK441">
        <v>29</v>
      </c>
      <c r="AL441" t="s">
        <v>121</v>
      </c>
      <c r="AM441" t="s">
        <v>166</v>
      </c>
      <c r="AN441" t="s">
        <v>685</v>
      </c>
      <c r="AO441" t="s">
        <v>686</v>
      </c>
      <c r="AP441" t="s">
        <v>687</v>
      </c>
      <c r="AQ441" t="s">
        <v>74</v>
      </c>
      <c r="AR441" t="s">
        <v>688</v>
      </c>
      <c r="AS441" t="s">
        <v>689</v>
      </c>
      <c r="AT441" t="s">
        <v>803</v>
      </c>
      <c r="AU441">
        <v>2020</v>
      </c>
      <c r="AV441">
        <v>43</v>
      </c>
      <c r="AW441">
        <v>2</v>
      </c>
      <c r="AX441" t="s">
        <v>74</v>
      </c>
      <c r="AY441" t="s">
        <v>74</v>
      </c>
      <c r="AZ441" t="s">
        <v>74</v>
      </c>
      <c r="BA441" t="s">
        <v>74</v>
      </c>
      <c r="BB441">
        <v>187</v>
      </c>
      <c r="BC441">
        <v>191</v>
      </c>
      <c r="BD441" t="s">
        <v>74</v>
      </c>
      <c r="BE441" t="s">
        <v>8692</v>
      </c>
      <c r="BF441" t="str">
        <f>HYPERLINK("http://dx.doi.org/10.1007/s00300-019-02616-y","http://dx.doi.org/10.1007/s00300-019-02616-y")</f>
        <v>http://dx.doi.org/10.1007/s00300-019-02616-y</v>
      </c>
      <c r="BG441" t="s">
        <v>74</v>
      </c>
      <c r="BH441" t="s">
        <v>74</v>
      </c>
      <c r="BI441">
        <v>5</v>
      </c>
      <c r="BJ441" t="s">
        <v>130</v>
      </c>
      <c r="BK441" t="s">
        <v>103</v>
      </c>
      <c r="BL441" t="s">
        <v>131</v>
      </c>
      <c r="BM441" t="s">
        <v>8638</v>
      </c>
      <c r="BN441" t="s">
        <v>74</v>
      </c>
      <c r="BO441" t="s">
        <v>193</v>
      </c>
      <c r="BP441" t="s">
        <v>74</v>
      </c>
      <c r="BQ441" t="s">
        <v>74</v>
      </c>
      <c r="BR441" t="s">
        <v>106</v>
      </c>
      <c r="BS441" t="s">
        <v>8693</v>
      </c>
      <c r="BT441" t="str">
        <f>HYPERLINK("https%3A%2F%2Fwww.webofscience.com%2Fwos%2Fwoscc%2Ffull-record%2FWOS:000519980900010","View Full Record in Web of Science")</f>
        <v>View Full Record in Web of Science</v>
      </c>
    </row>
    <row r="442" spans="1:72" x14ac:dyDescent="0.15">
      <c r="A442" t="s">
        <v>72</v>
      </c>
      <c r="B442" t="s">
        <v>8694</v>
      </c>
      <c r="C442" t="s">
        <v>74</v>
      </c>
      <c r="D442" t="s">
        <v>74</v>
      </c>
      <c r="E442" t="s">
        <v>74</v>
      </c>
      <c r="F442" t="s">
        <v>8695</v>
      </c>
      <c r="G442" t="s">
        <v>74</v>
      </c>
      <c r="H442" t="s">
        <v>74</v>
      </c>
      <c r="I442" t="s">
        <v>8696</v>
      </c>
      <c r="J442" t="s">
        <v>8697</v>
      </c>
      <c r="K442" t="s">
        <v>74</v>
      </c>
      <c r="L442" t="s">
        <v>74</v>
      </c>
      <c r="M442" t="s">
        <v>78</v>
      </c>
      <c r="N442" t="s">
        <v>79</v>
      </c>
      <c r="O442" t="s">
        <v>74</v>
      </c>
      <c r="P442" t="s">
        <v>74</v>
      </c>
      <c r="Q442" t="s">
        <v>74</v>
      </c>
      <c r="R442" t="s">
        <v>74</v>
      </c>
      <c r="S442" t="s">
        <v>74</v>
      </c>
      <c r="T442" t="s">
        <v>8698</v>
      </c>
      <c r="U442" t="s">
        <v>8699</v>
      </c>
      <c r="V442" t="s">
        <v>8700</v>
      </c>
      <c r="W442" t="s">
        <v>8701</v>
      </c>
      <c r="X442" t="s">
        <v>8702</v>
      </c>
      <c r="Y442" t="s">
        <v>8703</v>
      </c>
      <c r="Z442" t="s">
        <v>8704</v>
      </c>
      <c r="AA442" t="s">
        <v>8705</v>
      </c>
      <c r="AB442" t="s">
        <v>8706</v>
      </c>
      <c r="AC442" t="s">
        <v>8707</v>
      </c>
      <c r="AD442" t="s">
        <v>8708</v>
      </c>
      <c r="AE442" t="s">
        <v>8709</v>
      </c>
      <c r="AF442" t="s">
        <v>74</v>
      </c>
      <c r="AG442">
        <v>72</v>
      </c>
      <c r="AH442">
        <v>7</v>
      </c>
      <c r="AI442">
        <v>8</v>
      </c>
      <c r="AJ442">
        <v>0</v>
      </c>
      <c r="AK442">
        <v>12</v>
      </c>
      <c r="AL442" t="s">
        <v>3817</v>
      </c>
      <c r="AM442" t="s">
        <v>3818</v>
      </c>
      <c r="AN442" t="s">
        <v>3819</v>
      </c>
      <c r="AO442" t="s">
        <v>74</v>
      </c>
      <c r="AP442" t="s">
        <v>8710</v>
      </c>
      <c r="AQ442" t="s">
        <v>74</v>
      </c>
      <c r="AR442" t="s">
        <v>8711</v>
      </c>
      <c r="AS442" t="s">
        <v>8712</v>
      </c>
      <c r="AT442" t="s">
        <v>803</v>
      </c>
      <c r="AU442">
        <v>2020</v>
      </c>
      <c r="AV442">
        <v>11</v>
      </c>
      <c r="AW442">
        <v>2</v>
      </c>
      <c r="AX442" t="s">
        <v>74</v>
      </c>
      <c r="AY442" t="s">
        <v>74</v>
      </c>
      <c r="AZ442" t="s">
        <v>74</v>
      </c>
      <c r="BA442" t="s">
        <v>74</v>
      </c>
      <c r="BB442" t="s">
        <v>74</v>
      </c>
      <c r="BC442" t="s">
        <v>74</v>
      </c>
      <c r="BD442">
        <v>124</v>
      </c>
      <c r="BE442" t="s">
        <v>8713</v>
      </c>
      <c r="BF442" t="str">
        <f>HYPERLINK("http://dx.doi.org/10.3390/atmos11020124","http://dx.doi.org/10.3390/atmos11020124")</f>
        <v>http://dx.doi.org/10.3390/atmos11020124</v>
      </c>
      <c r="BG442" t="s">
        <v>74</v>
      </c>
      <c r="BH442" t="s">
        <v>74</v>
      </c>
      <c r="BI442">
        <v>31</v>
      </c>
      <c r="BJ442" t="s">
        <v>984</v>
      </c>
      <c r="BK442" t="s">
        <v>103</v>
      </c>
      <c r="BL442" t="s">
        <v>985</v>
      </c>
      <c r="BM442" t="s">
        <v>8714</v>
      </c>
      <c r="BN442" t="s">
        <v>74</v>
      </c>
      <c r="BO442" t="s">
        <v>987</v>
      </c>
      <c r="BP442" t="s">
        <v>74</v>
      </c>
      <c r="BQ442" t="s">
        <v>74</v>
      </c>
      <c r="BR442" t="s">
        <v>106</v>
      </c>
      <c r="BS442" t="s">
        <v>8715</v>
      </c>
      <c r="BT442" t="str">
        <f>HYPERLINK("https%3A%2F%2Fwww.webofscience.com%2Fwos%2Fwoscc%2Ffull-record%2FWOS:000519238800064","View Full Record in Web of Science")</f>
        <v>View Full Record in Web of Science</v>
      </c>
    </row>
    <row r="443" spans="1:72" x14ac:dyDescent="0.15">
      <c r="A443" t="s">
        <v>72</v>
      </c>
      <c r="B443" t="s">
        <v>8716</v>
      </c>
      <c r="C443" t="s">
        <v>74</v>
      </c>
      <c r="D443" t="s">
        <v>74</v>
      </c>
      <c r="E443" t="s">
        <v>74</v>
      </c>
      <c r="F443" t="s">
        <v>8717</v>
      </c>
      <c r="G443" t="s">
        <v>74</v>
      </c>
      <c r="H443" t="s">
        <v>74</v>
      </c>
      <c r="I443" t="s">
        <v>8718</v>
      </c>
      <c r="J443" t="s">
        <v>8719</v>
      </c>
      <c r="K443" t="s">
        <v>74</v>
      </c>
      <c r="L443" t="s">
        <v>74</v>
      </c>
      <c r="M443" t="s">
        <v>78</v>
      </c>
      <c r="N443" t="s">
        <v>79</v>
      </c>
      <c r="O443" t="s">
        <v>74</v>
      </c>
      <c r="P443" t="s">
        <v>74</v>
      </c>
      <c r="Q443" t="s">
        <v>74</v>
      </c>
      <c r="R443" t="s">
        <v>74</v>
      </c>
      <c r="S443" t="s">
        <v>74</v>
      </c>
      <c r="T443" t="s">
        <v>8720</v>
      </c>
      <c r="U443" t="s">
        <v>8721</v>
      </c>
      <c r="V443" t="s">
        <v>8722</v>
      </c>
      <c r="W443" t="s">
        <v>8723</v>
      </c>
      <c r="X443" t="s">
        <v>8724</v>
      </c>
      <c r="Y443" t="s">
        <v>8725</v>
      </c>
      <c r="Z443" t="s">
        <v>8726</v>
      </c>
      <c r="AA443" t="s">
        <v>8727</v>
      </c>
      <c r="AB443" t="s">
        <v>8728</v>
      </c>
      <c r="AC443" t="s">
        <v>74</v>
      </c>
      <c r="AD443" t="s">
        <v>74</v>
      </c>
      <c r="AE443" t="s">
        <v>74</v>
      </c>
      <c r="AF443" t="s">
        <v>74</v>
      </c>
      <c r="AG443">
        <v>61</v>
      </c>
      <c r="AH443">
        <v>4</v>
      </c>
      <c r="AI443">
        <v>5</v>
      </c>
      <c r="AJ443">
        <v>0</v>
      </c>
      <c r="AK443">
        <v>14</v>
      </c>
      <c r="AL443" t="s">
        <v>121</v>
      </c>
      <c r="AM443" t="s">
        <v>166</v>
      </c>
      <c r="AN443" t="s">
        <v>685</v>
      </c>
      <c r="AO443" t="s">
        <v>8729</v>
      </c>
      <c r="AP443" t="s">
        <v>8730</v>
      </c>
      <c r="AQ443" t="s">
        <v>74</v>
      </c>
      <c r="AR443" t="s">
        <v>8731</v>
      </c>
      <c r="AS443" t="s">
        <v>8732</v>
      </c>
      <c r="AT443" t="s">
        <v>803</v>
      </c>
      <c r="AU443">
        <v>2020</v>
      </c>
      <c r="AV443">
        <v>39</v>
      </c>
      <c r="AW443">
        <v>2</v>
      </c>
      <c r="AX443" t="s">
        <v>74</v>
      </c>
      <c r="AY443" t="s">
        <v>74</v>
      </c>
      <c r="AZ443" t="s">
        <v>74</v>
      </c>
      <c r="BA443" t="s">
        <v>74</v>
      </c>
      <c r="BB443">
        <v>38</v>
      </c>
      <c r="BC443">
        <v>48</v>
      </c>
      <c r="BD443" t="s">
        <v>74</v>
      </c>
      <c r="BE443" t="s">
        <v>8733</v>
      </c>
      <c r="BF443" t="str">
        <f>HYPERLINK("http://dx.doi.org/10.1007/s13131-018-1280-7","http://dx.doi.org/10.1007/s13131-018-1280-7")</f>
        <v>http://dx.doi.org/10.1007/s13131-018-1280-7</v>
      </c>
      <c r="BG443" t="s">
        <v>74</v>
      </c>
      <c r="BH443" t="s">
        <v>74</v>
      </c>
      <c r="BI443">
        <v>11</v>
      </c>
      <c r="BJ443" t="s">
        <v>639</v>
      </c>
      <c r="BK443" t="s">
        <v>103</v>
      </c>
      <c r="BL443" t="s">
        <v>639</v>
      </c>
      <c r="BM443" t="s">
        <v>8734</v>
      </c>
      <c r="BN443" t="s">
        <v>74</v>
      </c>
      <c r="BO443" t="s">
        <v>74</v>
      </c>
      <c r="BP443" t="s">
        <v>74</v>
      </c>
      <c r="BQ443" t="s">
        <v>74</v>
      </c>
      <c r="BR443" t="s">
        <v>106</v>
      </c>
      <c r="BS443" t="s">
        <v>8735</v>
      </c>
      <c r="BT443" t="str">
        <f>HYPERLINK("https%3A%2F%2Fwww.webofscience.com%2Fwos%2Fwoscc%2Ffull-record%2FWOS:000519407700005","View Full Record in Web of Science")</f>
        <v>View Full Record in Web of Science</v>
      </c>
    </row>
    <row r="444" spans="1:72" x14ac:dyDescent="0.15">
      <c r="A444" t="s">
        <v>72</v>
      </c>
      <c r="B444" t="s">
        <v>8736</v>
      </c>
      <c r="C444" t="s">
        <v>74</v>
      </c>
      <c r="D444" t="s">
        <v>74</v>
      </c>
      <c r="E444" t="s">
        <v>74</v>
      </c>
      <c r="F444" t="s">
        <v>8737</v>
      </c>
      <c r="G444" t="s">
        <v>74</v>
      </c>
      <c r="H444" t="s">
        <v>74</v>
      </c>
      <c r="I444" t="s">
        <v>8738</v>
      </c>
      <c r="J444" t="s">
        <v>8739</v>
      </c>
      <c r="K444" t="s">
        <v>74</v>
      </c>
      <c r="L444" t="s">
        <v>74</v>
      </c>
      <c r="M444" t="s">
        <v>78</v>
      </c>
      <c r="N444" t="s">
        <v>79</v>
      </c>
      <c r="O444" t="s">
        <v>74</v>
      </c>
      <c r="P444" t="s">
        <v>74</v>
      </c>
      <c r="Q444" t="s">
        <v>74</v>
      </c>
      <c r="R444" t="s">
        <v>74</v>
      </c>
      <c r="S444" t="s">
        <v>74</v>
      </c>
      <c r="T444" t="s">
        <v>8740</v>
      </c>
      <c r="U444" t="s">
        <v>8741</v>
      </c>
      <c r="V444" t="s">
        <v>8742</v>
      </c>
      <c r="W444" t="s">
        <v>8743</v>
      </c>
      <c r="X444" t="s">
        <v>8744</v>
      </c>
      <c r="Y444" t="s">
        <v>8745</v>
      </c>
      <c r="Z444" t="s">
        <v>8746</v>
      </c>
      <c r="AA444" t="s">
        <v>8747</v>
      </c>
      <c r="AB444" t="s">
        <v>8748</v>
      </c>
      <c r="AC444" t="s">
        <v>8749</v>
      </c>
      <c r="AD444" t="s">
        <v>8750</v>
      </c>
      <c r="AE444" t="s">
        <v>8751</v>
      </c>
      <c r="AF444" t="s">
        <v>74</v>
      </c>
      <c r="AG444">
        <v>74</v>
      </c>
      <c r="AH444">
        <v>11</v>
      </c>
      <c r="AI444">
        <v>11</v>
      </c>
      <c r="AJ444">
        <v>3</v>
      </c>
      <c r="AK444">
        <v>11</v>
      </c>
      <c r="AL444" t="s">
        <v>3817</v>
      </c>
      <c r="AM444" t="s">
        <v>3818</v>
      </c>
      <c r="AN444" t="s">
        <v>3819</v>
      </c>
      <c r="AO444" t="s">
        <v>74</v>
      </c>
      <c r="AP444" t="s">
        <v>8752</v>
      </c>
      <c r="AQ444" t="s">
        <v>74</v>
      </c>
      <c r="AR444" t="s">
        <v>8739</v>
      </c>
      <c r="AS444" t="s">
        <v>8753</v>
      </c>
      <c r="AT444" t="s">
        <v>803</v>
      </c>
      <c r="AU444">
        <v>2020</v>
      </c>
      <c r="AV444">
        <v>9</v>
      </c>
      <c r="AW444">
        <v>2</v>
      </c>
      <c r="AX444" t="s">
        <v>74</v>
      </c>
      <c r="AY444" t="s">
        <v>74</v>
      </c>
      <c r="AZ444" t="s">
        <v>74</v>
      </c>
      <c r="BA444" t="s">
        <v>74</v>
      </c>
      <c r="BB444" t="s">
        <v>74</v>
      </c>
      <c r="BC444" t="s">
        <v>74</v>
      </c>
      <c r="BD444">
        <v>66</v>
      </c>
      <c r="BE444" t="s">
        <v>8754</v>
      </c>
      <c r="BF444" t="str">
        <f>HYPERLINK("http://dx.doi.org/10.3390/antibiotics9020066","http://dx.doi.org/10.3390/antibiotics9020066")</f>
        <v>http://dx.doi.org/10.3390/antibiotics9020066</v>
      </c>
      <c r="BG444" t="s">
        <v>74</v>
      </c>
      <c r="BH444" t="s">
        <v>74</v>
      </c>
      <c r="BI444">
        <v>20</v>
      </c>
      <c r="BJ444" t="s">
        <v>8755</v>
      </c>
      <c r="BK444" t="s">
        <v>103</v>
      </c>
      <c r="BL444" t="s">
        <v>8755</v>
      </c>
      <c r="BM444" t="s">
        <v>8756</v>
      </c>
      <c r="BN444">
        <v>32041161</v>
      </c>
      <c r="BO444" t="s">
        <v>276</v>
      </c>
      <c r="BP444" t="s">
        <v>74</v>
      </c>
      <c r="BQ444" t="s">
        <v>74</v>
      </c>
      <c r="BR444" t="s">
        <v>106</v>
      </c>
      <c r="BS444" t="s">
        <v>8757</v>
      </c>
      <c r="BT444" t="str">
        <f>HYPERLINK("https%3A%2F%2Fwww.webofscience.com%2Fwos%2Fwoscc%2Ffull-record%2FWOS:000519242200048","View Full Record in Web of Science")</f>
        <v>View Full Record in Web of Science</v>
      </c>
    </row>
    <row r="445" spans="1:72" x14ac:dyDescent="0.15">
      <c r="A445" t="s">
        <v>72</v>
      </c>
      <c r="B445" t="s">
        <v>8758</v>
      </c>
      <c r="C445" t="s">
        <v>74</v>
      </c>
      <c r="D445" t="s">
        <v>74</v>
      </c>
      <c r="E445" t="s">
        <v>74</v>
      </c>
      <c r="F445" t="s">
        <v>8759</v>
      </c>
      <c r="G445" t="s">
        <v>74</v>
      </c>
      <c r="H445" t="s">
        <v>74</v>
      </c>
      <c r="I445" t="s">
        <v>8760</v>
      </c>
      <c r="J445" t="s">
        <v>3956</v>
      </c>
      <c r="K445" t="s">
        <v>74</v>
      </c>
      <c r="L445" t="s">
        <v>74</v>
      </c>
      <c r="M445" t="s">
        <v>78</v>
      </c>
      <c r="N445" t="s">
        <v>79</v>
      </c>
      <c r="O445" t="s">
        <v>74</v>
      </c>
      <c r="P445" t="s">
        <v>74</v>
      </c>
      <c r="Q445" t="s">
        <v>74</v>
      </c>
      <c r="R445" t="s">
        <v>74</v>
      </c>
      <c r="S445" t="s">
        <v>74</v>
      </c>
      <c r="T445" t="s">
        <v>8761</v>
      </c>
      <c r="U445" t="s">
        <v>8762</v>
      </c>
      <c r="V445" t="s">
        <v>8763</v>
      </c>
      <c r="W445" t="s">
        <v>8764</v>
      </c>
      <c r="X445" t="s">
        <v>8765</v>
      </c>
      <c r="Y445" t="s">
        <v>8766</v>
      </c>
      <c r="Z445" t="s">
        <v>8767</v>
      </c>
      <c r="AA445" t="s">
        <v>8768</v>
      </c>
      <c r="AB445" t="s">
        <v>8769</v>
      </c>
      <c r="AC445" t="s">
        <v>8770</v>
      </c>
      <c r="AD445" t="s">
        <v>8771</v>
      </c>
      <c r="AE445" t="s">
        <v>8772</v>
      </c>
      <c r="AF445" t="s">
        <v>74</v>
      </c>
      <c r="AG445">
        <v>43</v>
      </c>
      <c r="AH445">
        <v>2</v>
      </c>
      <c r="AI445">
        <v>5</v>
      </c>
      <c r="AJ445">
        <v>3</v>
      </c>
      <c r="AK445">
        <v>9</v>
      </c>
      <c r="AL445" t="s">
        <v>3817</v>
      </c>
      <c r="AM445" t="s">
        <v>3818</v>
      </c>
      <c r="AN445" t="s">
        <v>3819</v>
      </c>
      <c r="AO445" t="s">
        <v>74</v>
      </c>
      <c r="AP445" t="s">
        <v>3969</v>
      </c>
      <c r="AQ445" t="s">
        <v>74</v>
      </c>
      <c r="AR445" t="s">
        <v>3956</v>
      </c>
      <c r="AS445" t="s">
        <v>3970</v>
      </c>
      <c r="AT445" t="s">
        <v>803</v>
      </c>
      <c r="AU445">
        <v>2020</v>
      </c>
      <c r="AV445">
        <v>11</v>
      </c>
      <c r="AW445">
        <v>2</v>
      </c>
      <c r="AX445" t="s">
        <v>74</v>
      </c>
      <c r="AY445" t="s">
        <v>74</v>
      </c>
      <c r="AZ445" t="s">
        <v>74</v>
      </c>
      <c r="BA445" t="s">
        <v>74</v>
      </c>
      <c r="BB445" t="s">
        <v>74</v>
      </c>
      <c r="BC445" t="s">
        <v>74</v>
      </c>
      <c r="BD445">
        <v>102</v>
      </c>
      <c r="BE445" t="s">
        <v>8773</v>
      </c>
      <c r="BF445" t="str">
        <f>HYPERLINK("http://dx.doi.org/10.3390/insects11020102","http://dx.doi.org/10.3390/insects11020102")</f>
        <v>http://dx.doi.org/10.3390/insects11020102</v>
      </c>
      <c r="BG445" t="s">
        <v>74</v>
      </c>
      <c r="BH445" t="s">
        <v>74</v>
      </c>
      <c r="BI445">
        <v>13</v>
      </c>
      <c r="BJ445" t="s">
        <v>3972</v>
      </c>
      <c r="BK445" t="s">
        <v>103</v>
      </c>
      <c r="BL445" t="s">
        <v>3972</v>
      </c>
      <c r="BM445" t="s">
        <v>8774</v>
      </c>
      <c r="BN445">
        <v>32033034</v>
      </c>
      <c r="BO445" t="s">
        <v>1805</v>
      </c>
      <c r="BP445" t="s">
        <v>74</v>
      </c>
      <c r="BQ445" t="s">
        <v>74</v>
      </c>
      <c r="BR445" t="s">
        <v>106</v>
      </c>
      <c r="BS445" t="s">
        <v>8775</v>
      </c>
      <c r="BT445" t="str">
        <f>HYPERLINK("https%3A%2F%2Fwww.webofscience.com%2Fwos%2Fwoscc%2Ffull-record%2FWOS:000519116600051","View Full Record in Web of Science")</f>
        <v>View Full Record in Web of Science</v>
      </c>
    </row>
    <row r="446" spans="1:72" x14ac:dyDescent="0.15">
      <c r="A446" t="s">
        <v>72</v>
      </c>
      <c r="B446" t="s">
        <v>8776</v>
      </c>
      <c r="C446" t="s">
        <v>74</v>
      </c>
      <c r="D446" t="s">
        <v>74</v>
      </c>
      <c r="E446" t="s">
        <v>74</v>
      </c>
      <c r="F446" t="s">
        <v>8777</v>
      </c>
      <c r="G446" t="s">
        <v>74</v>
      </c>
      <c r="H446" t="s">
        <v>74</v>
      </c>
      <c r="I446" t="s">
        <v>8778</v>
      </c>
      <c r="J446" t="s">
        <v>8779</v>
      </c>
      <c r="K446" t="s">
        <v>74</v>
      </c>
      <c r="L446" t="s">
        <v>74</v>
      </c>
      <c r="M446" t="s">
        <v>78</v>
      </c>
      <c r="N446" t="s">
        <v>79</v>
      </c>
      <c r="O446" t="s">
        <v>74</v>
      </c>
      <c r="P446" t="s">
        <v>74</v>
      </c>
      <c r="Q446" t="s">
        <v>74</v>
      </c>
      <c r="R446" t="s">
        <v>74</v>
      </c>
      <c r="S446" t="s">
        <v>74</v>
      </c>
      <c r="T446" t="s">
        <v>8780</v>
      </c>
      <c r="U446" t="s">
        <v>8781</v>
      </c>
      <c r="V446" t="s">
        <v>8782</v>
      </c>
      <c r="W446" t="s">
        <v>8783</v>
      </c>
      <c r="X446" t="s">
        <v>8784</v>
      </c>
      <c r="Y446" t="s">
        <v>8785</v>
      </c>
      <c r="Z446" t="s">
        <v>8786</v>
      </c>
      <c r="AA446" t="s">
        <v>74</v>
      </c>
      <c r="AB446" t="s">
        <v>8787</v>
      </c>
      <c r="AC446" t="s">
        <v>8788</v>
      </c>
      <c r="AD446" t="s">
        <v>8788</v>
      </c>
      <c r="AE446" t="s">
        <v>8789</v>
      </c>
      <c r="AF446" t="s">
        <v>74</v>
      </c>
      <c r="AG446">
        <v>49</v>
      </c>
      <c r="AH446">
        <v>6</v>
      </c>
      <c r="AI446">
        <v>7</v>
      </c>
      <c r="AJ446">
        <v>5</v>
      </c>
      <c r="AK446">
        <v>52</v>
      </c>
      <c r="AL446" t="s">
        <v>211</v>
      </c>
      <c r="AM446" t="s">
        <v>212</v>
      </c>
      <c r="AN446" t="s">
        <v>213</v>
      </c>
      <c r="AO446" t="s">
        <v>8790</v>
      </c>
      <c r="AP446" t="s">
        <v>8791</v>
      </c>
      <c r="AQ446" t="s">
        <v>74</v>
      </c>
      <c r="AR446" t="s">
        <v>8792</v>
      </c>
      <c r="AS446" t="s">
        <v>8793</v>
      </c>
      <c r="AT446" t="s">
        <v>803</v>
      </c>
      <c r="AU446">
        <v>2020</v>
      </c>
      <c r="AV446">
        <v>51</v>
      </c>
      <c r="AW446">
        <v>2</v>
      </c>
      <c r="AX446" t="s">
        <v>74</v>
      </c>
      <c r="AY446" t="s">
        <v>74</v>
      </c>
      <c r="AZ446" t="s">
        <v>74</v>
      </c>
      <c r="BA446" t="s">
        <v>74</v>
      </c>
      <c r="BB446" t="s">
        <v>74</v>
      </c>
      <c r="BC446" t="s">
        <v>74</v>
      </c>
      <c r="BD446" t="s">
        <v>8794</v>
      </c>
      <c r="BE446" t="s">
        <v>8795</v>
      </c>
      <c r="BF446" t="str">
        <f>HYPERLINK("http://dx.doi.org/10.1111/jav.02318","http://dx.doi.org/10.1111/jav.02318")</f>
        <v>http://dx.doi.org/10.1111/jav.02318</v>
      </c>
      <c r="BG446" t="s">
        <v>74</v>
      </c>
      <c r="BH446" t="s">
        <v>74</v>
      </c>
      <c r="BI446">
        <v>12</v>
      </c>
      <c r="BJ446" t="s">
        <v>8796</v>
      </c>
      <c r="BK446" t="s">
        <v>103</v>
      </c>
      <c r="BL446" t="s">
        <v>2510</v>
      </c>
      <c r="BM446" t="s">
        <v>8797</v>
      </c>
      <c r="BN446" t="s">
        <v>74</v>
      </c>
      <c r="BO446" t="s">
        <v>74</v>
      </c>
      <c r="BP446" t="s">
        <v>74</v>
      </c>
      <c r="BQ446" t="s">
        <v>74</v>
      </c>
      <c r="BR446" t="s">
        <v>106</v>
      </c>
      <c r="BS446" t="s">
        <v>8798</v>
      </c>
      <c r="BT446" t="str">
        <f>HYPERLINK("https%3A%2F%2Fwww.webofscience.com%2Fwos%2Fwoscc%2Ffull-record%2FWOS:000519212600011","View Full Record in Web of Science")</f>
        <v>View Full Record in Web of Science</v>
      </c>
    </row>
    <row r="447" spans="1:72" x14ac:dyDescent="0.15">
      <c r="A447" t="s">
        <v>72</v>
      </c>
      <c r="B447" t="s">
        <v>8799</v>
      </c>
      <c r="C447" t="s">
        <v>74</v>
      </c>
      <c r="D447" t="s">
        <v>74</v>
      </c>
      <c r="E447" t="s">
        <v>74</v>
      </c>
      <c r="F447" t="s">
        <v>8800</v>
      </c>
      <c r="G447" t="s">
        <v>74</v>
      </c>
      <c r="H447" t="s">
        <v>74</v>
      </c>
      <c r="I447" t="s">
        <v>8801</v>
      </c>
      <c r="J447" t="s">
        <v>8802</v>
      </c>
      <c r="K447" t="s">
        <v>74</v>
      </c>
      <c r="L447" t="s">
        <v>74</v>
      </c>
      <c r="M447" t="s">
        <v>78</v>
      </c>
      <c r="N447" t="s">
        <v>79</v>
      </c>
      <c r="O447" t="s">
        <v>74</v>
      </c>
      <c r="P447" t="s">
        <v>74</v>
      </c>
      <c r="Q447" t="s">
        <v>74</v>
      </c>
      <c r="R447" t="s">
        <v>74</v>
      </c>
      <c r="S447" t="s">
        <v>74</v>
      </c>
      <c r="T447" t="s">
        <v>8803</v>
      </c>
      <c r="U447" t="s">
        <v>8804</v>
      </c>
      <c r="V447" t="s">
        <v>8805</v>
      </c>
      <c r="W447" t="s">
        <v>8806</v>
      </c>
      <c r="X447" t="s">
        <v>8807</v>
      </c>
      <c r="Y447" t="s">
        <v>8808</v>
      </c>
      <c r="Z447" t="s">
        <v>8809</v>
      </c>
      <c r="AA447" t="s">
        <v>74</v>
      </c>
      <c r="AB447" t="s">
        <v>8810</v>
      </c>
      <c r="AC447" t="s">
        <v>8811</v>
      </c>
      <c r="AD447" t="s">
        <v>8811</v>
      </c>
      <c r="AE447" t="s">
        <v>8812</v>
      </c>
      <c r="AF447" t="s">
        <v>74</v>
      </c>
      <c r="AG447">
        <v>79</v>
      </c>
      <c r="AH447">
        <v>8</v>
      </c>
      <c r="AI447">
        <v>8</v>
      </c>
      <c r="AJ447">
        <v>0</v>
      </c>
      <c r="AK447">
        <v>8</v>
      </c>
      <c r="AL447" t="s">
        <v>289</v>
      </c>
      <c r="AM447" t="s">
        <v>290</v>
      </c>
      <c r="AN447" t="s">
        <v>291</v>
      </c>
      <c r="AO447" t="s">
        <v>8813</v>
      </c>
      <c r="AP447" t="s">
        <v>8814</v>
      </c>
      <c r="AQ447" t="s">
        <v>74</v>
      </c>
      <c r="AR447" t="s">
        <v>8815</v>
      </c>
      <c r="AS447" t="s">
        <v>8816</v>
      </c>
      <c r="AT447" t="s">
        <v>803</v>
      </c>
      <c r="AU447">
        <v>2020</v>
      </c>
      <c r="AV447">
        <v>157</v>
      </c>
      <c r="AW447" t="s">
        <v>74</v>
      </c>
      <c r="AX447" t="s">
        <v>74</v>
      </c>
      <c r="AY447" t="s">
        <v>74</v>
      </c>
      <c r="AZ447" t="s">
        <v>74</v>
      </c>
      <c r="BA447" t="s">
        <v>74</v>
      </c>
      <c r="BB447" t="s">
        <v>74</v>
      </c>
      <c r="BC447" t="s">
        <v>74</v>
      </c>
      <c r="BD447">
        <v>101847</v>
      </c>
      <c r="BE447" t="s">
        <v>8817</v>
      </c>
      <c r="BF447" t="str">
        <f>HYPERLINK("http://dx.doi.org/10.1016/j.seares.2020.101847","http://dx.doi.org/10.1016/j.seares.2020.101847")</f>
        <v>http://dx.doi.org/10.1016/j.seares.2020.101847</v>
      </c>
      <c r="BG447" t="s">
        <v>74</v>
      </c>
      <c r="BH447" t="s">
        <v>74</v>
      </c>
      <c r="BI447">
        <v>10</v>
      </c>
      <c r="BJ447" t="s">
        <v>1383</v>
      </c>
      <c r="BK447" t="s">
        <v>103</v>
      </c>
      <c r="BL447" t="s">
        <v>1383</v>
      </c>
      <c r="BM447" t="s">
        <v>8818</v>
      </c>
      <c r="BN447" t="s">
        <v>74</v>
      </c>
      <c r="BO447" t="s">
        <v>74</v>
      </c>
      <c r="BP447" t="s">
        <v>74</v>
      </c>
      <c r="BQ447" t="s">
        <v>74</v>
      </c>
      <c r="BR447" t="s">
        <v>106</v>
      </c>
      <c r="BS447" t="s">
        <v>8819</v>
      </c>
      <c r="BT447" t="str">
        <f>HYPERLINK("https%3A%2F%2Fwww.webofscience.com%2Fwos%2Fwoscc%2Ffull-record%2FWOS:000518705500002","View Full Record in Web of Science")</f>
        <v>View Full Record in Web of Science</v>
      </c>
    </row>
    <row r="448" spans="1:72" x14ac:dyDescent="0.15">
      <c r="A448" t="s">
        <v>72</v>
      </c>
      <c r="B448" t="s">
        <v>8820</v>
      </c>
      <c r="C448" t="s">
        <v>74</v>
      </c>
      <c r="D448" t="s">
        <v>74</v>
      </c>
      <c r="E448" t="s">
        <v>74</v>
      </c>
      <c r="F448" t="s">
        <v>8821</v>
      </c>
      <c r="G448" t="s">
        <v>74</v>
      </c>
      <c r="H448" t="s">
        <v>74</v>
      </c>
      <c r="I448" t="s">
        <v>8822</v>
      </c>
      <c r="J448" t="s">
        <v>8823</v>
      </c>
      <c r="K448" t="s">
        <v>74</v>
      </c>
      <c r="L448" t="s">
        <v>74</v>
      </c>
      <c r="M448" t="s">
        <v>78</v>
      </c>
      <c r="N448" t="s">
        <v>79</v>
      </c>
      <c r="O448" t="s">
        <v>74</v>
      </c>
      <c r="P448" t="s">
        <v>74</v>
      </c>
      <c r="Q448" t="s">
        <v>74</v>
      </c>
      <c r="R448" t="s">
        <v>74</v>
      </c>
      <c r="S448" t="s">
        <v>74</v>
      </c>
      <c r="T448" t="s">
        <v>8824</v>
      </c>
      <c r="U448" t="s">
        <v>8825</v>
      </c>
      <c r="V448" t="s">
        <v>8826</v>
      </c>
      <c r="W448" t="s">
        <v>8827</v>
      </c>
      <c r="X448" t="s">
        <v>8828</v>
      </c>
      <c r="Y448" t="s">
        <v>8829</v>
      </c>
      <c r="Z448" t="s">
        <v>8830</v>
      </c>
      <c r="AA448" t="s">
        <v>8831</v>
      </c>
      <c r="AB448" t="s">
        <v>8832</v>
      </c>
      <c r="AC448" t="s">
        <v>8833</v>
      </c>
      <c r="AD448" t="s">
        <v>8834</v>
      </c>
      <c r="AE448" t="s">
        <v>8835</v>
      </c>
      <c r="AF448" t="s">
        <v>74</v>
      </c>
      <c r="AG448">
        <v>59</v>
      </c>
      <c r="AH448">
        <v>11</v>
      </c>
      <c r="AI448">
        <v>12</v>
      </c>
      <c r="AJ448">
        <v>0</v>
      </c>
      <c r="AK448">
        <v>5</v>
      </c>
      <c r="AL448" t="s">
        <v>289</v>
      </c>
      <c r="AM448" t="s">
        <v>290</v>
      </c>
      <c r="AN448" t="s">
        <v>291</v>
      </c>
      <c r="AO448" t="s">
        <v>8836</v>
      </c>
      <c r="AP448" t="s">
        <v>8837</v>
      </c>
      <c r="AQ448" t="s">
        <v>74</v>
      </c>
      <c r="AR448" t="s">
        <v>8823</v>
      </c>
      <c r="AS448" t="s">
        <v>8838</v>
      </c>
      <c r="AT448" t="s">
        <v>803</v>
      </c>
      <c r="AU448">
        <v>2020</v>
      </c>
      <c r="AV448">
        <v>354</v>
      </c>
      <c r="AW448" t="s">
        <v>74</v>
      </c>
      <c r="AX448" t="s">
        <v>74</v>
      </c>
      <c r="AY448" t="s">
        <v>74</v>
      </c>
      <c r="AZ448" t="s">
        <v>74</v>
      </c>
      <c r="BA448" t="s">
        <v>74</v>
      </c>
      <c r="BB448" t="s">
        <v>74</v>
      </c>
      <c r="BC448" t="s">
        <v>74</v>
      </c>
      <c r="BD448">
        <v>105363</v>
      </c>
      <c r="BE448" t="s">
        <v>8839</v>
      </c>
      <c r="BF448" t="str">
        <f>HYPERLINK("http://dx.doi.org/10.1016/j.lithos.2019.105363","http://dx.doi.org/10.1016/j.lithos.2019.105363")</f>
        <v>http://dx.doi.org/10.1016/j.lithos.2019.105363</v>
      </c>
      <c r="BG448" t="s">
        <v>74</v>
      </c>
      <c r="BH448" t="s">
        <v>74</v>
      </c>
      <c r="BI448">
        <v>12</v>
      </c>
      <c r="BJ448" t="s">
        <v>4911</v>
      </c>
      <c r="BK448" t="s">
        <v>103</v>
      </c>
      <c r="BL448" t="s">
        <v>4911</v>
      </c>
      <c r="BM448" t="s">
        <v>8840</v>
      </c>
      <c r="BN448" t="s">
        <v>74</v>
      </c>
      <c r="BO448" t="s">
        <v>74</v>
      </c>
      <c r="BP448" t="s">
        <v>74</v>
      </c>
      <c r="BQ448" t="s">
        <v>74</v>
      </c>
      <c r="BR448" t="s">
        <v>106</v>
      </c>
      <c r="BS448" t="s">
        <v>8841</v>
      </c>
      <c r="BT448" t="str">
        <f>HYPERLINK("https%3A%2F%2Fwww.webofscience.com%2Fwos%2Fwoscc%2Ffull-record%2FWOS:000514217200016","View Full Record in Web of Science")</f>
        <v>View Full Record in Web of Science</v>
      </c>
    </row>
    <row r="449" spans="1:72" x14ac:dyDescent="0.15">
      <c r="A449" t="s">
        <v>72</v>
      </c>
      <c r="B449" t="s">
        <v>8842</v>
      </c>
      <c r="C449" t="s">
        <v>74</v>
      </c>
      <c r="D449" t="s">
        <v>74</v>
      </c>
      <c r="E449" t="s">
        <v>74</v>
      </c>
      <c r="F449" t="s">
        <v>8843</v>
      </c>
      <c r="G449" t="s">
        <v>74</v>
      </c>
      <c r="H449" t="s">
        <v>74</v>
      </c>
      <c r="I449" t="s">
        <v>8844</v>
      </c>
      <c r="J449" t="s">
        <v>8845</v>
      </c>
      <c r="K449" t="s">
        <v>74</v>
      </c>
      <c r="L449" t="s">
        <v>74</v>
      </c>
      <c r="M449" t="s">
        <v>78</v>
      </c>
      <c r="N449" t="s">
        <v>79</v>
      </c>
      <c r="O449" t="s">
        <v>74</v>
      </c>
      <c r="P449" t="s">
        <v>74</v>
      </c>
      <c r="Q449" t="s">
        <v>74</v>
      </c>
      <c r="R449" t="s">
        <v>74</v>
      </c>
      <c r="S449" t="s">
        <v>74</v>
      </c>
      <c r="T449" t="s">
        <v>8846</v>
      </c>
      <c r="U449" t="s">
        <v>8847</v>
      </c>
      <c r="V449" t="s">
        <v>8848</v>
      </c>
      <c r="W449" t="s">
        <v>8849</v>
      </c>
      <c r="X449" t="s">
        <v>8850</v>
      </c>
      <c r="Y449" t="s">
        <v>8851</v>
      </c>
      <c r="Z449" t="s">
        <v>8852</v>
      </c>
      <c r="AA449" t="s">
        <v>74</v>
      </c>
      <c r="AB449" t="s">
        <v>74</v>
      </c>
      <c r="AC449" t="s">
        <v>8853</v>
      </c>
      <c r="AD449" t="s">
        <v>8854</v>
      </c>
      <c r="AE449" t="s">
        <v>8855</v>
      </c>
      <c r="AF449" t="s">
        <v>74</v>
      </c>
      <c r="AG449">
        <v>22</v>
      </c>
      <c r="AH449">
        <v>0</v>
      </c>
      <c r="AI449">
        <v>0</v>
      </c>
      <c r="AJ449">
        <v>0</v>
      </c>
      <c r="AK449">
        <v>6</v>
      </c>
      <c r="AL449" t="s">
        <v>8856</v>
      </c>
      <c r="AM449" t="s">
        <v>3042</v>
      </c>
      <c r="AN449" t="s">
        <v>8857</v>
      </c>
      <c r="AO449" t="s">
        <v>8858</v>
      </c>
      <c r="AP449" t="s">
        <v>8859</v>
      </c>
      <c r="AQ449" t="s">
        <v>74</v>
      </c>
      <c r="AR449" t="s">
        <v>8860</v>
      </c>
      <c r="AS449" t="s">
        <v>8861</v>
      </c>
      <c r="AT449" t="s">
        <v>803</v>
      </c>
      <c r="AU449">
        <v>2020</v>
      </c>
      <c r="AV449">
        <v>49</v>
      </c>
      <c r="AW449">
        <v>2</v>
      </c>
      <c r="AX449" t="s">
        <v>74</v>
      </c>
      <c r="AY449" t="s">
        <v>74</v>
      </c>
      <c r="AZ449" t="s">
        <v>74</v>
      </c>
      <c r="BA449" t="s">
        <v>74</v>
      </c>
      <c r="BB449">
        <v>225</v>
      </c>
      <c r="BC449">
        <v>232</v>
      </c>
      <c r="BD449" t="s">
        <v>74</v>
      </c>
      <c r="BE449" t="s">
        <v>74</v>
      </c>
      <c r="BF449" t="s">
        <v>74</v>
      </c>
      <c r="BG449" t="s">
        <v>74</v>
      </c>
      <c r="BH449" t="s">
        <v>74</v>
      </c>
      <c r="BI449">
        <v>8</v>
      </c>
      <c r="BJ449" t="s">
        <v>639</v>
      </c>
      <c r="BK449" t="s">
        <v>103</v>
      </c>
      <c r="BL449" t="s">
        <v>639</v>
      </c>
      <c r="BM449" t="s">
        <v>8862</v>
      </c>
      <c r="BN449" t="s">
        <v>74</v>
      </c>
      <c r="BO449" t="s">
        <v>74</v>
      </c>
      <c r="BP449" t="s">
        <v>74</v>
      </c>
      <c r="BQ449" t="s">
        <v>74</v>
      </c>
      <c r="BR449" t="s">
        <v>106</v>
      </c>
      <c r="BS449" t="s">
        <v>8863</v>
      </c>
      <c r="BT449" t="str">
        <f>HYPERLINK("https%3A%2F%2Fwww.webofscience.com%2Fwos%2Fwoscc%2Ffull-record%2FWOS:000518394500007","View Full Record in Web of Science")</f>
        <v>View Full Record in Web of Science</v>
      </c>
    </row>
    <row r="450" spans="1:72" x14ac:dyDescent="0.15">
      <c r="A450" t="s">
        <v>72</v>
      </c>
      <c r="B450" t="s">
        <v>8864</v>
      </c>
      <c r="C450" t="s">
        <v>74</v>
      </c>
      <c r="D450" t="s">
        <v>74</v>
      </c>
      <c r="E450" t="s">
        <v>74</v>
      </c>
      <c r="F450" t="s">
        <v>8865</v>
      </c>
      <c r="G450" t="s">
        <v>74</v>
      </c>
      <c r="H450" t="s">
        <v>74</v>
      </c>
      <c r="I450" t="s">
        <v>8866</v>
      </c>
      <c r="J450" t="s">
        <v>8845</v>
      </c>
      <c r="K450" t="s">
        <v>74</v>
      </c>
      <c r="L450" t="s">
        <v>74</v>
      </c>
      <c r="M450" t="s">
        <v>78</v>
      </c>
      <c r="N450" t="s">
        <v>79</v>
      </c>
      <c r="O450" t="s">
        <v>74</v>
      </c>
      <c r="P450" t="s">
        <v>74</v>
      </c>
      <c r="Q450" t="s">
        <v>74</v>
      </c>
      <c r="R450" t="s">
        <v>74</v>
      </c>
      <c r="S450" t="s">
        <v>74</v>
      </c>
      <c r="T450" t="s">
        <v>8867</v>
      </c>
      <c r="U450" t="s">
        <v>8868</v>
      </c>
      <c r="V450" t="s">
        <v>8869</v>
      </c>
      <c r="W450" t="s">
        <v>8870</v>
      </c>
      <c r="X450" t="s">
        <v>8871</v>
      </c>
      <c r="Y450" t="s">
        <v>8872</v>
      </c>
      <c r="Z450" t="s">
        <v>8873</v>
      </c>
      <c r="AA450" t="s">
        <v>74</v>
      </c>
      <c r="AB450" t="s">
        <v>74</v>
      </c>
      <c r="AC450" t="s">
        <v>8874</v>
      </c>
      <c r="AD450" t="s">
        <v>8875</v>
      </c>
      <c r="AE450" t="s">
        <v>8876</v>
      </c>
      <c r="AF450" t="s">
        <v>74</v>
      </c>
      <c r="AG450">
        <v>44</v>
      </c>
      <c r="AH450">
        <v>0</v>
      </c>
      <c r="AI450">
        <v>1</v>
      </c>
      <c r="AJ450">
        <v>0</v>
      </c>
      <c r="AK450">
        <v>9</v>
      </c>
      <c r="AL450" t="s">
        <v>8856</v>
      </c>
      <c r="AM450" t="s">
        <v>3042</v>
      </c>
      <c r="AN450" t="s">
        <v>8857</v>
      </c>
      <c r="AO450" t="s">
        <v>8858</v>
      </c>
      <c r="AP450" t="s">
        <v>8859</v>
      </c>
      <c r="AQ450" t="s">
        <v>74</v>
      </c>
      <c r="AR450" t="s">
        <v>8860</v>
      </c>
      <c r="AS450" t="s">
        <v>8861</v>
      </c>
      <c r="AT450" t="s">
        <v>803</v>
      </c>
      <c r="AU450">
        <v>2020</v>
      </c>
      <c r="AV450">
        <v>49</v>
      </c>
      <c r="AW450">
        <v>2</v>
      </c>
      <c r="AX450" t="s">
        <v>74</v>
      </c>
      <c r="AY450" t="s">
        <v>74</v>
      </c>
      <c r="AZ450" t="s">
        <v>74</v>
      </c>
      <c r="BA450" t="s">
        <v>74</v>
      </c>
      <c r="BB450">
        <v>241</v>
      </c>
      <c r="BC450">
        <v>248</v>
      </c>
      <c r="BD450" t="s">
        <v>74</v>
      </c>
      <c r="BE450" t="s">
        <v>74</v>
      </c>
      <c r="BF450" t="s">
        <v>74</v>
      </c>
      <c r="BG450" t="s">
        <v>74</v>
      </c>
      <c r="BH450" t="s">
        <v>74</v>
      </c>
      <c r="BI450">
        <v>8</v>
      </c>
      <c r="BJ450" t="s">
        <v>639</v>
      </c>
      <c r="BK450" t="s">
        <v>103</v>
      </c>
      <c r="BL450" t="s">
        <v>639</v>
      </c>
      <c r="BM450" t="s">
        <v>8862</v>
      </c>
      <c r="BN450" t="s">
        <v>74</v>
      </c>
      <c r="BO450" t="s">
        <v>74</v>
      </c>
      <c r="BP450" t="s">
        <v>74</v>
      </c>
      <c r="BQ450" t="s">
        <v>74</v>
      </c>
      <c r="BR450" t="s">
        <v>106</v>
      </c>
      <c r="BS450" t="s">
        <v>8877</v>
      </c>
      <c r="BT450" t="str">
        <f>HYPERLINK("https%3A%2F%2Fwww.webofscience.com%2Fwos%2Fwoscc%2Ffull-record%2FWOS:000518394500009","View Full Record in Web of Science")</f>
        <v>View Full Record in Web of Science</v>
      </c>
    </row>
    <row r="451" spans="1:72" x14ac:dyDescent="0.15">
      <c r="A451" t="s">
        <v>72</v>
      </c>
      <c r="B451" t="s">
        <v>8878</v>
      </c>
      <c r="C451" t="s">
        <v>74</v>
      </c>
      <c r="D451" t="s">
        <v>74</v>
      </c>
      <c r="E451" t="s">
        <v>74</v>
      </c>
      <c r="F451" t="s">
        <v>8879</v>
      </c>
      <c r="G451" t="s">
        <v>74</v>
      </c>
      <c r="H451" t="s">
        <v>74</v>
      </c>
      <c r="I451" t="s">
        <v>8880</v>
      </c>
      <c r="J451" t="s">
        <v>1850</v>
      </c>
      <c r="K451" t="s">
        <v>74</v>
      </c>
      <c r="L451" t="s">
        <v>74</v>
      </c>
      <c r="M451" t="s">
        <v>78</v>
      </c>
      <c r="N451" t="s">
        <v>79</v>
      </c>
      <c r="O451" t="s">
        <v>74</v>
      </c>
      <c r="P451" t="s">
        <v>74</v>
      </c>
      <c r="Q451" t="s">
        <v>74</v>
      </c>
      <c r="R451" t="s">
        <v>74</v>
      </c>
      <c r="S451" t="s">
        <v>74</v>
      </c>
      <c r="T451" t="s">
        <v>74</v>
      </c>
      <c r="U451" t="s">
        <v>8881</v>
      </c>
      <c r="V451" t="s">
        <v>8882</v>
      </c>
      <c r="W451" t="s">
        <v>8883</v>
      </c>
      <c r="X451" t="s">
        <v>8884</v>
      </c>
      <c r="Y451" t="s">
        <v>8885</v>
      </c>
      <c r="Z451" t="s">
        <v>8886</v>
      </c>
      <c r="AA451" t="s">
        <v>8887</v>
      </c>
      <c r="AB451" t="s">
        <v>8888</v>
      </c>
      <c r="AC451" t="s">
        <v>8889</v>
      </c>
      <c r="AD451" t="s">
        <v>8890</v>
      </c>
      <c r="AE451" t="s">
        <v>8891</v>
      </c>
      <c r="AF451" t="s">
        <v>74</v>
      </c>
      <c r="AG451">
        <v>40</v>
      </c>
      <c r="AH451">
        <v>21</v>
      </c>
      <c r="AI451">
        <v>24</v>
      </c>
      <c r="AJ451">
        <v>2</v>
      </c>
      <c r="AK451">
        <v>24</v>
      </c>
      <c r="AL451" t="s">
        <v>5289</v>
      </c>
      <c r="AM451" t="s">
        <v>952</v>
      </c>
      <c r="AN451" t="s">
        <v>953</v>
      </c>
      <c r="AO451" t="s">
        <v>1862</v>
      </c>
      <c r="AP451" t="s">
        <v>1863</v>
      </c>
      <c r="AQ451" t="s">
        <v>74</v>
      </c>
      <c r="AR451" t="s">
        <v>1850</v>
      </c>
      <c r="AS451" t="s">
        <v>1864</v>
      </c>
      <c r="AT451" t="s">
        <v>803</v>
      </c>
      <c r="AU451">
        <v>2020</v>
      </c>
      <c r="AV451">
        <v>578</v>
      </c>
      <c r="AW451">
        <v>7796</v>
      </c>
      <c r="AX451" t="s">
        <v>74</v>
      </c>
      <c r="AY451" t="s">
        <v>74</v>
      </c>
      <c r="AZ451" t="s">
        <v>74</v>
      </c>
      <c r="BA451" t="s">
        <v>74</v>
      </c>
      <c r="BB451">
        <v>568</v>
      </c>
      <c r="BC451" t="s">
        <v>759</v>
      </c>
      <c r="BD451" t="s">
        <v>74</v>
      </c>
      <c r="BE451" t="s">
        <v>8892</v>
      </c>
      <c r="BF451" t="str">
        <f>HYPERLINK("http://dx.doi.org/10.1038/s41586-020-2014-5","http://dx.doi.org/10.1038/s41586-020-2014-5")</f>
        <v>http://dx.doi.org/10.1038/s41586-020-2014-5</v>
      </c>
      <c r="BG451" t="s">
        <v>74</v>
      </c>
      <c r="BH451" t="s">
        <v>74</v>
      </c>
      <c r="BI451">
        <v>18</v>
      </c>
      <c r="BJ451" t="s">
        <v>322</v>
      </c>
      <c r="BK451" t="s">
        <v>103</v>
      </c>
      <c r="BL451" t="s">
        <v>323</v>
      </c>
      <c r="BM451" t="s">
        <v>8893</v>
      </c>
      <c r="BN451">
        <v>32103192</v>
      </c>
      <c r="BO451" t="s">
        <v>5929</v>
      </c>
      <c r="BP451" t="s">
        <v>74</v>
      </c>
      <c r="BQ451" t="s">
        <v>74</v>
      </c>
      <c r="BR451" t="s">
        <v>106</v>
      </c>
      <c r="BS451" t="s">
        <v>8894</v>
      </c>
      <c r="BT451" t="str">
        <f>HYPERLINK("https%3A%2F%2Fwww.webofscience.com%2Fwos%2Fwoscc%2Ffull-record%2FWOS:000516571100018","View Full Record in Web of Science")</f>
        <v>View Full Record in Web of Science</v>
      </c>
    </row>
    <row r="452" spans="1:72" x14ac:dyDescent="0.15">
      <c r="A452" t="s">
        <v>72</v>
      </c>
      <c r="B452" t="s">
        <v>8895</v>
      </c>
      <c r="C452" t="s">
        <v>74</v>
      </c>
      <c r="D452" t="s">
        <v>74</v>
      </c>
      <c r="E452" t="s">
        <v>74</v>
      </c>
      <c r="F452" t="s">
        <v>8896</v>
      </c>
      <c r="G452" t="s">
        <v>74</v>
      </c>
      <c r="H452" t="s">
        <v>74</v>
      </c>
      <c r="I452" t="s">
        <v>8897</v>
      </c>
      <c r="J452" t="s">
        <v>350</v>
      </c>
      <c r="K452" t="s">
        <v>74</v>
      </c>
      <c r="L452" t="s">
        <v>74</v>
      </c>
      <c r="M452" t="s">
        <v>78</v>
      </c>
      <c r="N452" t="s">
        <v>79</v>
      </c>
      <c r="O452" t="s">
        <v>74</v>
      </c>
      <c r="P452" t="s">
        <v>74</v>
      </c>
      <c r="Q452" t="s">
        <v>74</v>
      </c>
      <c r="R452" t="s">
        <v>74</v>
      </c>
      <c r="S452" t="s">
        <v>74</v>
      </c>
      <c r="T452" t="s">
        <v>8898</v>
      </c>
      <c r="U452" t="s">
        <v>8899</v>
      </c>
      <c r="V452" t="s">
        <v>8900</v>
      </c>
      <c r="W452" t="s">
        <v>8901</v>
      </c>
      <c r="X452" t="s">
        <v>8902</v>
      </c>
      <c r="Y452" t="s">
        <v>8903</v>
      </c>
      <c r="Z452" t="s">
        <v>8904</v>
      </c>
      <c r="AA452" t="s">
        <v>8905</v>
      </c>
      <c r="AB452" t="s">
        <v>74</v>
      </c>
      <c r="AC452" t="s">
        <v>8906</v>
      </c>
      <c r="AD452" t="s">
        <v>8907</v>
      </c>
      <c r="AE452" t="s">
        <v>8908</v>
      </c>
      <c r="AF452" t="s">
        <v>74</v>
      </c>
      <c r="AG452">
        <v>30</v>
      </c>
      <c r="AH452">
        <v>6</v>
      </c>
      <c r="AI452">
        <v>7</v>
      </c>
      <c r="AJ452">
        <v>0</v>
      </c>
      <c r="AK452">
        <v>18</v>
      </c>
      <c r="AL452" t="s">
        <v>360</v>
      </c>
      <c r="AM452" t="s">
        <v>361</v>
      </c>
      <c r="AN452" t="s">
        <v>362</v>
      </c>
      <c r="AO452" t="s">
        <v>363</v>
      </c>
      <c r="AP452" t="s">
        <v>364</v>
      </c>
      <c r="AQ452" t="s">
        <v>74</v>
      </c>
      <c r="AR452" t="s">
        <v>365</v>
      </c>
      <c r="AS452" t="s">
        <v>366</v>
      </c>
      <c r="AT452" t="s">
        <v>803</v>
      </c>
      <c r="AU452">
        <v>2020</v>
      </c>
      <c r="AV452">
        <v>63</v>
      </c>
      <c r="AW452">
        <v>2</v>
      </c>
      <c r="AX452" t="s">
        <v>74</v>
      </c>
      <c r="AY452" t="s">
        <v>74</v>
      </c>
      <c r="AZ452" t="s">
        <v>74</v>
      </c>
      <c r="BA452" t="s">
        <v>74</v>
      </c>
      <c r="BB452">
        <v>303</v>
      </c>
      <c r="BC452">
        <v>308</v>
      </c>
      <c r="BD452" t="s">
        <v>74</v>
      </c>
      <c r="BE452" t="s">
        <v>8909</v>
      </c>
      <c r="BF452" t="str">
        <f>HYPERLINK("http://dx.doi.org/10.1007/s11430-018-9365-8","http://dx.doi.org/10.1007/s11430-018-9365-8")</f>
        <v>http://dx.doi.org/10.1007/s11430-018-9365-8</v>
      </c>
      <c r="BG452" t="s">
        <v>74</v>
      </c>
      <c r="BH452" t="s">
        <v>74</v>
      </c>
      <c r="BI452">
        <v>6</v>
      </c>
      <c r="BJ452" t="s">
        <v>246</v>
      </c>
      <c r="BK452" t="s">
        <v>103</v>
      </c>
      <c r="BL452" t="s">
        <v>247</v>
      </c>
      <c r="BM452" t="s">
        <v>8910</v>
      </c>
      <c r="BN452" t="s">
        <v>74</v>
      </c>
      <c r="BO452" t="s">
        <v>74</v>
      </c>
      <c r="BP452" t="s">
        <v>74</v>
      </c>
      <c r="BQ452" t="s">
        <v>74</v>
      </c>
      <c r="BR452" t="s">
        <v>106</v>
      </c>
      <c r="BS452" t="s">
        <v>8911</v>
      </c>
      <c r="BT452" t="str">
        <f>HYPERLINK("https%3A%2F%2Fwww.webofscience.com%2Fwos%2Fwoscc%2Ffull-record%2FWOS:000517101300012","View Full Record in Web of Science")</f>
        <v>View Full Record in Web of Science</v>
      </c>
    </row>
    <row r="453" spans="1:72" x14ac:dyDescent="0.15">
      <c r="A453" t="s">
        <v>72</v>
      </c>
      <c r="B453" t="s">
        <v>8912</v>
      </c>
      <c r="C453" t="s">
        <v>74</v>
      </c>
      <c r="D453" t="s">
        <v>74</v>
      </c>
      <c r="E453" t="s">
        <v>74</v>
      </c>
      <c r="F453" t="s">
        <v>8913</v>
      </c>
      <c r="G453" t="s">
        <v>74</v>
      </c>
      <c r="H453" t="s">
        <v>74</v>
      </c>
      <c r="I453" t="s">
        <v>8914</v>
      </c>
      <c r="J453" t="s">
        <v>8915</v>
      </c>
      <c r="K453" t="s">
        <v>74</v>
      </c>
      <c r="L453" t="s">
        <v>74</v>
      </c>
      <c r="M453" t="s">
        <v>78</v>
      </c>
      <c r="N453" t="s">
        <v>79</v>
      </c>
      <c r="O453" t="s">
        <v>74</v>
      </c>
      <c r="P453" t="s">
        <v>74</v>
      </c>
      <c r="Q453" t="s">
        <v>74</v>
      </c>
      <c r="R453" t="s">
        <v>74</v>
      </c>
      <c r="S453" t="s">
        <v>74</v>
      </c>
      <c r="T453" t="s">
        <v>8916</v>
      </c>
      <c r="U453" t="s">
        <v>8917</v>
      </c>
      <c r="V453" t="s">
        <v>8918</v>
      </c>
      <c r="W453" t="s">
        <v>8919</v>
      </c>
      <c r="X453" t="s">
        <v>8920</v>
      </c>
      <c r="Y453" t="s">
        <v>8921</v>
      </c>
      <c r="Z453" t="s">
        <v>8922</v>
      </c>
      <c r="AA453" t="s">
        <v>8923</v>
      </c>
      <c r="AB453" t="s">
        <v>8924</v>
      </c>
      <c r="AC453" t="s">
        <v>8925</v>
      </c>
      <c r="AD453" t="s">
        <v>8926</v>
      </c>
      <c r="AE453" t="s">
        <v>8927</v>
      </c>
      <c r="AF453" t="s">
        <v>74</v>
      </c>
      <c r="AG453">
        <v>36</v>
      </c>
      <c r="AH453">
        <v>6</v>
      </c>
      <c r="AI453">
        <v>6</v>
      </c>
      <c r="AJ453">
        <v>1</v>
      </c>
      <c r="AK453">
        <v>8</v>
      </c>
      <c r="AL453" t="s">
        <v>8928</v>
      </c>
      <c r="AM453" t="s">
        <v>4659</v>
      </c>
      <c r="AN453" t="s">
        <v>8929</v>
      </c>
      <c r="AO453" t="s">
        <v>8930</v>
      </c>
      <c r="AP453" t="s">
        <v>8931</v>
      </c>
      <c r="AQ453" t="s">
        <v>74</v>
      </c>
      <c r="AR453" t="s">
        <v>8932</v>
      </c>
      <c r="AS453" t="s">
        <v>8933</v>
      </c>
      <c r="AT453" t="s">
        <v>803</v>
      </c>
      <c r="AU453">
        <v>2020</v>
      </c>
      <c r="AV453">
        <v>30</v>
      </c>
      <c r="AW453">
        <v>2</v>
      </c>
      <c r="AX453" t="s">
        <v>74</v>
      </c>
      <c r="AY453" t="s">
        <v>74</v>
      </c>
      <c r="AZ453" t="s">
        <v>74</v>
      </c>
      <c r="BA453" t="s">
        <v>74</v>
      </c>
      <c r="BB453">
        <v>237</v>
      </c>
      <c r="BC453">
        <v>243</v>
      </c>
      <c r="BD453" t="s">
        <v>74</v>
      </c>
      <c r="BE453" t="s">
        <v>8934</v>
      </c>
      <c r="BF453" t="str">
        <f>HYPERLINK("http://dx.doi.org/10.4014/jmb.1909.09008","http://dx.doi.org/10.4014/jmb.1909.09008")</f>
        <v>http://dx.doi.org/10.4014/jmb.1909.09008</v>
      </c>
      <c r="BG453" t="s">
        <v>74</v>
      </c>
      <c r="BH453" t="s">
        <v>74</v>
      </c>
      <c r="BI453">
        <v>7</v>
      </c>
      <c r="BJ453" t="s">
        <v>8935</v>
      </c>
      <c r="BK453" t="s">
        <v>103</v>
      </c>
      <c r="BL453" t="s">
        <v>8935</v>
      </c>
      <c r="BM453" t="s">
        <v>8936</v>
      </c>
      <c r="BN453">
        <v>31838800</v>
      </c>
      <c r="BO453" t="s">
        <v>2821</v>
      </c>
      <c r="BP453" t="s">
        <v>74</v>
      </c>
      <c r="BQ453" t="s">
        <v>74</v>
      </c>
      <c r="BR453" t="s">
        <v>106</v>
      </c>
      <c r="BS453" t="s">
        <v>8937</v>
      </c>
      <c r="BT453" t="str">
        <f>HYPERLINK("https%3A%2F%2Fwww.webofscience.com%2Fwos%2Fwoscc%2Ffull-record%2FWOS:000517886700010","View Full Record in Web of Science")</f>
        <v>View Full Record in Web of Science</v>
      </c>
    </row>
    <row r="454" spans="1:72" x14ac:dyDescent="0.15">
      <c r="A454" t="s">
        <v>72</v>
      </c>
      <c r="B454" t="s">
        <v>8938</v>
      </c>
      <c r="C454" t="s">
        <v>74</v>
      </c>
      <c r="D454" t="s">
        <v>74</v>
      </c>
      <c r="E454" t="s">
        <v>74</v>
      </c>
      <c r="F454" t="s">
        <v>8939</v>
      </c>
      <c r="G454" t="s">
        <v>74</v>
      </c>
      <c r="H454" t="s">
        <v>74</v>
      </c>
      <c r="I454" t="s">
        <v>8940</v>
      </c>
      <c r="J454" t="s">
        <v>8941</v>
      </c>
      <c r="K454" t="s">
        <v>74</v>
      </c>
      <c r="L454" t="s">
        <v>74</v>
      </c>
      <c r="M454" t="s">
        <v>78</v>
      </c>
      <c r="N454" t="s">
        <v>79</v>
      </c>
      <c r="O454" t="s">
        <v>74</v>
      </c>
      <c r="P454" t="s">
        <v>74</v>
      </c>
      <c r="Q454" t="s">
        <v>74</v>
      </c>
      <c r="R454" t="s">
        <v>74</v>
      </c>
      <c r="S454" t="s">
        <v>74</v>
      </c>
      <c r="T454" t="s">
        <v>74</v>
      </c>
      <c r="U454" t="s">
        <v>8942</v>
      </c>
      <c r="V454" t="s">
        <v>8943</v>
      </c>
      <c r="W454" t="s">
        <v>8944</v>
      </c>
      <c r="X454" t="s">
        <v>8945</v>
      </c>
      <c r="Y454" t="s">
        <v>8946</v>
      </c>
      <c r="Z454" t="s">
        <v>8947</v>
      </c>
      <c r="AA454" t="s">
        <v>74</v>
      </c>
      <c r="AB454" t="s">
        <v>8948</v>
      </c>
      <c r="AC454" t="s">
        <v>8949</v>
      </c>
      <c r="AD454" t="s">
        <v>8950</v>
      </c>
      <c r="AE454" t="s">
        <v>8951</v>
      </c>
      <c r="AF454" t="s">
        <v>74</v>
      </c>
      <c r="AG454">
        <v>60</v>
      </c>
      <c r="AH454">
        <v>2</v>
      </c>
      <c r="AI454">
        <v>2</v>
      </c>
      <c r="AJ454">
        <v>2</v>
      </c>
      <c r="AK454">
        <v>14</v>
      </c>
      <c r="AL454" t="s">
        <v>8952</v>
      </c>
      <c r="AM454" t="s">
        <v>4254</v>
      </c>
      <c r="AN454" t="s">
        <v>8953</v>
      </c>
      <c r="AO454" t="s">
        <v>8954</v>
      </c>
      <c r="AP454" t="s">
        <v>8955</v>
      </c>
      <c r="AQ454" t="s">
        <v>74</v>
      </c>
      <c r="AR454" t="s">
        <v>8956</v>
      </c>
      <c r="AS454" t="s">
        <v>8957</v>
      </c>
      <c r="AT454" t="s">
        <v>803</v>
      </c>
      <c r="AU454">
        <v>2020</v>
      </c>
      <c r="AV454">
        <v>147</v>
      </c>
      <c r="AW454">
        <v>2</v>
      </c>
      <c r="AX454" t="s">
        <v>74</v>
      </c>
      <c r="AY454" t="s">
        <v>74</v>
      </c>
      <c r="AZ454" t="s">
        <v>74</v>
      </c>
      <c r="BA454" t="s">
        <v>74</v>
      </c>
      <c r="BB454">
        <v>824</v>
      </c>
      <c r="BC454">
        <v>838</v>
      </c>
      <c r="BD454" t="s">
        <v>74</v>
      </c>
      <c r="BE454" t="s">
        <v>8958</v>
      </c>
      <c r="BF454" t="str">
        <f>HYPERLINK("http://dx.doi.org/10.1121/10.0000619","http://dx.doi.org/10.1121/10.0000619")</f>
        <v>http://dx.doi.org/10.1121/10.0000619</v>
      </c>
      <c r="BG454" t="s">
        <v>74</v>
      </c>
      <c r="BH454" t="s">
        <v>74</v>
      </c>
      <c r="BI454">
        <v>15</v>
      </c>
      <c r="BJ454" t="s">
        <v>8959</v>
      </c>
      <c r="BK454" t="s">
        <v>103</v>
      </c>
      <c r="BL454" t="s">
        <v>8959</v>
      </c>
      <c r="BM454" t="s">
        <v>8960</v>
      </c>
      <c r="BN454">
        <v>32113313</v>
      </c>
      <c r="BO454" t="s">
        <v>193</v>
      </c>
      <c r="BP454" t="s">
        <v>74</v>
      </c>
      <c r="BQ454" t="s">
        <v>74</v>
      </c>
      <c r="BR454" t="s">
        <v>106</v>
      </c>
      <c r="BS454" t="s">
        <v>8961</v>
      </c>
      <c r="BT454" t="str">
        <f>HYPERLINK("https%3A%2F%2Fwww.webofscience.com%2Fwos%2Fwoscc%2Ffull-record%2FWOS:000518038400003","View Full Record in Web of Science")</f>
        <v>View Full Record in Web of Science</v>
      </c>
    </row>
    <row r="455" spans="1:72" x14ac:dyDescent="0.15">
      <c r="A455" t="s">
        <v>72</v>
      </c>
      <c r="B455" t="s">
        <v>8962</v>
      </c>
      <c r="C455" t="s">
        <v>74</v>
      </c>
      <c r="D455" t="s">
        <v>74</v>
      </c>
      <c r="E455" t="s">
        <v>74</v>
      </c>
      <c r="F455" t="s">
        <v>8963</v>
      </c>
      <c r="G455" t="s">
        <v>74</v>
      </c>
      <c r="H455" t="s">
        <v>74</v>
      </c>
      <c r="I455" t="s">
        <v>8964</v>
      </c>
      <c r="J455" t="s">
        <v>8965</v>
      </c>
      <c r="K455" t="s">
        <v>74</v>
      </c>
      <c r="L455" t="s">
        <v>74</v>
      </c>
      <c r="M455" t="s">
        <v>78</v>
      </c>
      <c r="N455" t="s">
        <v>79</v>
      </c>
      <c r="O455" t="s">
        <v>74</v>
      </c>
      <c r="P455" t="s">
        <v>74</v>
      </c>
      <c r="Q455" t="s">
        <v>74</v>
      </c>
      <c r="R455" t="s">
        <v>74</v>
      </c>
      <c r="S455" t="s">
        <v>74</v>
      </c>
      <c r="T455" t="s">
        <v>8966</v>
      </c>
      <c r="U455" t="s">
        <v>8967</v>
      </c>
      <c r="V455" t="s">
        <v>8968</v>
      </c>
      <c r="W455" t="s">
        <v>8969</v>
      </c>
      <c r="X455" t="s">
        <v>8970</v>
      </c>
      <c r="Y455" t="s">
        <v>8971</v>
      </c>
      <c r="Z455" t="s">
        <v>8972</v>
      </c>
      <c r="AA455" t="s">
        <v>8973</v>
      </c>
      <c r="AB455" t="s">
        <v>8974</v>
      </c>
      <c r="AC455" t="s">
        <v>8975</v>
      </c>
      <c r="AD455" t="s">
        <v>8976</v>
      </c>
      <c r="AE455" t="s">
        <v>8977</v>
      </c>
      <c r="AF455" t="s">
        <v>74</v>
      </c>
      <c r="AG455">
        <v>57</v>
      </c>
      <c r="AH455">
        <v>2</v>
      </c>
      <c r="AI455">
        <v>2</v>
      </c>
      <c r="AJ455">
        <v>1</v>
      </c>
      <c r="AK455">
        <v>13</v>
      </c>
      <c r="AL455" t="s">
        <v>289</v>
      </c>
      <c r="AM455" t="s">
        <v>290</v>
      </c>
      <c r="AN455" t="s">
        <v>4862</v>
      </c>
      <c r="AO455" t="s">
        <v>8978</v>
      </c>
      <c r="AP455" t="s">
        <v>8979</v>
      </c>
      <c r="AQ455" t="s">
        <v>74</v>
      </c>
      <c r="AR455" t="s">
        <v>8980</v>
      </c>
      <c r="AS455" t="s">
        <v>8981</v>
      </c>
      <c r="AT455" t="s">
        <v>8137</v>
      </c>
      <c r="AU455">
        <v>2020</v>
      </c>
      <c r="AV455">
        <v>144</v>
      </c>
      <c r="AW455" t="s">
        <v>74</v>
      </c>
      <c r="AX455" t="s">
        <v>74</v>
      </c>
      <c r="AY455" t="s">
        <v>74</v>
      </c>
      <c r="AZ455" t="s">
        <v>74</v>
      </c>
      <c r="BA455" t="s">
        <v>74</v>
      </c>
      <c r="BB455">
        <v>231</v>
      </c>
      <c r="BC455">
        <v>241</v>
      </c>
      <c r="BD455" t="s">
        <v>74</v>
      </c>
      <c r="BE455" t="s">
        <v>8982</v>
      </c>
      <c r="BF455" t="str">
        <f>HYPERLINK("http://dx.doi.org/10.1016/j.ijbiomac.2019.12.099","http://dx.doi.org/10.1016/j.ijbiomac.2019.12.099")</f>
        <v>http://dx.doi.org/10.1016/j.ijbiomac.2019.12.099</v>
      </c>
      <c r="BG455" t="s">
        <v>74</v>
      </c>
      <c r="BH455" t="s">
        <v>74</v>
      </c>
      <c r="BI455">
        <v>11</v>
      </c>
      <c r="BJ455" t="s">
        <v>8983</v>
      </c>
      <c r="BK455" t="s">
        <v>103</v>
      </c>
      <c r="BL455" t="s">
        <v>8984</v>
      </c>
      <c r="BM455" t="s">
        <v>8985</v>
      </c>
      <c r="BN455">
        <v>31843615</v>
      </c>
      <c r="BO455" t="s">
        <v>74</v>
      </c>
      <c r="BP455" t="s">
        <v>74</v>
      </c>
      <c r="BQ455" t="s">
        <v>74</v>
      </c>
      <c r="BR455" t="s">
        <v>106</v>
      </c>
      <c r="BS455" t="s">
        <v>8986</v>
      </c>
      <c r="BT455" t="str">
        <f>HYPERLINK("https%3A%2F%2Fwww.webofscience.com%2Fwos%2Fwoscc%2Ffull-record%2FWOS:000515200700025","View Full Record in Web of Science")</f>
        <v>View Full Record in Web of Science</v>
      </c>
    </row>
    <row r="456" spans="1:72" x14ac:dyDescent="0.15">
      <c r="A456" t="s">
        <v>72</v>
      </c>
      <c r="B456" t="s">
        <v>8987</v>
      </c>
      <c r="C456" t="s">
        <v>74</v>
      </c>
      <c r="D456" t="s">
        <v>74</v>
      </c>
      <c r="E456" t="s">
        <v>74</v>
      </c>
      <c r="F456" t="s">
        <v>8988</v>
      </c>
      <c r="G456" t="s">
        <v>74</v>
      </c>
      <c r="H456" t="s">
        <v>74</v>
      </c>
      <c r="I456" t="s">
        <v>8989</v>
      </c>
      <c r="J456" t="s">
        <v>3198</v>
      </c>
      <c r="K456" t="s">
        <v>74</v>
      </c>
      <c r="L456" t="s">
        <v>74</v>
      </c>
      <c r="M456" t="s">
        <v>78</v>
      </c>
      <c r="N456" t="s">
        <v>79</v>
      </c>
      <c r="O456" t="s">
        <v>74</v>
      </c>
      <c r="P456" t="s">
        <v>74</v>
      </c>
      <c r="Q456" t="s">
        <v>74</v>
      </c>
      <c r="R456" t="s">
        <v>74</v>
      </c>
      <c r="S456" t="s">
        <v>74</v>
      </c>
      <c r="T456" t="s">
        <v>8990</v>
      </c>
      <c r="U456" t="s">
        <v>8991</v>
      </c>
      <c r="V456" t="s">
        <v>8992</v>
      </c>
      <c r="W456" t="s">
        <v>8993</v>
      </c>
      <c r="X456" t="s">
        <v>7380</v>
      </c>
      <c r="Y456" t="s">
        <v>7381</v>
      </c>
      <c r="Z456" t="s">
        <v>7382</v>
      </c>
      <c r="AA456" t="s">
        <v>8994</v>
      </c>
      <c r="AB456" t="s">
        <v>8995</v>
      </c>
      <c r="AC456" t="s">
        <v>8996</v>
      </c>
      <c r="AD456" t="s">
        <v>8997</v>
      </c>
      <c r="AE456" t="s">
        <v>8998</v>
      </c>
      <c r="AF456" t="s">
        <v>74</v>
      </c>
      <c r="AG456">
        <v>60</v>
      </c>
      <c r="AH456">
        <v>10</v>
      </c>
      <c r="AI456">
        <v>14</v>
      </c>
      <c r="AJ456">
        <v>7</v>
      </c>
      <c r="AK456">
        <v>59</v>
      </c>
      <c r="AL456" t="s">
        <v>434</v>
      </c>
      <c r="AM456" t="s">
        <v>435</v>
      </c>
      <c r="AN456" t="s">
        <v>436</v>
      </c>
      <c r="AO456" t="s">
        <v>3210</v>
      </c>
      <c r="AP456" t="s">
        <v>3211</v>
      </c>
      <c r="AQ456" t="s">
        <v>74</v>
      </c>
      <c r="AR456" t="s">
        <v>3212</v>
      </c>
      <c r="AS456" t="s">
        <v>3213</v>
      </c>
      <c r="AT456" t="s">
        <v>803</v>
      </c>
      <c r="AU456">
        <v>2020</v>
      </c>
      <c r="AV456">
        <v>151</v>
      </c>
      <c r="AW456" t="s">
        <v>74</v>
      </c>
      <c r="AX456" t="s">
        <v>74</v>
      </c>
      <c r="AY456" t="s">
        <v>74</v>
      </c>
      <c r="AZ456" t="s">
        <v>74</v>
      </c>
      <c r="BA456" t="s">
        <v>74</v>
      </c>
      <c r="BB456" t="s">
        <v>74</v>
      </c>
      <c r="BC456" t="s">
        <v>74</v>
      </c>
      <c r="BD456">
        <v>110807</v>
      </c>
      <c r="BE456" t="s">
        <v>8999</v>
      </c>
      <c r="BF456" t="str">
        <f>HYPERLINK("http://dx.doi.org/10.1016/j.marpolbul.2019.110807","http://dx.doi.org/10.1016/j.marpolbul.2019.110807")</f>
        <v>http://dx.doi.org/10.1016/j.marpolbul.2019.110807</v>
      </c>
      <c r="BG456" t="s">
        <v>74</v>
      </c>
      <c r="BH456" t="s">
        <v>74</v>
      </c>
      <c r="BI456">
        <v>8</v>
      </c>
      <c r="BJ456" t="s">
        <v>1356</v>
      </c>
      <c r="BK456" t="s">
        <v>103</v>
      </c>
      <c r="BL456" t="s">
        <v>1357</v>
      </c>
      <c r="BM456" t="s">
        <v>9000</v>
      </c>
      <c r="BN456">
        <v>32056601</v>
      </c>
      <c r="BO456" t="s">
        <v>74</v>
      </c>
      <c r="BP456" t="s">
        <v>74</v>
      </c>
      <c r="BQ456" t="s">
        <v>74</v>
      </c>
      <c r="BR456" t="s">
        <v>106</v>
      </c>
      <c r="BS456" t="s">
        <v>9001</v>
      </c>
      <c r="BT456" t="str">
        <f>HYPERLINK("https%3A%2F%2Fwww.webofscience.com%2Fwos%2Fwoscc%2Ffull-record%2FWOS:000514758400067","View Full Record in Web of Science")</f>
        <v>View Full Record in Web of Science</v>
      </c>
    </row>
    <row r="457" spans="1:72" x14ac:dyDescent="0.15">
      <c r="A457" t="s">
        <v>72</v>
      </c>
      <c r="B457" t="s">
        <v>9002</v>
      </c>
      <c r="C457" t="s">
        <v>74</v>
      </c>
      <c r="D457" t="s">
        <v>74</v>
      </c>
      <c r="E457" t="s">
        <v>74</v>
      </c>
      <c r="F457" t="s">
        <v>9003</v>
      </c>
      <c r="G457" t="s">
        <v>74</v>
      </c>
      <c r="H457" t="s">
        <v>74</v>
      </c>
      <c r="I457" t="s">
        <v>9004</v>
      </c>
      <c r="J457" t="s">
        <v>3198</v>
      </c>
      <c r="K457" t="s">
        <v>74</v>
      </c>
      <c r="L457" t="s">
        <v>74</v>
      </c>
      <c r="M457" t="s">
        <v>78</v>
      </c>
      <c r="N457" t="s">
        <v>79</v>
      </c>
      <c r="O457" t="s">
        <v>74</v>
      </c>
      <c r="P457" t="s">
        <v>74</v>
      </c>
      <c r="Q457" t="s">
        <v>74</v>
      </c>
      <c r="R457" t="s">
        <v>74</v>
      </c>
      <c r="S457" t="s">
        <v>74</v>
      </c>
      <c r="T457" t="s">
        <v>9005</v>
      </c>
      <c r="U457" t="s">
        <v>9006</v>
      </c>
      <c r="V457" t="s">
        <v>9007</v>
      </c>
      <c r="W457" t="s">
        <v>9008</v>
      </c>
      <c r="X457" t="s">
        <v>9009</v>
      </c>
      <c r="Y457" t="s">
        <v>9010</v>
      </c>
      <c r="Z457" t="s">
        <v>9011</v>
      </c>
      <c r="AA457" t="s">
        <v>9012</v>
      </c>
      <c r="AB457" t="s">
        <v>9013</v>
      </c>
      <c r="AC457" t="s">
        <v>74</v>
      </c>
      <c r="AD457" t="s">
        <v>74</v>
      </c>
      <c r="AE457" t="s">
        <v>74</v>
      </c>
      <c r="AF457" t="s">
        <v>74</v>
      </c>
      <c r="AG457">
        <v>65</v>
      </c>
      <c r="AH457">
        <v>3</v>
      </c>
      <c r="AI457">
        <v>3</v>
      </c>
      <c r="AJ457">
        <v>0</v>
      </c>
      <c r="AK457">
        <v>17</v>
      </c>
      <c r="AL457" t="s">
        <v>434</v>
      </c>
      <c r="AM457" t="s">
        <v>435</v>
      </c>
      <c r="AN457" t="s">
        <v>436</v>
      </c>
      <c r="AO457" t="s">
        <v>3210</v>
      </c>
      <c r="AP457" t="s">
        <v>3211</v>
      </c>
      <c r="AQ457" t="s">
        <v>74</v>
      </c>
      <c r="AR457" t="s">
        <v>3212</v>
      </c>
      <c r="AS457" t="s">
        <v>3213</v>
      </c>
      <c r="AT457" t="s">
        <v>803</v>
      </c>
      <c r="AU457">
        <v>2020</v>
      </c>
      <c r="AV457">
        <v>151</v>
      </c>
      <c r="AW457" t="s">
        <v>74</v>
      </c>
      <c r="AX457" t="s">
        <v>74</v>
      </c>
      <c r="AY457" t="s">
        <v>74</v>
      </c>
      <c r="AZ457" t="s">
        <v>74</v>
      </c>
      <c r="BA457" t="s">
        <v>74</v>
      </c>
      <c r="BB457" t="s">
        <v>74</v>
      </c>
      <c r="BC457" t="s">
        <v>74</v>
      </c>
      <c r="BD457">
        <v>110876</v>
      </c>
      <c r="BE457" t="s">
        <v>9014</v>
      </c>
      <c r="BF457" t="str">
        <f>HYPERLINK("http://dx.doi.org/10.1016/j.marpolbul.2019.110876","http://dx.doi.org/10.1016/j.marpolbul.2019.110876")</f>
        <v>http://dx.doi.org/10.1016/j.marpolbul.2019.110876</v>
      </c>
      <c r="BG457" t="s">
        <v>74</v>
      </c>
      <c r="BH457" t="s">
        <v>74</v>
      </c>
      <c r="BI457">
        <v>6</v>
      </c>
      <c r="BJ457" t="s">
        <v>1356</v>
      </c>
      <c r="BK457" t="s">
        <v>103</v>
      </c>
      <c r="BL457" t="s">
        <v>1357</v>
      </c>
      <c r="BM457" t="s">
        <v>9000</v>
      </c>
      <c r="BN457">
        <v>32056652</v>
      </c>
      <c r="BO457" t="s">
        <v>298</v>
      </c>
      <c r="BP457" t="s">
        <v>74</v>
      </c>
      <c r="BQ457" t="s">
        <v>74</v>
      </c>
      <c r="BR457" t="s">
        <v>106</v>
      </c>
      <c r="BS457" t="s">
        <v>9015</v>
      </c>
      <c r="BT457" t="str">
        <f>HYPERLINK("https%3A%2F%2Fwww.webofscience.com%2Fwos%2Fwoscc%2Ffull-record%2FWOS:000514758400084","View Full Record in Web of Science")</f>
        <v>View Full Record in Web of Science</v>
      </c>
    </row>
    <row r="458" spans="1:72" x14ac:dyDescent="0.15">
      <c r="A458" t="s">
        <v>72</v>
      </c>
      <c r="B458" t="s">
        <v>9016</v>
      </c>
      <c r="C458" t="s">
        <v>74</v>
      </c>
      <c r="D458" t="s">
        <v>74</v>
      </c>
      <c r="E458" t="s">
        <v>74</v>
      </c>
      <c r="F458" t="s">
        <v>9017</v>
      </c>
      <c r="G458" t="s">
        <v>74</v>
      </c>
      <c r="H458" t="s">
        <v>74</v>
      </c>
      <c r="I458" t="s">
        <v>9018</v>
      </c>
      <c r="J458" t="s">
        <v>9019</v>
      </c>
      <c r="K458" t="s">
        <v>74</v>
      </c>
      <c r="L458" t="s">
        <v>74</v>
      </c>
      <c r="M458" t="s">
        <v>78</v>
      </c>
      <c r="N458" t="s">
        <v>79</v>
      </c>
      <c r="O458" t="s">
        <v>74</v>
      </c>
      <c r="P458" t="s">
        <v>74</v>
      </c>
      <c r="Q458" t="s">
        <v>74</v>
      </c>
      <c r="R458" t="s">
        <v>74</v>
      </c>
      <c r="S458" t="s">
        <v>74</v>
      </c>
      <c r="T458" t="s">
        <v>9020</v>
      </c>
      <c r="U458" t="s">
        <v>9021</v>
      </c>
      <c r="V458" t="s">
        <v>9022</v>
      </c>
      <c r="W458" t="s">
        <v>9023</v>
      </c>
      <c r="X458" t="s">
        <v>9024</v>
      </c>
      <c r="Y458" t="s">
        <v>9025</v>
      </c>
      <c r="Z458" t="s">
        <v>9026</v>
      </c>
      <c r="AA458" t="s">
        <v>9027</v>
      </c>
      <c r="AB458" t="s">
        <v>9028</v>
      </c>
      <c r="AC458" t="s">
        <v>74</v>
      </c>
      <c r="AD458" t="s">
        <v>74</v>
      </c>
      <c r="AE458" t="s">
        <v>74</v>
      </c>
      <c r="AF458" t="s">
        <v>74</v>
      </c>
      <c r="AG458">
        <v>23</v>
      </c>
      <c r="AH458">
        <v>7</v>
      </c>
      <c r="AI458">
        <v>7</v>
      </c>
      <c r="AJ458">
        <v>4</v>
      </c>
      <c r="AK458">
        <v>15</v>
      </c>
      <c r="AL458" t="s">
        <v>121</v>
      </c>
      <c r="AM458" t="s">
        <v>122</v>
      </c>
      <c r="AN458" t="s">
        <v>123</v>
      </c>
      <c r="AO458" t="s">
        <v>9029</v>
      </c>
      <c r="AP458" t="s">
        <v>9030</v>
      </c>
      <c r="AQ458" t="s">
        <v>74</v>
      </c>
      <c r="AR458" t="s">
        <v>9019</v>
      </c>
      <c r="AS458" t="s">
        <v>9031</v>
      </c>
      <c r="AT458" t="s">
        <v>803</v>
      </c>
      <c r="AU458">
        <v>2020</v>
      </c>
      <c r="AV458">
        <v>158</v>
      </c>
      <c r="AW458" t="s">
        <v>4623</v>
      </c>
      <c r="AX458" t="s">
        <v>74</v>
      </c>
      <c r="AY458" t="s">
        <v>74</v>
      </c>
      <c r="AZ458" t="s">
        <v>74</v>
      </c>
      <c r="BA458" t="s">
        <v>74</v>
      </c>
      <c r="BB458">
        <v>517</v>
      </c>
      <c r="BC458">
        <v>530</v>
      </c>
      <c r="BD458" t="s">
        <v>74</v>
      </c>
      <c r="BE458" t="s">
        <v>9032</v>
      </c>
      <c r="BF458" t="str">
        <f>HYPERLINK("http://dx.doi.org/10.1007/s10584-019-02587-3","http://dx.doi.org/10.1007/s10584-019-02587-3")</f>
        <v>http://dx.doi.org/10.1007/s10584-019-02587-3</v>
      </c>
      <c r="BG458" t="s">
        <v>74</v>
      </c>
      <c r="BH458" t="s">
        <v>74</v>
      </c>
      <c r="BI458">
        <v>14</v>
      </c>
      <c r="BJ458" t="s">
        <v>984</v>
      </c>
      <c r="BK458" t="s">
        <v>103</v>
      </c>
      <c r="BL458" t="s">
        <v>985</v>
      </c>
      <c r="BM458" t="s">
        <v>9033</v>
      </c>
      <c r="BN458" t="s">
        <v>74</v>
      </c>
      <c r="BO458" t="s">
        <v>74</v>
      </c>
      <c r="BP458" t="s">
        <v>74</v>
      </c>
      <c r="BQ458" t="s">
        <v>74</v>
      </c>
      <c r="BR458" t="s">
        <v>106</v>
      </c>
      <c r="BS458" t="s">
        <v>9034</v>
      </c>
      <c r="BT458" t="str">
        <f>HYPERLINK("https%3A%2F%2Fwww.webofscience.com%2Fwos%2Fwoscc%2Ffull-record%2FWOS:000514535000015","View Full Record in Web of Science")</f>
        <v>View Full Record in Web of Science</v>
      </c>
    </row>
    <row r="459" spans="1:72" x14ac:dyDescent="0.15">
      <c r="A459" t="s">
        <v>72</v>
      </c>
      <c r="B459" t="s">
        <v>9035</v>
      </c>
      <c r="C459" t="s">
        <v>74</v>
      </c>
      <c r="D459" t="s">
        <v>74</v>
      </c>
      <c r="E459" t="s">
        <v>74</v>
      </c>
      <c r="F459" t="s">
        <v>9036</v>
      </c>
      <c r="G459" t="s">
        <v>74</v>
      </c>
      <c r="H459" t="s">
        <v>74</v>
      </c>
      <c r="I459" t="s">
        <v>9037</v>
      </c>
      <c r="J459" t="s">
        <v>9038</v>
      </c>
      <c r="K459" t="s">
        <v>74</v>
      </c>
      <c r="L459" t="s">
        <v>74</v>
      </c>
      <c r="M459" t="s">
        <v>78</v>
      </c>
      <c r="N459" t="s">
        <v>79</v>
      </c>
      <c r="O459" t="s">
        <v>74</v>
      </c>
      <c r="P459" t="s">
        <v>74</v>
      </c>
      <c r="Q459" t="s">
        <v>74</v>
      </c>
      <c r="R459" t="s">
        <v>74</v>
      </c>
      <c r="S459" t="s">
        <v>74</v>
      </c>
      <c r="T459" t="s">
        <v>9039</v>
      </c>
      <c r="U459" t="s">
        <v>9040</v>
      </c>
      <c r="V459" t="s">
        <v>9041</v>
      </c>
      <c r="W459" t="s">
        <v>9042</v>
      </c>
      <c r="X459" t="s">
        <v>9043</v>
      </c>
      <c r="Y459" t="s">
        <v>9044</v>
      </c>
      <c r="Z459" t="s">
        <v>9045</v>
      </c>
      <c r="AA459" t="s">
        <v>74</v>
      </c>
      <c r="AB459" t="s">
        <v>9046</v>
      </c>
      <c r="AC459" t="s">
        <v>9047</v>
      </c>
      <c r="AD459" t="s">
        <v>9048</v>
      </c>
      <c r="AE459" t="s">
        <v>9049</v>
      </c>
      <c r="AF459" t="s">
        <v>74</v>
      </c>
      <c r="AG459">
        <v>75</v>
      </c>
      <c r="AH459">
        <v>6</v>
      </c>
      <c r="AI459">
        <v>7</v>
      </c>
      <c r="AJ459">
        <v>2</v>
      </c>
      <c r="AK459">
        <v>18</v>
      </c>
      <c r="AL459" t="s">
        <v>434</v>
      </c>
      <c r="AM459" t="s">
        <v>435</v>
      </c>
      <c r="AN459" t="s">
        <v>436</v>
      </c>
      <c r="AO459" t="s">
        <v>9050</v>
      </c>
      <c r="AP459" t="s">
        <v>9051</v>
      </c>
      <c r="AQ459" t="s">
        <v>74</v>
      </c>
      <c r="AR459" t="s">
        <v>9052</v>
      </c>
      <c r="AS459" t="s">
        <v>9053</v>
      </c>
      <c r="AT459" t="s">
        <v>803</v>
      </c>
      <c r="AU459">
        <v>2020</v>
      </c>
      <c r="AV459">
        <v>156</v>
      </c>
      <c r="AW459" t="s">
        <v>74</v>
      </c>
      <c r="AX459" t="s">
        <v>74</v>
      </c>
      <c r="AY459" t="s">
        <v>74</v>
      </c>
      <c r="AZ459" t="s">
        <v>74</v>
      </c>
      <c r="BA459" t="s">
        <v>74</v>
      </c>
      <c r="BB459" t="s">
        <v>74</v>
      </c>
      <c r="BC459" t="s">
        <v>74</v>
      </c>
      <c r="BD459">
        <v>103166</v>
      </c>
      <c r="BE459" t="s">
        <v>9054</v>
      </c>
      <c r="BF459" t="str">
        <f>HYPERLINK("http://dx.doi.org/10.1016/j.dsr.2019.103166","http://dx.doi.org/10.1016/j.dsr.2019.103166")</f>
        <v>http://dx.doi.org/10.1016/j.dsr.2019.103166</v>
      </c>
      <c r="BG459" t="s">
        <v>74</v>
      </c>
      <c r="BH459" t="s">
        <v>74</v>
      </c>
      <c r="BI459">
        <v>19</v>
      </c>
      <c r="BJ459" t="s">
        <v>639</v>
      </c>
      <c r="BK459" t="s">
        <v>103</v>
      </c>
      <c r="BL459" t="s">
        <v>639</v>
      </c>
      <c r="BM459" t="s">
        <v>9055</v>
      </c>
      <c r="BN459" t="s">
        <v>74</v>
      </c>
      <c r="BO459" t="s">
        <v>148</v>
      </c>
      <c r="BP459" t="s">
        <v>74</v>
      </c>
      <c r="BQ459" t="s">
        <v>74</v>
      </c>
      <c r="BR459" t="s">
        <v>106</v>
      </c>
      <c r="BS459" t="s">
        <v>9056</v>
      </c>
      <c r="BT459" t="str">
        <f>HYPERLINK("https%3A%2F%2Fwww.webofscience.com%2Fwos%2Fwoscc%2Ffull-record%2FWOS:000514247800003","View Full Record in Web of Science")</f>
        <v>View Full Record in Web of Science</v>
      </c>
    </row>
    <row r="460" spans="1:72" x14ac:dyDescent="0.15">
      <c r="A460" t="s">
        <v>72</v>
      </c>
      <c r="B460" t="s">
        <v>9057</v>
      </c>
      <c r="C460" t="s">
        <v>74</v>
      </c>
      <c r="D460" t="s">
        <v>74</v>
      </c>
      <c r="E460" t="s">
        <v>74</v>
      </c>
      <c r="F460" t="s">
        <v>9058</v>
      </c>
      <c r="G460" t="s">
        <v>74</v>
      </c>
      <c r="H460" t="s">
        <v>74</v>
      </c>
      <c r="I460" t="s">
        <v>9059</v>
      </c>
      <c r="J460" t="s">
        <v>5168</v>
      </c>
      <c r="K460" t="s">
        <v>74</v>
      </c>
      <c r="L460" t="s">
        <v>74</v>
      </c>
      <c r="M460" t="s">
        <v>78</v>
      </c>
      <c r="N460" t="s">
        <v>79</v>
      </c>
      <c r="O460" t="s">
        <v>74</v>
      </c>
      <c r="P460" t="s">
        <v>74</v>
      </c>
      <c r="Q460" t="s">
        <v>74</v>
      </c>
      <c r="R460" t="s">
        <v>74</v>
      </c>
      <c r="S460" t="s">
        <v>74</v>
      </c>
      <c r="T460" t="s">
        <v>9060</v>
      </c>
      <c r="U460" t="s">
        <v>9061</v>
      </c>
      <c r="V460" t="s">
        <v>9062</v>
      </c>
      <c r="W460" t="s">
        <v>9063</v>
      </c>
      <c r="X460" t="s">
        <v>9064</v>
      </c>
      <c r="Y460" t="s">
        <v>9065</v>
      </c>
      <c r="Z460" t="s">
        <v>9066</v>
      </c>
      <c r="AA460" t="s">
        <v>9067</v>
      </c>
      <c r="AB460" t="s">
        <v>9068</v>
      </c>
      <c r="AC460" t="s">
        <v>9069</v>
      </c>
      <c r="AD460" t="s">
        <v>9070</v>
      </c>
      <c r="AE460" t="s">
        <v>9071</v>
      </c>
      <c r="AF460" t="s">
        <v>74</v>
      </c>
      <c r="AG460">
        <v>78</v>
      </c>
      <c r="AH460">
        <v>44</v>
      </c>
      <c r="AI460">
        <v>45</v>
      </c>
      <c r="AJ460">
        <v>19</v>
      </c>
      <c r="AK460">
        <v>193</v>
      </c>
      <c r="AL460" t="s">
        <v>4959</v>
      </c>
      <c r="AM460" t="s">
        <v>435</v>
      </c>
      <c r="AN460" t="s">
        <v>4960</v>
      </c>
      <c r="AO460" t="s">
        <v>5179</v>
      </c>
      <c r="AP460" t="s">
        <v>5180</v>
      </c>
      <c r="AQ460" t="s">
        <v>74</v>
      </c>
      <c r="AR460" t="s">
        <v>5181</v>
      </c>
      <c r="AS460" t="s">
        <v>5182</v>
      </c>
      <c r="AT460" t="s">
        <v>803</v>
      </c>
      <c r="AU460">
        <v>2020</v>
      </c>
      <c r="AV460">
        <v>257</v>
      </c>
      <c r="AW460" t="s">
        <v>74</v>
      </c>
      <c r="AX460" t="s">
        <v>74</v>
      </c>
      <c r="AY460" t="s">
        <v>74</v>
      </c>
      <c r="AZ460" t="s">
        <v>74</v>
      </c>
      <c r="BA460" t="s">
        <v>74</v>
      </c>
      <c r="BB460" t="s">
        <v>74</v>
      </c>
      <c r="BC460" t="s">
        <v>74</v>
      </c>
      <c r="BD460">
        <v>113383</v>
      </c>
      <c r="BE460" t="s">
        <v>9072</v>
      </c>
      <c r="BF460" t="str">
        <f>HYPERLINK("http://dx.doi.org/10.1016/j.envpol.2019.113383","http://dx.doi.org/10.1016/j.envpol.2019.113383")</f>
        <v>http://dx.doi.org/10.1016/j.envpol.2019.113383</v>
      </c>
      <c r="BG460" t="s">
        <v>74</v>
      </c>
      <c r="BH460" t="s">
        <v>74</v>
      </c>
      <c r="BI460">
        <v>9</v>
      </c>
      <c r="BJ460" t="s">
        <v>1196</v>
      </c>
      <c r="BK460" t="s">
        <v>103</v>
      </c>
      <c r="BL460" t="s">
        <v>219</v>
      </c>
      <c r="BM460" t="s">
        <v>9073</v>
      </c>
      <c r="BN460">
        <v>31727419</v>
      </c>
      <c r="BO460" t="s">
        <v>74</v>
      </c>
      <c r="BP460" t="s">
        <v>74</v>
      </c>
      <c r="BQ460" t="s">
        <v>74</v>
      </c>
      <c r="BR460" t="s">
        <v>106</v>
      </c>
      <c r="BS460" t="s">
        <v>9074</v>
      </c>
      <c r="BT460" t="str">
        <f>HYPERLINK("https%3A%2F%2Fwww.webofscience.com%2Fwos%2Fwoscc%2Ffull-record%2FWOS:000514746800012","View Full Record in Web of Science")</f>
        <v>View Full Record in Web of Science</v>
      </c>
    </row>
    <row r="461" spans="1:72" x14ac:dyDescent="0.15">
      <c r="A461" t="s">
        <v>72</v>
      </c>
      <c r="B461" t="s">
        <v>9075</v>
      </c>
      <c r="C461" t="s">
        <v>74</v>
      </c>
      <c r="D461" t="s">
        <v>74</v>
      </c>
      <c r="E461" t="s">
        <v>74</v>
      </c>
      <c r="F461" t="s">
        <v>9076</v>
      </c>
      <c r="G461" t="s">
        <v>74</v>
      </c>
      <c r="H461" t="s">
        <v>74</v>
      </c>
      <c r="I461" t="s">
        <v>9077</v>
      </c>
      <c r="J461" t="s">
        <v>5168</v>
      </c>
      <c r="K461" t="s">
        <v>74</v>
      </c>
      <c r="L461" t="s">
        <v>74</v>
      </c>
      <c r="M461" t="s">
        <v>78</v>
      </c>
      <c r="N461" t="s">
        <v>79</v>
      </c>
      <c r="O461" t="s">
        <v>74</v>
      </c>
      <c r="P461" t="s">
        <v>74</v>
      </c>
      <c r="Q461" t="s">
        <v>74</v>
      </c>
      <c r="R461" t="s">
        <v>74</v>
      </c>
      <c r="S461" t="s">
        <v>74</v>
      </c>
      <c r="T461" t="s">
        <v>9078</v>
      </c>
      <c r="U461" t="s">
        <v>9079</v>
      </c>
      <c r="V461" t="s">
        <v>9080</v>
      </c>
      <c r="W461" t="s">
        <v>9081</v>
      </c>
      <c r="X461" t="s">
        <v>9082</v>
      </c>
      <c r="Y461" t="s">
        <v>9083</v>
      </c>
      <c r="Z461" t="s">
        <v>9084</v>
      </c>
      <c r="AA461" t="s">
        <v>9085</v>
      </c>
      <c r="AB461" t="s">
        <v>9086</v>
      </c>
      <c r="AC461" t="s">
        <v>9087</v>
      </c>
      <c r="AD461" t="s">
        <v>9088</v>
      </c>
      <c r="AE461" t="s">
        <v>9089</v>
      </c>
      <c r="AF461" t="s">
        <v>74</v>
      </c>
      <c r="AG461">
        <v>52</v>
      </c>
      <c r="AH461">
        <v>22</v>
      </c>
      <c r="AI461">
        <v>23</v>
      </c>
      <c r="AJ461">
        <v>3</v>
      </c>
      <c r="AK461">
        <v>67</v>
      </c>
      <c r="AL461" t="s">
        <v>4959</v>
      </c>
      <c r="AM461" t="s">
        <v>435</v>
      </c>
      <c r="AN461" t="s">
        <v>4960</v>
      </c>
      <c r="AO461" t="s">
        <v>5179</v>
      </c>
      <c r="AP461" t="s">
        <v>5180</v>
      </c>
      <c r="AQ461" t="s">
        <v>74</v>
      </c>
      <c r="AR461" t="s">
        <v>5181</v>
      </c>
      <c r="AS461" t="s">
        <v>5182</v>
      </c>
      <c r="AT461" t="s">
        <v>803</v>
      </c>
      <c r="AU461">
        <v>2020</v>
      </c>
      <c r="AV461">
        <v>257</v>
      </c>
      <c r="AW461" t="s">
        <v>74</v>
      </c>
      <c r="AX461" t="s">
        <v>74</v>
      </c>
      <c r="AY461" t="s">
        <v>74</v>
      </c>
      <c r="AZ461" t="s">
        <v>74</v>
      </c>
      <c r="BA461" t="s">
        <v>74</v>
      </c>
      <c r="BB461" t="s">
        <v>74</v>
      </c>
      <c r="BC461" t="s">
        <v>74</v>
      </c>
      <c r="BD461">
        <v>113552</v>
      </c>
      <c r="BE461" t="s">
        <v>9090</v>
      </c>
      <c r="BF461" t="str">
        <f>HYPERLINK("http://dx.doi.org/10.1016/j.envpol.2019.113552","http://dx.doi.org/10.1016/j.envpol.2019.113552")</f>
        <v>http://dx.doi.org/10.1016/j.envpol.2019.113552</v>
      </c>
      <c r="BG461" t="s">
        <v>74</v>
      </c>
      <c r="BH461" t="s">
        <v>74</v>
      </c>
      <c r="BI461">
        <v>9</v>
      </c>
      <c r="BJ461" t="s">
        <v>1196</v>
      </c>
      <c r="BK461" t="s">
        <v>103</v>
      </c>
      <c r="BL461" t="s">
        <v>219</v>
      </c>
      <c r="BM461" t="s">
        <v>9073</v>
      </c>
      <c r="BN461">
        <v>31771929</v>
      </c>
      <c r="BO461" t="s">
        <v>74</v>
      </c>
      <c r="BP461" t="s">
        <v>74</v>
      </c>
      <c r="BQ461" t="s">
        <v>74</v>
      </c>
      <c r="BR461" t="s">
        <v>106</v>
      </c>
      <c r="BS461" t="s">
        <v>9091</v>
      </c>
      <c r="BT461" t="str">
        <f>HYPERLINK("https%3A%2F%2Fwww.webofscience.com%2Fwos%2Fwoscc%2Ffull-record%2FWOS:000514746800060","View Full Record in Web of Science")</f>
        <v>View Full Record in Web of Science</v>
      </c>
    </row>
    <row r="462" spans="1:72" x14ac:dyDescent="0.15">
      <c r="A462" t="s">
        <v>72</v>
      </c>
      <c r="B462" t="s">
        <v>9092</v>
      </c>
      <c r="C462" t="s">
        <v>74</v>
      </c>
      <c r="D462" t="s">
        <v>74</v>
      </c>
      <c r="E462" t="s">
        <v>74</v>
      </c>
      <c r="F462" t="s">
        <v>9093</v>
      </c>
      <c r="G462" t="s">
        <v>74</v>
      </c>
      <c r="H462" t="s">
        <v>74</v>
      </c>
      <c r="I462" t="s">
        <v>9094</v>
      </c>
      <c r="J462" t="s">
        <v>9095</v>
      </c>
      <c r="K462" t="s">
        <v>74</v>
      </c>
      <c r="L462" t="s">
        <v>74</v>
      </c>
      <c r="M462" t="s">
        <v>78</v>
      </c>
      <c r="N462" t="s">
        <v>79</v>
      </c>
      <c r="O462" t="s">
        <v>74</v>
      </c>
      <c r="P462" t="s">
        <v>74</v>
      </c>
      <c r="Q462" t="s">
        <v>74</v>
      </c>
      <c r="R462" t="s">
        <v>74</v>
      </c>
      <c r="S462" t="s">
        <v>74</v>
      </c>
      <c r="T462" t="s">
        <v>9096</v>
      </c>
      <c r="U462" t="s">
        <v>74</v>
      </c>
      <c r="V462" t="s">
        <v>9097</v>
      </c>
      <c r="W462" t="s">
        <v>9098</v>
      </c>
      <c r="X462" t="s">
        <v>9099</v>
      </c>
      <c r="Y462" t="s">
        <v>9100</v>
      </c>
      <c r="Z462" t="s">
        <v>74</v>
      </c>
      <c r="AA462" t="s">
        <v>74</v>
      </c>
      <c r="AB462" t="s">
        <v>9101</v>
      </c>
      <c r="AC462" t="s">
        <v>74</v>
      </c>
      <c r="AD462" t="s">
        <v>74</v>
      </c>
      <c r="AE462" t="s">
        <v>74</v>
      </c>
      <c r="AF462" t="s">
        <v>74</v>
      </c>
      <c r="AG462">
        <v>85</v>
      </c>
      <c r="AH462">
        <v>3</v>
      </c>
      <c r="AI462">
        <v>3</v>
      </c>
      <c r="AJ462">
        <v>0</v>
      </c>
      <c r="AK462">
        <v>0</v>
      </c>
      <c r="AL462" t="s">
        <v>9102</v>
      </c>
      <c r="AM462" t="s">
        <v>9103</v>
      </c>
      <c r="AN462" t="s">
        <v>9104</v>
      </c>
      <c r="AO462" t="s">
        <v>9105</v>
      </c>
      <c r="AP462" t="s">
        <v>74</v>
      </c>
      <c r="AQ462" t="s">
        <v>74</v>
      </c>
      <c r="AR462" t="s">
        <v>9106</v>
      </c>
      <c r="AS462" t="s">
        <v>9107</v>
      </c>
      <c r="AT462" t="s">
        <v>803</v>
      </c>
      <c r="AU462">
        <v>2020</v>
      </c>
      <c r="AV462">
        <v>45</v>
      </c>
      <c r="AW462">
        <v>1</v>
      </c>
      <c r="AX462" t="s">
        <v>74</v>
      </c>
      <c r="AY462" t="s">
        <v>74</v>
      </c>
      <c r="AZ462" t="s">
        <v>74</v>
      </c>
      <c r="BA462" t="s">
        <v>74</v>
      </c>
      <c r="BB462">
        <v>113</v>
      </c>
      <c r="BC462">
        <v>127</v>
      </c>
      <c r="BD462" t="s">
        <v>74</v>
      </c>
      <c r="BE462" t="s">
        <v>74</v>
      </c>
      <c r="BF462" t="s">
        <v>74</v>
      </c>
      <c r="BG462" t="s">
        <v>74</v>
      </c>
      <c r="BH462" t="s">
        <v>74</v>
      </c>
      <c r="BI462">
        <v>15</v>
      </c>
      <c r="BJ462" t="s">
        <v>9108</v>
      </c>
      <c r="BK462" t="s">
        <v>3467</v>
      </c>
      <c r="BL462" t="s">
        <v>9109</v>
      </c>
      <c r="BM462" t="s">
        <v>9110</v>
      </c>
      <c r="BN462" t="s">
        <v>74</v>
      </c>
      <c r="BO462" t="s">
        <v>74</v>
      </c>
      <c r="BP462" t="s">
        <v>74</v>
      </c>
      <c r="BQ462" t="s">
        <v>74</v>
      </c>
      <c r="BR462" t="s">
        <v>106</v>
      </c>
      <c r="BS462" t="s">
        <v>9111</v>
      </c>
      <c r="BT462" t="str">
        <f>HYPERLINK("https%3A%2F%2Fwww.webofscience.com%2Fwos%2Fwoscc%2Ffull-record%2FWOS:000514110800007","View Full Record in Web of Science")</f>
        <v>View Full Record in Web of Science</v>
      </c>
    </row>
    <row r="463" spans="1:72" x14ac:dyDescent="0.15">
      <c r="A463" t="s">
        <v>72</v>
      </c>
      <c r="B463" t="s">
        <v>9112</v>
      </c>
      <c r="C463" t="s">
        <v>74</v>
      </c>
      <c r="D463" t="s">
        <v>74</v>
      </c>
      <c r="E463" t="s">
        <v>74</v>
      </c>
      <c r="F463" t="s">
        <v>9113</v>
      </c>
      <c r="G463" t="s">
        <v>74</v>
      </c>
      <c r="H463" t="s">
        <v>74</v>
      </c>
      <c r="I463" t="s">
        <v>9114</v>
      </c>
      <c r="J463" t="s">
        <v>9115</v>
      </c>
      <c r="K463" t="s">
        <v>74</v>
      </c>
      <c r="L463" t="s">
        <v>74</v>
      </c>
      <c r="M463" t="s">
        <v>78</v>
      </c>
      <c r="N463" t="s">
        <v>79</v>
      </c>
      <c r="O463" t="s">
        <v>74</v>
      </c>
      <c r="P463" t="s">
        <v>74</v>
      </c>
      <c r="Q463" t="s">
        <v>74</v>
      </c>
      <c r="R463" t="s">
        <v>74</v>
      </c>
      <c r="S463" t="s">
        <v>74</v>
      </c>
      <c r="T463" t="s">
        <v>9116</v>
      </c>
      <c r="U463" t="s">
        <v>9117</v>
      </c>
      <c r="V463" t="s">
        <v>9118</v>
      </c>
      <c r="W463" t="s">
        <v>9119</v>
      </c>
      <c r="X463" t="s">
        <v>9120</v>
      </c>
      <c r="Y463" t="s">
        <v>9121</v>
      </c>
      <c r="Z463" t="s">
        <v>9122</v>
      </c>
      <c r="AA463" t="s">
        <v>74</v>
      </c>
      <c r="AB463" t="s">
        <v>9123</v>
      </c>
      <c r="AC463" t="s">
        <v>9124</v>
      </c>
      <c r="AD463" t="s">
        <v>9125</v>
      </c>
      <c r="AE463" t="s">
        <v>9126</v>
      </c>
      <c r="AF463" t="s">
        <v>74</v>
      </c>
      <c r="AG463">
        <v>64</v>
      </c>
      <c r="AH463">
        <v>12</v>
      </c>
      <c r="AI463">
        <v>12</v>
      </c>
      <c r="AJ463">
        <v>0</v>
      </c>
      <c r="AK463">
        <v>21</v>
      </c>
      <c r="AL463" t="s">
        <v>4959</v>
      </c>
      <c r="AM463" t="s">
        <v>435</v>
      </c>
      <c r="AN463" t="s">
        <v>4960</v>
      </c>
      <c r="AO463" t="s">
        <v>9127</v>
      </c>
      <c r="AP463" t="s">
        <v>9128</v>
      </c>
      <c r="AQ463" t="s">
        <v>74</v>
      </c>
      <c r="AR463" t="s">
        <v>9129</v>
      </c>
      <c r="AS463" t="s">
        <v>9130</v>
      </c>
      <c r="AT463" t="s">
        <v>803</v>
      </c>
      <c r="AU463">
        <v>2020</v>
      </c>
      <c r="AV463">
        <v>154</v>
      </c>
      <c r="AW463" t="s">
        <v>74</v>
      </c>
      <c r="AX463" t="s">
        <v>74</v>
      </c>
      <c r="AY463" t="s">
        <v>74</v>
      </c>
      <c r="AZ463" t="s">
        <v>74</v>
      </c>
      <c r="BA463" t="s">
        <v>74</v>
      </c>
      <c r="BB463" t="s">
        <v>74</v>
      </c>
      <c r="BC463" t="s">
        <v>74</v>
      </c>
      <c r="BD463">
        <v>104847</v>
      </c>
      <c r="BE463" t="s">
        <v>9131</v>
      </c>
      <c r="BF463" t="str">
        <f>HYPERLINK("http://dx.doi.org/10.1016/j.marenvres.2019.104847","http://dx.doi.org/10.1016/j.marenvres.2019.104847")</f>
        <v>http://dx.doi.org/10.1016/j.marenvres.2019.104847</v>
      </c>
      <c r="BG463" t="s">
        <v>74</v>
      </c>
      <c r="BH463" t="s">
        <v>74</v>
      </c>
      <c r="BI463">
        <v>10</v>
      </c>
      <c r="BJ463" t="s">
        <v>9132</v>
      </c>
      <c r="BK463" t="s">
        <v>103</v>
      </c>
      <c r="BL463" t="s">
        <v>9133</v>
      </c>
      <c r="BM463" t="s">
        <v>9134</v>
      </c>
      <c r="BN463">
        <v>32056702</v>
      </c>
      <c r="BO463" t="s">
        <v>74</v>
      </c>
      <c r="BP463" t="s">
        <v>74</v>
      </c>
      <c r="BQ463" t="s">
        <v>74</v>
      </c>
      <c r="BR463" t="s">
        <v>106</v>
      </c>
      <c r="BS463" t="s">
        <v>9135</v>
      </c>
      <c r="BT463" t="str">
        <f>HYPERLINK("https%3A%2F%2Fwww.webofscience.com%2Fwos%2Fwoscc%2Ffull-record%2FWOS:000515214100011","View Full Record in Web of Science")</f>
        <v>View Full Record in Web of Science</v>
      </c>
    </row>
    <row r="464" spans="1:72" x14ac:dyDescent="0.15">
      <c r="A464" t="s">
        <v>72</v>
      </c>
      <c r="B464" t="s">
        <v>9136</v>
      </c>
      <c r="C464" t="s">
        <v>74</v>
      </c>
      <c r="D464" t="s">
        <v>74</v>
      </c>
      <c r="E464" t="s">
        <v>74</v>
      </c>
      <c r="F464" t="s">
        <v>9137</v>
      </c>
      <c r="G464" t="s">
        <v>74</v>
      </c>
      <c r="H464" t="s">
        <v>74</v>
      </c>
      <c r="I464" t="s">
        <v>9138</v>
      </c>
      <c r="J464" t="s">
        <v>4949</v>
      </c>
      <c r="K464" t="s">
        <v>74</v>
      </c>
      <c r="L464" t="s">
        <v>74</v>
      </c>
      <c r="M464" t="s">
        <v>78</v>
      </c>
      <c r="N464" t="s">
        <v>79</v>
      </c>
      <c r="O464" t="s">
        <v>74</v>
      </c>
      <c r="P464" t="s">
        <v>74</v>
      </c>
      <c r="Q464" t="s">
        <v>74</v>
      </c>
      <c r="R464" t="s">
        <v>74</v>
      </c>
      <c r="S464" t="s">
        <v>74</v>
      </c>
      <c r="T464" t="s">
        <v>9139</v>
      </c>
      <c r="U464" t="s">
        <v>9140</v>
      </c>
      <c r="V464" t="s">
        <v>9141</v>
      </c>
      <c r="W464" t="s">
        <v>9142</v>
      </c>
      <c r="X464" t="s">
        <v>9143</v>
      </c>
      <c r="Y464" t="s">
        <v>9144</v>
      </c>
      <c r="Z464" t="s">
        <v>9145</v>
      </c>
      <c r="AA464" t="s">
        <v>9146</v>
      </c>
      <c r="AB464" t="s">
        <v>9147</v>
      </c>
      <c r="AC464" t="s">
        <v>9148</v>
      </c>
      <c r="AD464" t="s">
        <v>9148</v>
      </c>
      <c r="AE464" t="s">
        <v>9149</v>
      </c>
      <c r="AF464" t="s">
        <v>74</v>
      </c>
      <c r="AG464">
        <v>42</v>
      </c>
      <c r="AH464">
        <v>2</v>
      </c>
      <c r="AI464">
        <v>2</v>
      </c>
      <c r="AJ464">
        <v>0</v>
      </c>
      <c r="AK464">
        <v>3</v>
      </c>
      <c r="AL464" t="s">
        <v>4959</v>
      </c>
      <c r="AM464" t="s">
        <v>435</v>
      </c>
      <c r="AN464" t="s">
        <v>4960</v>
      </c>
      <c r="AO464" t="s">
        <v>4961</v>
      </c>
      <c r="AP464" t="s">
        <v>4962</v>
      </c>
      <c r="AQ464" t="s">
        <v>74</v>
      </c>
      <c r="AR464" t="s">
        <v>4963</v>
      </c>
      <c r="AS464" t="s">
        <v>4964</v>
      </c>
      <c r="AT464" t="s">
        <v>803</v>
      </c>
      <c r="AU464">
        <v>2020</v>
      </c>
      <c r="AV464">
        <v>112</v>
      </c>
      <c r="AW464" t="s">
        <v>74</v>
      </c>
      <c r="AX464" t="s">
        <v>74</v>
      </c>
      <c r="AY464" t="s">
        <v>74</v>
      </c>
      <c r="AZ464" t="s">
        <v>74</v>
      </c>
      <c r="BA464" t="s">
        <v>74</v>
      </c>
      <c r="BB464" t="s">
        <v>74</v>
      </c>
      <c r="BC464" t="s">
        <v>74</v>
      </c>
      <c r="BD464">
        <v>103741</v>
      </c>
      <c r="BE464" t="s">
        <v>9150</v>
      </c>
      <c r="BF464" t="str">
        <f>HYPERLINK("http://dx.doi.org/10.1016/j.marpol.2019.103741","http://dx.doi.org/10.1016/j.marpol.2019.103741")</f>
        <v>http://dx.doi.org/10.1016/j.marpol.2019.103741</v>
      </c>
      <c r="BG464" t="s">
        <v>74</v>
      </c>
      <c r="BH464" t="s">
        <v>74</v>
      </c>
      <c r="BI464">
        <v>6</v>
      </c>
      <c r="BJ464" t="s">
        <v>4966</v>
      </c>
      <c r="BK464" t="s">
        <v>3467</v>
      </c>
      <c r="BL464" t="s">
        <v>4967</v>
      </c>
      <c r="BM464" t="s">
        <v>9151</v>
      </c>
      <c r="BN464" t="s">
        <v>74</v>
      </c>
      <c r="BO464" t="s">
        <v>74</v>
      </c>
      <c r="BP464" t="s">
        <v>74</v>
      </c>
      <c r="BQ464" t="s">
        <v>74</v>
      </c>
      <c r="BR464" t="s">
        <v>106</v>
      </c>
      <c r="BS464" t="s">
        <v>9152</v>
      </c>
      <c r="BT464" t="str">
        <f>HYPERLINK("https%3A%2F%2Fwww.webofscience.com%2Fwos%2Fwoscc%2Ffull-record%2FWOS:000515208000019","View Full Record in Web of Science")</f>
        <v>View Full Record in Web of Science</v>
      </c>
    </row>
    <row r="465" spans="1:72" x14ac:dyDescent="0.15">
      <c r="A465" t="s">
        <v>72</v>
      </c>
      <c r="B465" t="s">
        <v>9153</v>
      </c>
      <c r="C465" t="s">
        <v>74</v>
      </c>
      <c r="D465" t="s">
        <v>74</v>
      </c>
      <c r="E465" t="s">
        <v>74</v>
      </c>
      <c r="F465" t="s">
        <v>9154</v>
      </c>
      <c r="G465" t="s">
        <v>74</v>
      </c>
      <c r="H465" t="s">
        <v>74</v>
      </c>
      <c r="I465" t="s">
        <v>9155</v>
      </c>
      <c r="J465" t="s">
        <v>9156</v>
      </c>
      <c r="K465" t="s">
        <v>74</v>
      </c>
      <c r="L465" t="s">
        <v>74</v>
      </c>
      <c r="M465" t="s">
        <v>78</v>
      </c>
      <c r="N465" t="s">
        <v>79</v>
      </c>
      <c r="O465" t="s">
        <v>74</v>
      </c>
      <c r="P465" t="s">
        <v>74</v>
      </c>
      <c r="Q465" t="s">
        <v>74</v>
      </c>
      <c r="R465" t="s">
        <v>74</v>
      </c>
      <c r="S465" t="s">
        <v>74</v>
      </c>
      <c r="T465" t="s">
        <v>9157</v>
      </c>
      <c r="U465" t="s">
        <v>9158</v>
      </c>
      <c r="V465" t="s">
        <v>9159</v>
      </c>
      <c r="W465" t="s">
        <v>9160</v>
      </c>
      <c r="X465" t="s">
        <v>9161</v>
      </c>
      <c r="Y465" t="s">
        <v>9162</v>
      </c>
      <c r="Z465" t="s">
        <v>9163</v>
      </c>
      <c r="AA465" t="s">
        <v>74</v>
      </c>
      <c r="AB465" t="s">
        <v>9164</v>
      </c>
      <c r="AC465" t="s">
        <v>9165</v>
      </c>
      <c r="AD465" t="s">
        <v>568</v>
      </c>
      <c r="AE465" t="s">
        <v>9166</v>
      </c>
      <c r="AF465" t="s">
        <v>74</v>
      </c>
      <c r="AG465">
        <v>29</v>
      </c>
      <c r="AH465">
        <v>10</v>
      </c>
      <c r="AI465">
        <v>11</v>
      </c>
      <c r="AJ465">
        <v>4</v>
      </c>
      <c r="AK465">
        <v>32</v>
      </c>
      <c r="AL465" t="s">
        <v>121</v>
      </c>
      <c r="AM465" t="s">
        <v>166</v>
      </c>
      <c r="AN465" t="s">
        <v>685</v>
      </c>
      <c r="AO465" t="s">
        <v>9167</v>
      </c>
      <c r="AP465" t="s">
        <v>9168</v>
      </c>
      <c r="AQ465" t="s">
        <v>74</v>
      </c>
      <c r="AR465" t="s">
        <v>9169</v>
      </c>
      <c r="AS465" t="s">
        <v>9170</v>
      </c>
      <c r="AT465" t="s">
        <v>803</v>
      </c>
      <c r="AU465">
        <v>2020</v>
      </c>
      <c r="AV465">
        <v>79</v>
      </c>
      <c r="AW465">
        <v>2</v>
      </c>
      <c r="AX465" t="s">
        <v>74</v>
      </c>
      <c r="AY465" t="s">
        <v>74</v>
      </c>
      <c r="AZ465" t="s">
        <v>74</v>
      </c>
      <c r="BA465" t="s">
        <v>74</v>
      </c>
      <c r="BB465">
        <v>511</v>
      </c>
      <c r="BC465">
        <v>515</v>
      </c>
      <c r="BD465" t="s">
        <v>74</v>
      </c>
      <c r="BE465" t="s">
        <v>9171</v>
      </c>
      <c r="BF465" t="str">
        <f>HYPERLINK("http://dx.doi.org/10.1007/s00248-019-01413-8","http://dx.doi.org/10.1007/s00248-019-01413-8")</f>
        <v>http://dx.doi.org/10.1007/s00248-019-01413-8</v>
      </c>
      <c r="BG465" t="s">
        <v>74</v>
      </c>
      <c r="BH465" t="s">
        <v>74</v>
      </c>
      <c r="BI465">
        <v>5</v>
      </c>
      <c r="BJ465" t="s">
        <v>9172</v>
      </c>
      <c r="BK465" t="s">
        <v>103</v>
      </c>
      <c r="BL465" t="s">
        <v>9173</v>
      </c>
      <c r="BM465" t="s">
        <v>9174</v>
      </c>
      <c r="BN465">
        <v>31388702</v>
      </c>
      <c r="BO465" t="s">
        <v>74</v>
      </c>
      <c r="BP465" t="s">
        <v>74</v>
      </c>
      <c r="BQ465" t="s">
        <v>74</v>
      </c>
      <c r="BR465" t="s">
        <v>106</v>
      </c>
      <c r="BS465" t="s">
        <v>9175</v>
      </c>
      <c r="BT465" t="str">
        <f>HYPERLINK("https%3A%2F%2Fwww.webofscience.com%2Fwos%2Fwoscc%2Ffull-record%2FWOS:000514980800020","View Full Record in Web of Science")</f>
        <v>View Full Record in Web of Science</v>
      </c>
    </row>
    <row r="466" spans="1:72" x14ac:dyDescent="0.15">
      <c r="A466" t="s">
        <v>72</v>
      </c>
      <c r="B466" t="s">
        <v>9176</v>
      </c>
      <c r="C466" t="s">
        <v>74</v>
      </c>
      <c r="D466" t="s">
        <v>74</v>
      </c>
      <c r="E466" t="s">
        <v>74</v>
      </c>
      <c r="F466" t="s">
        <v>9177</v>
      </c>
      <c r="G466" t="s">
        <v>74</v>
      </c>
      <c r="H466" t="s">
        <v>74</v>
      </c>
      <c r="I466" t="s">
        <v>9178</v>
      </c>
      <c r="J466" t="s">
        <v>2079</v>
      </c>
      <c r="K466" t="s">
        <v>74</v>
      </c>
      <c r="L466" t="s">
        <v>74</v>
      </c>
      <c r="M466" t="s">
        <v>78</v>
      </c>
      <c r="N466" t="s">
        <v>79</v>
      </c>
      <c r="O466" t="s">
        <v>74</v>
      </c>
      <c r="P466" t="s">
        <v>74</v>
      </c>
      <c r="Q466" t="s">
        <v>74</v>
      </c>
      <c r="R466" t="s">
        <v>74</v>
      </c>
      <c r="S466" t="s">
        <v>74</v>
      </c>
      <c r="T466" t="s">
        <v>9179</v>
      </c>
      <c r="U466" t="s">
        <v>9180</v>
      </c>
      <c r="V466" t="s">
        <v>9181</v>
      </c>
      <c r="W466" t="s">
        <v>9182</v>
      </c>
      <c r="X466" t="s">
        <v>9183</v>
      </c>
      <c r="Y466" t="s">
        <v>9184</v>
      </c>
      <c r="Z466" t="s">
        <v>9185</v>
      </c>
      <c r="AA466" t="s">
        <v>9186</v>
      </c>
      <c r="AB466" t="s">
        <v>9187</v>
      </c>
      <c r="AC466" t="s">
        <v>9188</v>
      </c>
      <c r="AD466" t="s">
        <v>2364</v>
      </c>
      <c r="AE466" t="s">
        <v>9189</v>
      </c>
      <c r="AF466" t="s">
        <v>74</v>
      </c>
      <c r="AG466">
        <v>96</v>
      </c>
      <c r="AH466">
        <v>22</v>
      </c>
      <c r="AI466">
        <v>23</v>
      </c>
      <c r="AJ466">
        <v>1</v>
      </c>
      <c r="AK466">
        <v>20</v>
      </c>
      <c r="AL466" t="s">
        <v>434</v>
      </c>
      <c r="AM466" t="s">
        <v>435</v>
      </c>
      <c r="AN466" t="s">
        <v>436</v>
      </c>
      <c r="AO466" t="s">
        <v>2088</v>
      </c>
      <c r="AP466" t="s">
        <v>74</v>
      </c>
      <c r="AQ466" t="s">
        <v>74</v>
      </c>
      <c r="AR466" t="s">
        <v>2089</v>
      </c>
      <c r="AS466" t="s">
        <v>2090</v>
      </c>
      <c r="AT466" t="s">
        <v>8137</v>
      </c>
      <c r="AU466">
        <v>2020</v>
      </c>
      <c r="AV466">
        <v>229</v>
      </c>
      <c r="AW466" t="s">
        <v>74</v>
      </c>
      <c r="AX466" t="s">
        <v>74</v>
      </c>
      <c r="AY466" t="s">
        <v>74</v>
      </c>
      <c r="AZ466" t="s">
        <v>74</v>
      </c>
      <c r="BA466" t="s">
        <v>74</v>
      </c>
      <c r="BB466" t="s">
        <v>74</v>
      </c>
      <c r="BC466" t="s">
        <v>74</v>
      </c>
      <c r="BD466">
        <v>106134</v>
      </c>
      <c r="BE466" t="s">
        <v>9190</v>
      </c>
      <c r="BF466" t="str">
        <f>HYPERLINK("http://dx.doi.org/10.1016/j.quascirev.2019.106134","http://dx.doi.org/10.1016/j.quascirev.2019.106134")</f>
        <v>http://dx.doi.org/10.1016/j.quascirev.2019.106134</v>
      </c>
      <c r="BG466" t="s">
        <v>74</v>
      </c>
      <c r="BH466" t="s">
        <v>74</v>
      </c>
      <c r="BI466">
        <v>16</v>
      </c>
      <c r="BJ466" t="s">
        <v>1307</v>
      </c>
      <c r="BK466" t="s">
        <v>103</v>
      </c>
      <c r="BL466" t="s">
        <v>1308</v>
      </c>
      <c r="BM466" t="s">
        <v>9191</v>
      </c>
      <c r="BN466" t="s">
        <v>74</v>
      </c>
      <c r="BO466" t="s">
        <v>5946</v>
      </c>
      <c r="BP466" t="s">
        <v>74</v>
      </c>
      <c r="BQ466" t="s">
        <v>74</v>
      </c>
      <c r="BR466" t="s">
        <v>106</v>
      </c>
      <c r="BS466" t="s">
        <v>9192</v>
      </c>
      <c r="BT466" t="str">
        <f>HYPERLINK("https%3A%2F%2Fwww.webofscience.com%2Fwos%2Fwoscc%2Ffull-record%2FWOS:000514018700012","View Full Record in Web of Science")</f>
        <v>View Full Record in Web of Science</v>
      </c>
    </row>
    <row r="467" spans="1:72" x14ac:dyDescent="0.15">
      <c r="A467" t="s">
        <v>72</v>
      </c>
      <c r="B467" t="s">
        <v>9193</v>
      </c>
      <c r="C467" t="s">
        <v>74</v>
      </c>
      <c r="D467" t="s">
        <v>74</v>
      </c>
      <c r="E467" t="s">
        <v>74</v>
      </c>
      <c r="F467" t="s">
        <v>9194</v>
      </c>
      <c r="G467" t="s">
        <v>74</v>
      </c>
      <c r="H467" t="s">
        <v>74</v>
      </c>
      <c r="I467" t="s">
        <v>9195</v>
      </c>
      <c r="J467" t="s">
        <v>9196</v>
      </c>
      <c r="K467" t="s">
        <v>74</v>
      </c>
      <c r="L467" t="s">
        <v>74</v>
      </c>
      <c r="M467" t="s">
        <v>78</v>
      </c>
      <c r="N467" t="s">
        <v>79</v>
      </c>
      <c r="O467" t="s">
        <v>74</v>
      </c>
      <c r="P467" t="s">
        <v>74</v>
      </c>
      <c r="Q467" t="s">
        <v>74</v>
      </c>
      <c r="R467" t="s">
        <v>74</v>
      </c>
      <c r="S467" t="s">
        <v>74</v>
      </c>
      <c r="T467" t="s">
        <v>9197</v>
      </c>
      <c r="U467" t="s">
        <v>9198</v>
      </c>
      <c r="V467" t="s">
        <v>9199</v>
      </c>
      <c r="W467" t="s">
        <v>9200</v>
      </c>
      <c r="X467" t="s">
        <v>9201</v>
      </c>
      <c r="Y467" t="s">
        <v>9202</v>
      </c>
      <c r="Z467" t="s">
        <v>9203</v>
      </c>
      <c r="AA467" t="s">
        <v>9204</v>
      </c>
      <c r="AB467" t="s">
        <v>9205</v>
      </c>
      <c r="AC467" t="s">
        <v>9206</v>
      </c>
      <c r="AD467" t="s">
        <v>9207</v>
      </c>
      <c r="AE467" t="s">
        <v>9208</v>
      </c>
      <c r="AF467" t="s">
        <v>74</v>
      </c>
      <c r="AG467">
        <v>73</v>
      </c>
      <c r="AH467">
        <v>15</v>
      </c>
      <c r="AI467">
        <v>20</v>
      </c>
      <c r="AJ467">
        <v>1</v>
      </c>
      <c r="AK467">
        <v>25</v>
      </c>
      <c r="AL467" t="s">
        <v>434</v>
      </c>
      <c r="AM467" t="s">
        <v>435</v>
      </c>
      <c r="AN467" t="s">
        <v>436</v>
      </c>
      <c r="AO467" t="s">
        <v>9209</v>
      </c>
      <c r="AP467" t="s">
        <v>74</v>
      </c>
      <c r="AQ467" t="s">
        <v>74</v>
      </c>
      <c r="AR467" t="s">
        <v>9210</v>
      </c>
      <c r="AS467" t="s">
        <v>9211</v>
      </c>
      <c r="AT467" t="s">
        <v>803</v>
      </c>
      <c r="AU467">
        <v>2020</v>
      </c>
      <c r="AV467">
        <v>141</v>
      </c>
      <c r="AW467" t="s">
        <v>74</v>
      </c>
      <c r="AX467" t="s">
        <v>74</v>
      </c>
      <c r="AY467" t="s">
        <v>74</v>
      </c>
      <c r="AZ467" t="s">
        <v>74</v>
      </c>
      <c r="BA467" t="s">
        <v>74</v>
      </c>
      <c r="BB467" t="s">
        <v>74</v>
      </c>
      <c r="BC467" t="s">
        <v>74</v>
      </c>
      <c r="BD467">
        <v>107682</v>
      </c>
      <c r="BE467" t="s">
        <v>9212</v>
      </c>
      <c r="BF467" t="str">
        <f>HYPERLINK("http://dx.doi.org/10.1016/j.soilbio.2019.107682","http://dx.doi.org/10.1016/j.soilbio.2019.107682")</f>
        <v>http://dx.doi.org/10.1016/j.soilbio.2019.107682</v>
      </c>
      <c r="BG467" t="s">
        <v>74</v>
      </c>
      <c r="BH467" t="s">
        <v>74</v>
      </c>
      <c r="BI467">
        <v>11</v>
      </c>
      <c r="BJ467" t="s">
        <v>1035</v>
      </c>
      <c r="BK467" t="s">
        <v>103</v>
      </c>
      <c r="BL467" t="s">
        <v>1036</v>
      </c>
      <c r="BM467" t="s">
        <v>9213</v>
      </c>
      <c r="BN467" t="s">
        <v>74</v>
      </c>
      <c r="BO467" t="s">
        <v>3606</v>
      </c>
      <c r="BP467" t="s">
        <v>74</v>
      </c>
      <c r="BQ467" t="s">
        <v>74</v>
      </c>
      <c r="BR467" t="s">
        <v>106</v>
      </c>
      <c r="BS467" t="s">
        <v>9214</v>
      </c>
      <c r="BT467" t="str">
        <f>HYPERLINK("https%3A%2F%2Fwww.webofscience.com%2Fwos%2Fwoscc%2Ffull-record%2FWOS:000513986700025","View Full Record in Web of Science")</f>
        <v>View Full Record in Web of Science</v>
      </c>
    </row>
    <row r="468" spans="1:72" x14ac:dyDescent="0.15">
      <c r="A468" t="s">
        <v>72</v>
      </c>
      <c r="B468" t="s">
        <v>9215</v>
      </c>
      <c r="C468" t="s">
        <v>74</v>
      </c>
      <c r="D468" t="s">
        <v>74</v>
      </c>
      <c r="E468" t="s">
        <v>74</v>
      </c>
      <c r="F468" t="s">
        <v>9216</v>
      </c>
      <c r="G468" t="s">
        <v>74</v>
      </c>
      <c r="H468" t="s">
        <v>74</v>
      </c>
      <c r="I468" t="s">
        <v>9217</v>
      </c>
      <c r="J468" t="s">
        <v>9218</v>
      </c>
      <c r="K468" t="s">
        <v>74</v>
      </c>
      <c r="L468" t="s">
        <v>74</v>
      </c>
      <c r="M468" t="s">
        <v>78</v>
      </c>
      <c r="N468" t="s">
        <v>79</v>
      </c>
      <c r="O468" t="s">
        <v>74</v>
      </c>
      <c r="P468" t="s">
        <v>74</v>
      </c>
      <c r="Q468" t="s">
        <v>74</v>
      </c>
      <c r="R468" t="s">
        <v>74</v>
      </c>
      <c r="S468" t="s">
        <v>74</v>
      </c>
      <c r="T468" t="s">
        <v>9219</v>
      </c>
      <c r="U468" t="s">
        <v>9220</v>
      </c>
      <c r="V468" t="s">
        <v>9221</v>
      </c>
      <c r="W468" t="s">
        <v>9222</v>
      </c>
      <c r="X468" t="s">
        <v>9223</v>
      </c>
      <c r="Y468" t="s">
        <v>9224</v>
      </c>
      <c r="Z468" t="s">
        <v>9225</v>
      </c>
      <c r="AA468" t="s">
        <v>74</v>
      </c>
      <c r="AB468" t="s">
        <v>9226</v>
      </c>
      <c r="AC468" t="s">
        <v>9227</v>
      </c>
      <c r="AD468" t="s">
        <v>9227</v>
      </c>
      <c r="AE468" t="s">
        <v>9228</v>
      </c>
      <c r="AF468" t="s">
        <v>74</v>
      </c>
      <c r="AG468">
        <v>58</v>
      </c>
      <c r="AH468">
        <v>0</v>
      </c>
      <c r="AI468">
        <v>1</v>
      </c>
      <c r="AJ468">
        <v>0</v>
      </c>
      <c r="AK468">
        <v>5</v>
      </c>
      <c r="AL468" t="s">
        <v>4959</v>
      </c>
      <c r="AM468" t="s">
        <v>435</v>
      </c>
      <c r="AN468" t="s">
        <v>4960</v>
      </c>
      <c r="AO468" t="s">
        <v>9229</v>
      </c>
      <c r="AP468" t="s">
        <v>9230</v>
      </c>
      <c r="AQ468" t="s">
        <v>74</v>
      </c>
      <c r="AR468" t="s">
        <v>9231</v>
      </c>
      <c r="AS468" t="s">
        <v>9232</v>
      </c>
      <c r="AT468" t="s">
        <v>803</v>
      </c>
      <c r="AU468">
        <v>2020</v>
      </c>
      <c r="AV468">
        <v>62</v>
      </c>
      <c r="AW468" t="s">
        <v>74</v>
      </c>
      <c r="AX468" t="s">
        <v>74</v>
      </c>
      <c r="AY468" t="s">
        <v>74</v>
      </c>
      <c r="AZ468" t="s">
        <v>74</v>
      </c>
      <c r="BA468" t="s">
        <v>74</v>
      </c>
      <c r="BB468" t="s">
        <v>74</v>
      </c>
      <c r="BC468" t="s">
        <v>74</v>
      </c>
      <c r="BD468">
        <v>100980</v>
      </c>
      <c r="BE468" t="s">
        <v>9233</v>
      </c>
      <c r="BF468" t="str">
        <f>HYPERLINK("http://dx.doi.org/10.1016/j.jup.2019.100980","http://dx.doi.org/10.1016/j.jup.2019.100980")</f>
        <v>http://dx.doi.org/10.1016/j.jup.2019.100980</v>
      </c>
      <c r="BG468" t="s">
        <v>74</v>
      </c>
      <c r="BH468" t="s">
        <v>74</v>
      </c>
      <c r="BI468">
        <v>11</v>
      </c>
      <c r="BJ468" t="s">
        <v>9234</v>
      </c>
      <c r="BK468" t="s">
        <v>1149</v>
      </c>
      <c r="BL468" t="s">
        <v>9235</v>
      </c>
      <c r="BM468" t="s">
        <v>9236</v>
      </c>
      <c r="BN468" t="s">
        <v>74</v>
      </c>
      <c r="BO468" t="s">
        <v>74</v>
      </c>
      <c r="BP468" t="s">
        <v>74</v>
      </c>
      <c r="BQ468" t="s">
        <v>74</v>
      </c>
      <c r="BR468" t="s">
        <v>106</v>
      </c>
      <c r="BS468" t="s">
        <v>9237</v>
      </c>
      <c r="BT468" t="str">
        <f>HYPERLINK("https%3A%2F%2Fwww.webofscience.com%2Fwos%2Fwoscc%2Ffull-record%2FWOS:000513987000001","View Full Record in Web of Science")</f>
        <v>View Full Record in Web of Science</v>
      </c>
    </row>
    <row r="469" spans="1:72" x14ac:dyDescent="0.15">
      <c r="A469" t="s">
        <v>72</v>
      </c>
      <c r="B469" t="s">
        <v>9238</v>
      </c>
      <c r="C469" t="s">
        <v>74</v>
      </c>
      <c r="D469" t="s">
        <v>74</v>
      </c>
      <c r="E469" t="s">
        <v>74</v>
      </c>
      <c r="F469" t="s">
        <v>9239</v>
      </c>
      <c r="G469" t="s">
        <v>74</v>
      </c>
      <c r="H469" t="s">
        <v>74</v>
      </c>
      <c r="I469" t="s">
        <v>9240</v>
      </c>
      <c r="J469" t="s">
        <v>9241</v>
      </c>
      <c r="K469" t="s">
        <v>74</v>
      </c>
      <c r="L469" t="s">
        <v>74</v>
      </c>
      <c r="M469" t="s">
        <v>78</v>
      </c>
      <c r="N469" t="s">
        <v>79</v>
      </c>
      <c r="O469" t="s">
        <v>74</v>
      </c>
      <c r="P469" t="s">
        <v>74</v>
      </c>
      <c r="Q469" t="s">
        <v>74</v>
      </c>
      <c r="R469" t="s">
        <v>74</v>
      </c>
      <c r="S469" t="s">
        <v>74</v>
      </c>
      <c r="T469" t="s">
        <v>9242</v>
      </c>
      <c r="U469" t="s">
        <v>9243</v>
      </c>
      <c r="V469" t="s">
        <v>9244</v>
      </c>
      <c r="W469" t="s">
        <v>9245</v>
      </c>
      <c r="X469" t="s">
        <v>9246</v>
      </c>
      <c r="Y469" t="s">
        <v>9247</v>
      </c>
      <c r="Z469" t="s">
        <v>9248</v>
      </c>
      <c r="AA469" t="s">
        <v>74</v>
      </c>
      <c r="AB469" t="s">
        <v>9249</v>
      </c>
      <c r="AC469" t="s">
        <v>9250</v>
      </c>
      <c r="AD469" t="s">
        <v>9251</v>
      </c>
      <c r="AE469" t="s">
        <v>9252</v>
      </c>
      <c r="AF469" t="s">
        <v>74</v>
      </c>
      <c r="AG469">
        <v>54</v>
      </c>
      <c r="AH469">
        <v>17</v>
      </c>
      <c r="AI469">
        <v>19</v>
      </c>
      <c r="AJ469">
        <v>2</v>
      </c>
      <c r="AK469">
        <v>31</v>
      </c>
      <c r="AL469" t="s">
        <v>434</v>
      </c>
      <c r="AM469" t="s">
        <v>435</v>
      </c>
      <c r="AN469" t="s">
        <v>436</v>
      </c>
      <c r="AO469" t="s">
        <v>9253</v>
      </c>
      <c r="AP469" t="s">
        <v>9254</v>
      </c>
      <c r="AQ469" t="s">
        <v>74</v>
      </c>
      <c r="AR469" t="s">
        <v>9241</v>
      </c>
      <c r="AS469" t="s">
        <v>9255</v>
      </c>
      <c r="AT469" t="s">
        <v>803</v>
      </c>
      <c r="AU469">
        <v>2020</v>
      </c>
      <c r="AV469">
        <v>241</v>
      </c>
      <c r="AW469" t="s">
        <v>74</v>
      </c>
      <c r="AX469" t="s">
        <v>74</v>
      </c>
      <c r="AY469" t="s">
        <v>74</v>
      </c>
      <c r="AZ469" t="s">
        <v>74</v>
      </c>
      <c r="BA469" t="s">
        <v>74</v>
      </c>
      <c r="BB469" t="s">
        <v>74</v>
      </c>
      <c r="BC469" t="s">
        <v>74</v>
      </c>
      <c r="BD469">
        <v>125064</v>
      </c>
      <c r="BE469" t="s">
        <v>9256</v>
      </c>
      <c r="BF469" t="str">
        <f>HYPERLINK("http://dx.doi.org/10.1016/j.chemosphere.2019.125064","http://dx.doi.org/10.1016/j.chemosphere.2019.125064")</f>
        <v>http://dx.doi.org/10.1016/j.chemosphere.2019.125064</v>
      </c>
      <c r="BG469" t="s">
        <v>74</v>
      </c>
      <c r="BH469" t="s">
        <v>74</v>
      </c>
      <c r="BI469">
        <v>9</v>
      </c>
      <c r="BJ469" t="s">
        <v>1196</v>
      </c>
      <c r="BK469" t="s">
        <v>103</v>
      </c>
      <c r="BL469" t="s">
        <v>219</v>
      </c>
      <c r="BM469" t="s">
        <v>9257</v>
      </c>
      <c r="BN469">
        <v>31683434</v>
      </c>
      <c r="BO469" t="s">
        <v>74</v>
      </c>
      <c r="BP469" t="s">
        <v>74</v>
      </c>
      <c r="BQ469" t="s">
        <v>74</v>
      </c>
      <c r="BR469" t="s">
        <v>106</v>
      </c>
      <c r="BS469" t="s">
        <v>9258</v>
      </c>
      <c r="BT469" t="str">
        <f>HYPERLINK("https%3A%2F%2Fwww.webofscience.com%2Fwos%2Fwoscc%2Ffull-record%2FWOS:000509791600033","View Full Record in Web of Science")</f>
        <v>View Full Record in Web of Science</v>
      </c>
    </row>
    <row r="470" spans="1:72" x14ac:dyDescent="0.15">
      <c r="A470" t="s">
        <v>72</v>
      </c>
      <c r="B470" t="s">
        <v>9259</v>
      </c>
      <c r="C470" t="s">
        <v>74</v>
      </c>
      <c r="D470" t="s">
        <v>74</v>
      </c>
      <c r="E470" t="s">
        <v>74</v>
      </c>
      <c r="F470" t="s">
        <v>9260</v>
      </c>
      <c r="G470" t="s">
        <v>74</v>
      </c>
      <c r="H470" t="s">
        <v>74</v>
      </c>
      <c r="I470" t="s">
        <v>9261</v>
      </c>
      <c r="J470" t="s">
        <v>9262</v>
      </c>
      <c r="K470" t="s">
        <v>74</v>
      </c>
      <c r="L470" t="s">
        <v>74</v>
      </c>
      <c r="M470" t="s">
        <v>78</v>
      </c>
      <c r="N470" t="s">
        <v>79</v>
      </c>
      <c r="O470" t="s">
        <v>74</v>
      </c>
      <c r="P470" t="s">
        <v>74</v>
      </c>
      <c r="Q470" t="s">
        <v>74</v>
      </c>
      <c r="R470" t="s">
        <v>74</v>
      </c>
      <c r="S470" t="s">
        <v>74</v>
      </c>
      <c r="T470" t="s">
        <v>9263</v>
      </c>
      <c r="U470" t="s">
        <v>9264</v>
      </c>
      <c r="V470" t="s">
        <v>9265</v>
      </c>
      <c r="W470" t="s">
        <v>9266</v>
      </c>
      <c r="X470" t="s">
        <v>9267</v>
      </c>
      <c r="Y470" t="s">
        <v>9268</v>
      </c>
      <c r="Z470" t="s">
        <v>9269</v>
      </c>
      <c r="AA470" t="s">
        <v>9270</v>
      </c>
      <c r="AB470" t="s">
        <v>74</v>
      </c>
      <c r="AC470" t="s">
        <v>9271</v>
      </c>
      <c r="AD470" t="s">
        <v>9272</v>
      </c>
      <c r="AE470" t="s">
        <v>9273</v>
      </c>
      <c r="AF470" t="s">
        <v>74</v>
      </c>
      <c r="AG470">
        <v>36</v>
      </c>
      <c r="AH470">
        <v>18</v>
      </c>
      <c r="AI470">
        <v>18</v>
      </c>
      <c r="AJ470">
        <v>1</v>
      </c>
      <c r="AK470">
        <v>46</v>
      </c>
      <c r="AL470" t="s">
        <v>165</v>
      </c>
      <c r="AM470" t="s">
        <v>166</v>
      </c>
      <c r="AN470" t="s">
        <v>167</v>
      </c>
      <c r="AO470" t="s">
        <v>9274</v>
      </c>
      <c r="AP470" t="s">
        <v>9275</v>
      </c>
      <c r="AQ470" t="s">
        <v>74</v>
      </c>
      <c r="AR470" t="s">
        <v>9276</v>
      </c>
      <c r="AS470" t="s">
        <v>9277</v>
      </c>
      <c r="AT470" t="s">
        <v>8137</v>
      </c>
      <c r="AU470">
        <v>2020</v>
      </c>
      <c r="AV470">
        <v>232</v>
      </c>
      <c r="AW470" t="s">
        <v>74</v>
      </c>
      <c r="AX470" t="s">
        <v>74</v>
      </c>
      <c r="AY470" t="s">
        <v>74</v>
      </c>
      <c r="AZ470" t="s">
        <v>74</v>
      </c>
      <c r="BA470" t="s">
        <v>74</v>
      </c>
      <c r="BB470" t="s">
        <v>74</v>
      </c>
      <c r="BC470" t="s">
        <v>74</v>
      </c>
      <c r="BD470">
        <v>104701</v>
      </c>
      <c r="BE470" t="s">
        <v>9278</v>
      </c>
      <c r="BF470" t="str">
        <f>HYPERLINK("http://dx.doi.org/10.1016/j.atmosres.2019.104701","http://dx.doi.org/10.1016/j.atmosres.2019.104701")</f>
        <v>http://dx.doi.org/10.1016/j.atmosres.2019.104701</v>
      </c>
      <c r="BG470" t="s">
        <v>74</v>
      </c>
      <c r="BH470" t="s">
        <v>74</v>
      </c>
      <c r="BI470">
        <v>9</v>
      </c>
      <c r="BJ470" t="s">
        <v>907</v>
      </c>
      <c r="BK470" t="s">
        <v>103</v>
      </c>
      <c r="BL470" t="s">
        <v>907</v>
      </c>
      <c r="BM470" t="s">
        <v>9279</v>
      </c>
      <c r="BN470" t="s">
        <v>74</v>
      </c>
      <c r="BO470" t="s">
        <v>74</v>
      </c>
      <c r="BP470" t="s">
        <v>74</v>
      </c>
      <c r="BQ470" t="s">
        <v>74</v>
      </c>
      <c r="BR470" t="s">
        <v>106</v>
      </c>
      <c r="BS470" t="s">
        <v>9280</v>
      </c>
      <c r="BT470" t="str">
        <f>HYPERLINK("https%3A%2F%2Fwww.webofscience.com%2Fwos%2Fwoscc%2Ffull-record%2FWOS:000513179100012","View Full Record in Web of Science")</f>
        <v>View Full Record in Web of Science</v>
      </c>
    </row>
    <row r="471" spans="1:72" x14ac:dyDescent="0.15">
      <c r="A471" t="s">
        <v>72</v>
      </c>
      <c r="B471" t="s">
        <v>9281</v>
      </c>
      <c r="C471" t="s">
        <v>74</v>
      </c>
      <c r="D471" t="s">
        <v>74</v>
      </c>
      <c r="E471" t="s">
        <v>74</v>
      </c>
      <c r="F471" t="s">
        <v>9282</v>
      </c>
      <c r="G471" t="s">
        <v>74</v>
      </c>
      <c r="H471" t="s">
        <v>74</v>
      </c>
      <c r="I471" t="s">
        <v>9283</v>
      </c>
      <c r="J471" t="s">
        <v>2122</v>
      </c>
      <c r="K471" t="s">
        <v>74</v>
      </c>
      <c r="L471" t="s">
        <v>74</v>
      </c>
      <c r="M471" t="s">
        <v>78</v>
      </c>
      <c r="N471" t="s">
        <v>1434</v>
      </c>
      <c r="O471" t="s">
        <v>74</v>
      </c>
      <c r="P471" t="s">
        <v>74</v>
      </c>
      <c r="Q471" t="s">
        <v>74</v>
      </c>
      <c r="R471" t="s">
        <v>74</v>
      </c>
      <c r="S471" t="s">
        <v>74</v>
      </c>
      <c r="T471" t="s">
        <v>9284</v>
      </c>
      <c r="U471" t="s">
        <v>9285</v>
      </c>
      <c r="V471" t="s">
        <v>9286</v>
      </c>
      <c r="W471" t="s">
        <v>9287</v>
      </c>
      <c r="X471" t="s">
        <v>9288</v>
      </c>
      <c r="Y471" t="s">
        <v>9289</v>
      </c>
      <c r="Z471" t="s">
        <v>9290</v>
      </c>
      <c r="AA471" t="s">
        <v>74</v>
      </c>
      <c r="AB471" t="s">
        <v>9291</v>
      </c>
      <c r="AC471" t="s">
        <v>9292</v>
      </c>
      <c r="AD471" t="s">
        <v>9292</v>
      </c>
      <c r="AE471" t="s">
        <v>9293</v>
      </c>
      <c r="AF471" t="s">
        <v>74</v>
      </c>
      <c r="AG471">
        <v>185</v>
      </c>
      <c r="AH471">
        <v>19</v>
      </c>
      <c r="AI471">
        <v>23</v>
      </c>
      <c r="AJ471">
        <v>15</v>
      </c>
      <c r="AK471">
        <v>131</v>
      </c>
      <c r="AL471" t="s">
        <v>165</v>
      </c>
      <c r="AM471" t="s">
        <v>166</v>
      </c>
      <c r="AN471" t="s">
        <v>167</v>
      </c>
      <c r="AO471" t="s">
        <v>2133</v>
      </c>
      <c r="AP471" t="s">
        <v>2134</v>
      </c>
      <c r="AQ471" t="s">
        <v>74</v>
      </c>
      <c r="AR471" t="s">
        <v>2135</v>
      </c>
      <c r="AS471" t="s">
        <v>2136</v>
      </c>
      <c r="AT471" t="s">
        <v>803</v>
      </c>
      <c r="AU471">
        <v>2020</v>
      </c>
      <c r="AV471">
        <v>237</v>
      </c>
      <c r="AW471" t="s">
        <v>74</v>
      </c>
      <c r="AX471" t="s">
        <v>74</v>
      </c>
      <c r="AY471" t="s">
        <v>74</v>
      </c>
      <c r="AZ471" t="s">
        <v>74</v>
      </c>
      <c r="BA471" t="s">
        <v>74</v>
      </c>
      <c r="BB471" t="s">
        <v>74</v>
      </c>
      <c r="BC471" t="s">
        <v>74</v>
      </c>
      <c r="BD471">
        <v>111595</v>
      </c>
      <c r="BE471" t="s">
        <v>9294</v>
      </c>
      <c r="BF471" t="str">
        <f>HYPERLINK("http://dx.doi.org/10.1016/j.rse.2019.111595","http://dx.doi.org/10.1016/j.rse.2019.111595")</f>
        <v>http://dx.doi.org/10.1016/j.rse.2019.111595</v>
      </c>
      <c r="BG471" t="s">
        <v>74</v>
      </c>
      <c r="BH471" t="s">
        <v>74</v>
      </c>
      <c r="BI471">
        <v>24</v>
      </c>
      <c r="BJ471" t="s">
        <v>2138</v>
      </c>
      <c r="BK471" t="s">
        <v>103</v>
      </c>
      <c r="BL471" t="s">
        <v>2139</v>
      </c>
      <c r="BM471" t="s">
        <v>9295</v>
      </c>
      <c r="BN471" t="s">
        <v>74</v>
      </c>
      <c r="BO471" t="s">
        <v>74</v>
      </c>
      <c r="BP471" t="s">
        <v>74</v>
      </c>
      <c r="BQ471" t="s">
        <v>74</v>
      </c>
      <c r="BR471" t="s">
        <v>106</v>
      </c>
      <c r="BS471" t="s">
        <v>9296</v>
      </c>
      <c r="BT471" t="str">
        <f>HYPERLINK("https%3A%2F%2Fwww.webofscience.com%2Fwos%2Fwoscc%2Ffull-record%2FWOS:000509819300048","View Full Record in Web of Science")</f>
        <v>View Full Record in Web of Science</v>
      </c>
    </row>
    <row r="472" spans="1:72" x14ac:dyDescent="0.15">
      <c r="A472" t="s">
        <v>72</v>
      </c>
      <c r="B472" t="s">
        <v>9297</v>
      </c>
      <c r="C472" t="s">
        <v>74</v>
      </c>
      <c r="D472" t="s">
        <v>74</v>
      </c>
      <c r="E472" t="s">
        <v>74</v>
      </c>
      <c r="F472" t="s">
        <v>9298</v>
      </c>
      <c r="G472" t="s">
        <v>74</v>
      </c>
      <c r="H472" t="s">
        <v>74</v>
      </c>
      <c r="I472" t="s">
        <v>9299</v>
      </c>
      <c r="J472" t="s">
        <v>2122</v>
      </c>
      <c r="K472" t="s">
        <v>74</v>
      </c>
      <c r="L472" t="s">
        <v>74</v>
      </c>
      <c r="M472" t="s">
        <v>78</v>
      </c>
      <c r="N472" t="s">
        <v>79</v>
      </c>
      <c r="O472" t="s">
        <v>74</v>
      </c>
      <c r="P472" t="s">
        <v>74</v>
      </c>
      <c r="Q472" t="s">
        <v>74</v>
      </c>
      <c r="R472" t="s">
        <v>74</v>
      </c>
      <c r="S472" t="s">
        <v>74</v>
      </c>
      <c r="T472" t="s">
        <v>9300</v>
      </c>
      <c r="U472" t="s">
        <v>9301</v>
      </c>
      <c r="V472" t="s">
        <v>9302</v>
      </c>
      <c r="W472" t="s">
        <v>9303</v>
      </c>
      <c r="X472" t="s">
        <v>9304</v>
      </c>
      <c r="Y472" t="s">
        <v>9305</v>
      </c>
      <c r="Z472" t="s">
        <v>9306</v>
      </c>
      <c r="AA472" t="s">
        <v>74</v>
      </c>
      <c r="AB472" t="s">
        <v>9307</v>
      </c>
      <c r="AC472" t="s">
        <v>9308</v>
      </c>
      <c r="AD472" t="s">
        <v>9309</v>
      </c>
      <c r="AE472" t="s">
        <v>9310</v>
      </c>
      <c r="AF472" t="s">
        <v>74</v>
      </c>
      <c r="AG472">
        <v>43</v>
      </c>
      <c r="AH472">
        <v>28</v>
      </c>
      <c r="AI472">
        <v>28</v>
      </c>
      <c r="AJ472">
        <v>2</v>
      </c>
      <c r="AK472">
        <v>14</v>
      </c>
      <c r="AL472" t="s">
        <v>165</v>
      </c>
      <c r="AM472" t="s">
        <v>166</v>
      </c>
      <c r="AN472" t="s">
        <v>167</v>
      </c>
      <c r="AO472" t="s">
        <v>2133</v>
      </c>
      <c r="AP472" t="s">
        <v>2134</v>
      </c>
      <c r="AQ472" t="s">
        <v>74</v>
      </c>
      <c r="AR472" t="s">
        <v>2135</v>
      </c>
      <c r="AS472" t="s">
        <v>2136</v>
      </c>
      <c r="AT472" t="s">
        <v>803</v>
      </c>
      <c r="AU472">
        <v>2020</v>
      </c>
      <c r="AV472">
        <v>237</v>
      </c>
      <c r="AW472" t="s">
        <v>74</v>
      </c>
      <c r="AX472" t="s">
        <v>74</v>
      </c>
      <c r="AY472" t="s">
        <v>74</v>
      </c>
      <c r="AZ472" t="s">
        <v>74</v>
      </c>
      <c r="BA472" t="s">
        <v>74</v>
      </c>
      <c r="BB472" t="s">
        <v>74</v>
      </c>
      <c r="BC472" t="s">
        <v>74</v>
      </c>
      <c r="BD472">
        <v>111483</v>
      </c>
      <c r="BE472" t="s">
        <v>9311</v>
      </c>
      <c r="BF472" t="str">
        <f>HYPERLINK("http://dx.doi.org/10.1016/j.rse.2019.111483","http://dx.doi.org/10.1016/j.rse.2019.111483")</f>
        <v>http://dx.doi.org/10.1016/j.rse.2019.111483</v>
      </c>
      <c r="BG472" t="s">
        <v>74</v>
      </c>
      <c r="BH472" t="s">
        <v>74</v>
      </c>
      <c r="BI472">
        <v>9</v>
      </c>
      <c r="BJ472" t="s">
        <v>2138</v>
      </c>
      <c r="BK472" t="s">
        <v>103</v>
      </c>
      <c r="BL472" t="s">
        <v>2139</v>
      </c>
      <c r="BM472" t="s">
        <v>9295</v>
      </c>
      <c r="BN472" t="s">
        <v>74</v>
      </c>
      <c r="BO472" t="s">
        <v>865</v>
      </c>
      <c r="BP472" t="s">
        <v>74</v>
      </c>
      <c r="BQ472" t="s">
        <v>74</v>
      </c>
      <c r="BR472" t="s">
        <v>106</v>
      </c>
      <c r="BS472" t="s">
        <v>9312</v>
      </c>
      <c r="BT472" t="str">
        <f>HYPERLINK("https%3A%2F%2Fwww.webofscience.com%2Fwos%2Fwoscc%2Ffull-record%2FWOS:000509819300006","View Full Record in Web of Science")</f>
        <v>View Full Record in Web of Science</v>
      </c>
    </row>
    <row r="473" spans="1:72" x14ac:dyDescent="0.15">
      <c r="A473" t="s">
        <v>72</v>
      </c>
      <c r="B473" t="s">
        <v>9313</v>
      </c>
      <c r="C473" t="s">
        <v>74</v>
      </c>
      <c r="D473" t="s">
        <v>74</v>
      </c>
      <c r="E473" t="s">
        <v>74</v>
      </c>
      <c r="F473" t="s">
        <v>9314</v>
      </c>
      <c r="G473" t="s">
        <v>74</v>
      </c>
      <c r="H473" t="s">
        <v>74</v>
      </c>
      <c r="I473" t="s">
        <v>9315</v>
      </c>
      <c r="J473" t="s">
        <v>9316</v>
      </c>
      <c r="K473" t="s">
        <v>74</v>
      </c>
      <c r="L473" t="s">
        <v>74</v>
      </c>
      <c r="M473" t="s">
        <v>78</v>
      </c>
      <c r="N473" t="s">
        <v>79</v>
      </c>
      <c r="O473" t="s">
        <v>74</v>
      </c>
      <c r="P473" t="s">
        <v>74</v>
      </c>
      <c r="Q473" t="s">
        <v>74</v>
      </c>
      <c r="R473" t="s">
        <v>74</v>
      </c>
      <c r="S473" t="s">
        <v>74</v>
      </c>
      <c r="T473" t="s">
        <v>9317</v>
      </c>
      <c r="U473" t="s">
        <v>9318</v>
      </c>
      <c r="V473" t="s">
        <v>9319</v>
      </c>
      <c r="W473" t="s">
        <v>9320</v>
      </c>
      <c r="X473" t="s">
        <v>9321</v>
      </c>
      <c r="Y473" t="s">
        <v>9322</v>
      </c>
      <c r="Z473" t="s">
        <v>9323</v>
      </c>
      <c r="AA473" t="s">
        <v>9324</v>
      </c>
      <c r="AB473" t="s">
        <v>9325</v>
      </c>
      <c r="AC473" t="s">
        <v>74</v>
      </c>
      <c r="AD473" t="s">
        <v>74</v>
      </c>
      <c r="AE473" t="s">
        <v>74</v>
      </c>
      <c r="AF473" t="s">
        <v>74</v>
      </c>
      <c r="AG473">
        <v>126</v>
      </c>
      <c r="AH473">
        <v>20</v>
      </c>
      <c r="AI473">
        <v>21</v>
      </c>
      <c r="AJ473">
        <v>0</v>
      </c>
      <c r="AK473">
        <v>12</v>
      </c>
      <c r="AL473" t="s">
        <v>121</v>
      </c>
      <c r="AM473" t="s">
        <v>166</v>
      </c>
      <c r="AN473" t="s">
        <v>685</v>
      </c>
      <c r="AO473" t="s">
        <v>9326</v>
      </c>
      <c r="AP473" t="s">
        <v>9327</v>
      </c>
      <c r="AQ473" t="s">
        <v>74</v>
      </c>
      <c r="AR473" t="s">
        <v>9316</v>
      </c>
      <c r="AS473" t="s">
        <v>9328</v>
      </c>
      <c r="AT473" t="s">
        <v>803</v>
      </c>
      <c r="AU473">
        <v>2020</v>
      </c>
      <c r="AV473">
        <v>39</v>
      </c>
      <c r="AW473">
        <v>1</v>
      </c>
      <c r="AX473" t="s">
        <v>74</v>
      </c>
      <c r="AY473" t="s">
        <v>74</v>
      </c>
      <c r="AZ473" t="s">
        <v>74</v>
      </c>
      <c r="BA473" t="s">
        <v>74</v>
      </c>
      <c r="BB473">
        <v>69</v>
      </c>
      <c r="BC473">
        <v>83</v>
      </c>
      <c r="BD473" t="s">
        <v>74</v>
      </c>
      <c r="BE473" t="s">
        <v>9329</v>
      </c>
      <c r="BF473" t="str">
        <f>HYPERLINK("http://dx.doi.org/10.1007/s00338-019-01882-w","http://dx.doi.org/10.1007/s00338-019-01882-w")</f>
        <v>http://dx.doi.org/10.1007/s00338-019-01882-w</v>
      </c>
      <c r="BG473" t="s">
        <v>74</v>
      </c>
      <c r="BH473" t="s">
        <v>74</v>
      </c>
      <c r="BI473">
        <v>15</v>
      </c>
      <c r="BJ473" t="s">
        <v>344</v>
      </c>
      <c r="BK473" t="s">
        <v>103</v>
      </c>
      <c r="BL473" t="s">
        <v>344</v>
      </c>
      <c r="BM473" t="s">
        <v>9330</v>
      </c>
      <c r="BN473" t="s">
        <v>74</v>
      </c>
      <c r="BO473" t="s">
        <v>8364</v>
      </c>
      <c r="BP473" t="s">
        <v>74</v>
      </c>
      <c r="BQ473" t="s">
        <v>74</v>
      </c>
      <c r="BR473" t="s">
        <v>106</v>
      </c>
      <c r="BS473" t="s">
        <v>9331</v>
      </c>
      <c r="BT473" t="str">
        <f>HYPERLINK("https%3A%2F%2Fwww.webofscience.com%2Fwos%2Fwoscc%2Ffull-record%2FWOS:000511947300010","View Full Record in Web of Science")</f>
        <v>View Full Record in Web of Science</v>
      </c>
    </row>
    <row r="474" spans="1:72" x14ac:dyDescent="0.15">
      <c r="A474" t="s">
        <v>72</v>
      </c>
      <c r="B474" t="s">
        <v>9332</v>
      </c>
      <c r="C474" t="s">
        <v>74</v>
      </c>
      <c r="D474" t="s">
        <v>74</v>
      </c>
      <c r="E474" t="s">
        <v>74</v>
      </c>
      <c r="F474" t="s">
        <v>9333</v>
      </c>
      <c r="G474" t="s">
        <v>74</v>
      </c>
      <c r="H474" t="s">
        <v>74</v>
      </c>
      <c r="I474" t="s">
        <v>9334</v>
      </c>
      <c r="J474" t="s">
        <v>9335</v>
      </c>
      <c r="K474" t="s">
        <v>74</v>
      </c>
      <c r="L474" t="s">
        <v>74</v>
      </c>
      <c r="M474" t="s">
        <v>78</v>
      </c>
      <c r="N474" t="s">
        <v>79</v>
      </c>
      <c r="O474" t="s">
        <v>74</v>
      </c>
      <c r="P474" t="s">
        <v>74</v>
      </c>
      <c r="Q474" t="s">
        <v>74</v>
      </c>
      <c r="R474" t="s">
        <v>74</v>
      </c>
      <c r="S474" t="s">
        <v>74</v>
      </c>
      <c r="T474" t="s">
        <v>74</v>
      </c>
      <c r="U474" t="s">
        <v>9336</v>
      </c>
      <c r="V474" t="s">
        <v>9337</v>
      </c>
      <c r="W474" t="s">
        <v>9338</v>
      </c>
      <c r="X474" t="s">
        <v>9339</v>
      </c>
      <c r="Y474" t="s">
        <v>9340</v>
      </c>
      <c r="Z474" t="s">
        <v>9341</v>
      </c>
      <c r="AA474" t="s">
        <v>9342</v>
      </c>
      <c r="AB474" t="s">
        <v>9343</v>
      </c>
      <c r="AC474" t="s">
        <v>9344</v>
      </c>
      <c r="AD474" t="s">
        <v>8395</v>
      </c>
      <c r="AE474" t="s">
        <v>9345</v>
      </c>
      <c r="AF474" t="s">
        <v>74</v>
      </c>
      <c r="AG474">
        <v>35</v>
      </c>
      <c r="AH474">
        <v>8</v>
      </c>
      <c r="AI474">
        <v>11</v>
      </c>
      <c r="AJ474">
        <v>1</v>
      </c>
      <c r="AK474">
        <v>31</v>
      </c>
      <c r="AL474" t="s">
        <v>121</v>
      </c>
      <c r="AM474" t="s">
        <v>122</v>
      </c>
      <c r="AN474" t="s">
        <v>123</v>
      </c>
      <c r="AO474" t="s">
        <v>9346</v>
      </c>
      <c r="AP474" t="s">
        <v>9347</v>
      </c>
      <c r="AQ474" t="s">
        <v>74</v>
      </c>
      <c r="AR474" t="s">
        <v>9348</v>
      </c>
      <c r="AS474" t="s">
        <v>9349</v>
      </c>
      <c r="AT474" t="s">
        <v>803</v>
      </c>
      <c r="AU474">
        <v>2020</v>
      </c>
      <c r="AV474">
        <v>65</v>
      </c>
      <c r="AW474">
        <v>1</v>
      </c>
      <c r="AX474" t="s">
        <v>74</v>
      </c>
      <c r="AY474" t="s">
        <v>74</v>
      </c>
      <c r="AZ474" t="s">
        <v>74</v>
      </c>
      <c r="BA474" t="s">
        <v>74</v>
      </c>
      <c r="BB474">
        <v>95</v>
      </c>
      <c r="BC474">
        <v>102</v>
      </c>
      <c r="BD474" t="s">
        <v>74</v>
      </c>
      <c r="BE474" t="s">
        <v>9350</v>
      </c>
      <c r="BF474" t="str">
        <f>HYPERLINK("http://dx.doi.org/10.1007/s12223-019-00708-0","http://dx.doi.org/10.1007/s12223-019-00708-0")</f>
        <v>http://dx.doi.org/10.1007/s12223-019-00708-0</v>
      </c>
      <c r="BG474" t="s">
        <v>74</v>
      </c>
      <c r="BH474" t="s">
        <v>74</v>
      </c>
      <c r="BI474">
        <v>8</v>
      </c>
      <c r="BJ474" t="s">
        <v>8935</v>
      </c>
      <c r="BK474" t="s">
        <v>103</v>
      </c>
      <c r="BL474" t="s">
        <v>8935</v>
      </c>
      <c r="BM474" t="s">
        <v>9351</v>
      </c>
      <c r="BN474">
        <v>30982204</v>
      </c>
      <c r="BO474" t="s">
        <v>74</v>
      </c>
      <c r="BP474" t="s">
        <v>74</v>
      </c>
      <c r="BQ474" t="s">
        <v>74</v>
      </c>
      <c r="BR474" t="s">
        <v>106</v>
      </c>
      <c r="BS474" t="s">
        <v>9352</v>
      </c>
      <c r="BT474" t="str">
        <f>HYPERLINK("https%3A%2F%2Fwww.webofscience.com%2Fwos%2Fwoscc%2Ffull-record%2FWOS:000511921000008","View Full Record in Web of Science")</f>
        <v>View Full Record in Web of Science</v>
      </c>
    </row>
    <row r="475" spans="1:72" x14ac:dyDescent="0.15">
      <c r="A475" t="s">
        <v>72</v>
      </c>
      <c r="B475" t="s">
        <v>9353</v>
      </c>
      <c r="C475" t="s">
        <v>74</v>
      </c>
      <c r="D475" t="s">
        <v>74</v>
      </c>
      <c r="E475" t="s">
        <v>74</v>
      </c>
      <c r="F475" t="s">
        <v>9354</v>
      </c>
      <c r="G475" t="s">
        <v>74</v>
      </c>
      <c r="H475" t="s">
        <v>74</v>
      </c>
      <c r="I475" t="s">
        <v>9355</v>
      </c>
      <c r="J475" t="s">
        <v>619</v>
      </c>
      <c r="K475" t="s">
        <v>74</v>
      </c>
      <c r="L475" t="s">
        <v>74</v>
      </c>
      <c r="M475" t="s">
        <v>78</v>
      </c>
      <c r="N475" t="s">
        <v>79</v>
      </c>
      <c r="O475" t="s">
        <v>74</v>
      </c>
      <c r="P475" t="s">
        <v>74</v>
      </c>
      <c r="Q475" t="s">
        <v>74</v>
      </c>
      <c r="R475" t="s">
        <v>74</v>
      </c>
      <c r="S475" t="s">
        <v>74</v>
      </c>
      <c r="T475" t="s">
        <v>9356</v>
      </c>
      <c r="U475" t="s">
        <v>9357</v>
      </c>
      <c r="V475" t="s">
        <v>9358</v>
      </c>
      <c r="W475" t="s">
        <v>9359</v>
      </c>
      <c r="X475" t="s">
        <v>9360</v>
      </c>
      <c r="Y475" t="s">
        <v>9361</v>
      </c>
      <c r="Z475" t="s">
        <v>9362</v>
      </c>
      <c r="AA475" t="s">
        <v>9363</v>
      </c>
      <c r="AB475" t="s">
        <v>74</v>
      </c>
      <c r="AC475" t="s">
        <v>74</v>
      </c>
      <c r="AD475" t="s">
        <v>74</v>
      </c>
      <c r="AE475" t="s">
        <v>74</v>
      </c>
      <c r="AF475" t="s">
        <v>74</v>
      </c>
      <c r="AG475">
        <v>30</v>
      </c>
      <c r="AH475">
        <v>4</v>
      </c>
      <c r="AI475">
        <v>5</v>
      </c>
      <c r="AJ475">
        <v>0</v>
      </c>
      <c r="AK475">
        <v>7</v>
      </c>
      <c r="AL475" t="s">
        <v>631</v>
      </c>
      <c r="AM475" t="s">
        <v>632</v>
      </c>
      <c r="AN475" t="s">
        <v>633</v>
      </c>
      <c r="AO475" t="s">
        <v>9364</v>
      </c>
      <c r="AP475" t="s">
        <v>635</v>
      </c>
      <c r="AQ475" t="s">
        <v>74</v>
      </c>
      <c r="AR475" t="s">
        <v>636</v>
      </c>
      <c r="AS475" t="s">
        <v>637</v>
      </c>
      <c r="AT475" t="s">
        <v>803</v>
      </c>
      <c r="AU475">
        <v>2020</v>
      </c>
      <c r="AV475">
        <v>19</v>
      </c>
      <c r="AW475">
        <v>1</v>
      </c>
      <c r="AX475" t="s">
        <v>74</v>
      </c>
      <c r="AY475" t="s">
        <v>74</v>
      </c>
      <c r="AZ475" t="s">
        <v>74</v>
      </c>
      <c r="BA475" t="s">
        <v>74</v>
      </c>
      <c r="BB475">
        <v>151</v>
      </c>
      <c r="BC475">
        <v>160</v>
      </c>
      <c r="BD475" t="s">
        <v>74</v>
      </c>
      <c r="BE475" t="s">
        <v>9365</v>
      </c>
      <c r="BF475" t="str">
        <f>HYPERLINK("http://dx.doi.org/10.1007/s11802-020-4235-5","http://dx.doi.org/10.1007/s11802-020-4235-5")</f>
        <v>http://dx.doi.org/10.1007/s11802-020-4235-5</v>
      </c>
      <c r="BG475" t="s">
        <v>74</v>
      </c>
      <c r="BH475" t="s">
        <v>74</v>
      </c>
      <c r="BI475">
        <v>10</v>
      </c>
      <c r="BJ475" t="s">
        <v>639</v>
      </c>
      <c r="BK475" t="s">
        <v>103</v>
      </c>
      <c r="BL475" t="s">
        <v>639</v>
      </c>
      <c r="BM475" t="s">
        <v>9366</v>
      </c>
      <c r="BN475" t="s">
        <v>74</v>
      </c>
      <c r="BO475" t="s">
        <v>74</v>
      </c>
      <c r="BP475" t="s">
        <v>74</v>
      </c>
      <c r="BQ475" t="s">
        <v>74</v>
      </c>
      <c r="BR475" t="s">
        <v>106</v>
      </c>
      <c r="BS475" t="s">
        <v>9367</v>
      </c>
      <c r="BT475" t="str">
        <f>HYPERLINK("https%3A%2F%2Fwww.webofscience.com%2Fwos%2Fwoscc%2Ffull-record%2FWOS:000511965100015","View Full Record in Web of Science")</f>
        <v>View Full Record in Web of Science</v>
      </c>
    </row>
    <row r="476" spans="1:72" x14ac:dyDescent="0.15">
      <c r="A476" t="s">
        <v>72</v>
      </c>
      <c r="B476" t="s">
        <v>9368</v>
      </c>
      <c r="C476" t="s">
        <v>74</v>
      </c>
      <c r="D476" t="s">
        <v>74</v>
      </c>
      <c r="E476" t="s">
        <v>74</v>
      </c>
      <c r="F476" t="s">
        <v>9369</v>
      </c>
      <c r="G476" t="s">
        <v>74</v>
      </c>
      <c r="H476" t="s">
        <v>74</v>
      </c>
      <c r="I476" t="s">
        <v>9370</v>
      </c>
      <c r="J476" t="s">
        <v>619</v>
      </c>
      <c r="K476" t="s">
        <v>74</v>
      </c>
      <c r="L476" t="s">
        <v>74</v>
      </c>
      <c r="M476" t="s">
        <v>78</v>
      </c>
      <c r="N476" t="s">
        <v>79</v>
      </c>
      <c r="O476" t="s">
        <v>74</v>
      </c>
      <c r="P476" t="s">
        <v>74</v>
      </c>
      <c r="Q476" t="s">
        <v>74</v>
      </c>
      <c r="R476" t="s">
        <v>74</v>
      </c>
      <c r="S476" t="s">
        <v>74</v>
      </c>
      <c r="T476" t="s">
        <v>9371</v>
      </c>
      <c r="U476" t="s">
        <v>9372</v>
      </c>
      <c r="V476" t="s">
        <v>9373</v>
      </c>
      <c r="W476" t="s">
        <v>9374</v>
      </c>
      <c r="X476" t="s">
        <v>9375</v>
      </c>
      <c r="Y476" t="s">
        <v>9376</v>
      </c>
      <c r="Z476" t="s">
        <v>9377</v>
      </c>
      <c r="AA476" t="s">
        <v>9378</v>
      </c>
      <c r="AB476" t="s">
        <v>74</v>
      </c>
      <c r="AC476" t="s">
        <v>74</v>
      </c>
      <c r="AD476" t="s">
        <v>74</v>
      </c>
      <c r="AE476" t="s">
        <v>74</v>
      </c>
      <c r="AF476" t="s">
        <v>74</v>
      </c>
      <c r="AG476">
        <v>37</v>
      </c>
      <c r="AH476">
        <v>5</v>
      </c>
      <c r="AI476">
        <v>6</v>
      </c>
      <c r="AJ476">
        <v>1</v>
      </c>
      <c r="AK476">
        <v>20</v>
      </c>
      <c r="AL476" t="s">
        <v>631</v>
      </c>
      <c r="AM476" t="s">
        <v>632</v>
      </c>
      <c r="AN476" t="s">
        <v>633</v>
      </c>
      <c r="AO476" t="s">
        <v>9364</v>
      </c>
      <c r="AP476" t="s">
        <v>635</v>
      </c>
      <c r="AQ476" t="s">
        <v>74</v>
      </c>
      <c r="AR476" t="s">
        <v>636</v>
      </c>
      <c r="AS476" t="s">
        <v>637</v>
      </c>
      <c r="AT476" t="s">
        <v>803</v>
      </c>
      <c r="AU476">
        <v>2020</v>
      </c>
      <c r="AV476">
        <v>19</v>
      </c>
      <c r="AW476">
        <v>1</v>
      </c>
      <c r="AX476" t="s">
        <v>74</v>
      </c>
      <c r="AY476" t="s">
        <v>74</v>
      </c>
      <c r="AZ476" t="s">
        <v>74</v>
      </c>
      <c r="BA476" t="s">
        <v>74</v>
      </c>
      <c r="BB476">
        <v>209</v>
      </c>
      <c r="BC476">
        <v>215</v>
      </c>
      <c r="BD476" t="s">
        <v>74</v>
      </c>
      <c r="BE476" t="s">
        <v>9379</v>
      </c>
      <c r="BF476" t="str">
        <f>HYPERLINK("http://dx.doi.org/10.1007/s11802-020-4174-1","http://dx.doi.org/10.1007/s11802-020-4174-1")</f>
        <v>http://dx.doi.org/10.1007/s11802-020-4174-1</v>
      </c>
      <c r="BG476" t="s">
        <v>74</v>
      </c>
      <c r="BH476" t="s">
        <v>74</v>
      </c>
      <c r="BI476">
        <v>7</v>
      </c>
      <c r="BJ476" t="s">
        <v>639</v>
      </c>
      <c r="BK476" t="s">
        <v>103</v>
      </c>
      <c r="BL476" t="s">
        <v>639</v>
      </c>
      <c r="BM476" t="s">
        <v>9366</v>
      </c>
      <c r="BN476" t="s">
        <v>74</v>
      </c>
      <c r="BO476" t="s">
        <v>74</v>
      </c>
      <c r="BP476" t="s">
        <v>74</v>
      </c>
      <c r="BQ476" t="s">
        <v>74</v>
      </c>
      <c r="BR476" t="s">
        <v>106</v>
      </c>
      <c r="BS476" t="s">
        <v>9380</v>
      </c>
      <c r="BT476" t="str">
        <f>HYPERLINK("https%3A%2F%2Fwww.webofscience.com%2Fwos%2Fwoscc%2Ffull-record%2FWOS:000511965100021","View Full Record in Web of Science")</f>
        <v>View Full Record in Web of Science</v>
      </c>
    </row>
    <row r="477" spans="1:72" x14ac:dyDescent="0.15">
      <c r="A477" t="s">
        <v>72</v>
      </c>
      <c r="B477" t="s">
        <v>9381</v>
      </c>
      <c r="C477" t="s">
        <v>74</v>
      </c>
      <c r="D477" t="s">
        <v>74</v>
      </c>
      <c r="E477" t="s">
        <v>74</v>
      </c>
      <c r="F477" t="s">
        <v>9382</v>
      </c>
      <c r="G477" t="s">
        <v>74</v>
      </c>
      <c r="H477" t="s">
        <v>74</v>
      </c>
      <c r="I477" t="s">
        <v>9383</v>
      </c>
      <c r="J477" t="s">
        <v>4995</v>
      </c>
      <c r="K477" t="s">
        <v>74</v>
      </c>
      <c r="L477" t="s">
        <v>74</v>
      </c>
      <c r="M477" t="s">
        <v>78</v>
      </c>
      <c r="N477" t="s">
        <v>79</v>
      </c>
      <c r="O477" t="s">
        <v>74</v>
      </c>
      <c r="P477" t="s">
        <v>74</v>
      </c>
      <c r="Q477" t="s">
        <v>74</v>
      </c>
      <c r="R477" t="s">
        <v>74</v>
      </c>
      <c r="S477" t="s">
        <v>74</v>
      </c>
      <c r="T477" t="s">
        <v>9384</v>
      </c>
      <c r="U477" t="s">
        <v>9385</v>
      </c>
      <c r="V477" t="s">
        <v>9386</v>
      </c>
      <c r="W477" t="s">
        <v>9387</v>
      </c>
      <c r="X477" t="s">
        <v>9388</v>
      </c>
      <c r="Y477" t="s">
        <v>9389</v>
      </c>
      <c r="Z477" t="s">
        <v>9390</v>
      </c>
      <c r="AA477" t="s">
        <v>74</v>
      </c>
      <c r="AB477" t="s">
        <v>74</v>
      </c>
      <c r="AC477" t="s">
        <v>9391</v>
      </c>
      <c r="AD477" t="s">
        <v>9392</v>
      </c>
      <c r="AE477" t="s">
        <v>9393</v>
      </c>
      <c r="AF477" t="s">
        <v>74</v>
      </c>
      <c r="AG477">
        <v>63</v>
      </c>
      <c r="AH477">
        <v>12</v>
      </c>
      <c r="AI477">
        <v>12</v>
      </c>
      <c r="AJ477">
        <v>0</v>
      </c>
      <c r="AK477">
        <v>2</v>
      </c>
      <c r="AL477" t="s">
        <v>4959</v>
      </c>
      <c r="AM477" t="s">
        <v>435</v>
      </c>
      <c r="AN477" t="s">
        <v>4960</v>
      </c>
      <c r="AO477" t="s">
        <v>5007</v>
      </c>
      <c r="AP477" t="s">
        <v>5008</v>
      </c>
      <c r="AQ477" t="s">
        <v>74</v>
      </c>
      <c r="AR477" t="s">
        <v>5009</v>
      </c>
      <c r="AS477" t="s">
        <v>5010</v>
      </c>
      <c r="AT477" t="s">
        <v>803</v>
      </c>
      <c r="AU477">
        <v>2020</v>
      </c>
      <c r="AV477">
        <v>146</v>
      </c>
      <c r="AW477" t="s">
        <v>74</v>
      </c>
      <c r="AX477" t="s">
        <v>74</v>
      </c>
      <c r="AY477" t="s">
        <v>74</v>
      </c>
      <c r="AZ477" t="s">
        <v>74</v>
      </c>
      <c r="BA477" t="s">
        <v>74</v>
      </c>
      <c r="BB477" t="s">
        <v>74</v>
      </c>
      <c r="BC477" t="s">
        <v>74</v>
      </c>
      <c r="BD477">
        <v>101536</v>
      </c>
      <c r="BE477" t="s">
        <v>9394</v>
      </c>
      <c r="BF477" t="str">
        <f>HYPERLINK("http://dx.doi.org/10.1016/j.ocemod.2019.101536","http://dx.doi.org/10.1016/j.ocemod.2019.101536")</f>
        <v>http://dx.doi.org/10.1016/j.ocemod.2019.101536</v>
      </c>
      <c r="BG477" t="s">
        <v>74</v>
      </c>
      <c r="BH477" t="s">
        <v>74</v>
      </c>
      <c r="BI477">
        <v>16</v>
      </c>
      <c r="BJ477" t="s">
        <v>1766</v>
      </c>
      <c r="BK477" t="s">
        <v>103</v>
      </c>
      <c r="BL477" t="s">
        <v>1766</v>
      </c>
      <c r="BM477" t="s">
        <v>9395</v>
      </c>
      <c r="BN477" t="s">
        <v>74</v>
      </c>
      <c r="BO477" t="s">
        <v>148</v>
      </c>
      <c r="BP477" t="s">
        <v>74</v>
      </c>
      <c r="BQ477" t="s">
        <v>74</v>
      </c>
      <c r="BR477" t="s">
        <v>106</v>
      </c>
      <c r="BS477" t="s">
        <v>9396</v>
      </c>
      <c r="BT477" t="str">
        <f>HYPERLINK("https%3A%2F%2Fwww.webofscience.com%2Fwos%2Fwoscc%2Ffull-record%2FWOS:000512990600003","View Full Record in Web of Science")</f>
        <v>View Full Record in Web of Science</v>
      </c>
    </row>
    <row r="478" spans="1:72" x14ac:dyDescent="0.15">
      <c r="A478" t="s">
        <v>72</v>
      </c>
      <c r="B478" t="s">
        <v>9397</v>
      </c>
      <c r="C478" t="s">
        <v>74</v>
      </c>
      <c r="D478" t="s">
        <v>74</v>
      </c>
      <c r="E478" t="s">
        <v>74</v>
      </c>
      <c r="F478" t="s">
        <v>9398</v>
      </c>
      <c r="G478" t="s">
        <v>74</v>
      </c>
      <c r="H478" t="s">
        <v>74</v>
      </c>
      <c r="I478" t="s">
        <v>9399</v>
      </c>
      <c r="J478" t="s">
        <v>4973</v>
      </c>
      <c r="K478" t="s">
        <v>74</v>
      </c>
      <c r="L478" t="s">
        <v>74</v>
      </c>
      <c r="M478" t="s">
        <v>78</v>
      </c>
      <c r="N478" t="s">
        <v>79</v>
      </c>
      <c r="O478" t="s">
        <v>74</v>
      </c>
      <c r="P478" t="s">
        <v>74</v>
      </c>
      <c r="Q478" t="s">
        <v>74</v>
      </c>
      <c r="R478" t="s">
        <v>74</v>
      </c>
      <c r="S478" t="s">
        <v>74</v>
      </c>
      <c r="T478" t="s">
        <v>9400</v>
      </c>
      <c r="U478" t="s">
        <v>9401</v>
      </c>
      <c r="V478" t="s">
        <v>9402</v>
      </c>
      <c r="W478" t="s">
        <v>9403</v>
      </c>
      <c r="X478" t="s">
        <v>9404</v>
      </c>
      <c r="Y478" t="s">
        <v>9405</v>
      </c>
      <c r="Z478" t="s">
        <v>9406</v>
      </c>
      <c r="AA478" t="s">
        <v>9407</v>
      </c>
      <c r="AB478" t="s">
        <v>9408</v>
      </c>
      <c r="AC478" t="s">
        <v>9409</v>
      </c>
      <c r="AD478" t="s">
        <v>9410</v>
      </c>
      <c r="AE478" t="s">
        <v>9411</v>
      </c>
      <c r="AF478" t="s">
        <v>74</v>
      </c>
      <c r="AG478">
        <v>54</v>
      </c>
      <c r="AH478">
        <v>12</v>
      </c>
      <c r="AI478">
        <v>12</v>
      </c>
      <c r="AJ478">
        <v>0</v>
      </c>
      <c r="AK478">
        <v>5</v>
      </c>
      <c r="AL478" t="s">
        <v>434</v>
      </c>
      <c r="AM478" t="s">
        <v>435</v>
      </c>
      <c r="AN478" t="s">
        <v>436</v>
      </c>
      <c r="AO478" t="s">
        <v>4986</v>
      </c>
      <c r="AP478" t="s">
        <v>74</v>
      </c>
      <c r="AQ478" t="s">
        <v>74</v>
      </c>
      <c r="AR478" t="s">
        <v>4987</v>
      </c>
      <c r="AS478" t="s">
        <v>4988</v>
      </c>
      <c r="AT478" t="s">
        <v>803</v>
      </c>
      <c r="AU478">
        <v>2020</v>
      </c>
      <c r="AV478">
        <v>181</v>
      </c>
      <c r="AW478" t="s">
        <v>74</v>
      </c>
      <c r="AX478" t="s">
        <v>74</v>
      </c>
      <c r="AY478" t="s">
        <v>74</v>
      </c>
      <c r="AZ478" t="s">
        <v>74</v>
      </c>
      <c r="BA478" t="s">
        <v>74</v>
      </c>
      <c r="BB478" t="s">
        <v>74</v>
      </c>
      <c r="BC478" t="s">
        <v>74</v>
      </c>
      <c r="BD478">
        <v>102254</v>
      </c>
      <c r="BE478" t="s">
        <v>9412</v>
      </c>
      <c r="BF478" t="str">
        <f>HYPERLINK("http://dx.doi.org/10.1016/j.pocean.2019.102254","http://dx.doi.org/10.1016/j.pocean.2019.102254")</f>
        <v>http://dx.doi.org/10.1016/j.pocean.2019.102254</v>
      </c>
      <c r="BG478" t="s">
        <v>74</v>
      </c>
      <c r="BH478" t="s">
        <v>74</v>
      </c>
      <c r="BI478">
        <v>20</v>
      </c>
      <c r="BJ478" t="s">
        <v>639</v>
      </c>
      <c r="BK478" t="s">
        <v>103</v>
      </c>
      <c r="BL478" t="s">
        <v>639</v>
      </c>
      <c r="BM478" t="s">
        <v>9413</v>
      </c>
      <c r="BN478" t="s">
        <v>74</v>
      </c>
      <c r="BO478" t="s">
        <v>74</v>
      </c>
      <c r="BP478" t="s">
        <v>74</v>
      </c>
      <c r="BQ478" t="s">
        <v>74</v>
      </c>
      <c r="BR478" t="s">
        <v>106</v>
      </c>
      <c r="BS478" t="s">
        <v>9414</v>
      </c>
      <c r="BT478" t="str">
        <f>HYPERLINK("https%3A%2F%2Fwww.webofscience.com%2Fwos%2Fwoscc%2Ffull-record%2FWOS:000512481200015","View Full Record in Web of Science")</f>
        <v>View Full Record in Web of Science</v>
      </c>
    </row>
    <row r="479" spans="1:72" x14ac:dyDescent="0.15">
      <c r="A479" t="s">
        <v>72</v>
      </c>
      <c r="B479" t="s">
        <v>9415</v>
      </c>
      <c r="C479" t="s">
        <v>74</v>
      </c>
      <c r="D479" t="s">
        <v>74</v>
      </c>
      <c r="E479" t="s">
        <v>74</v>
      </c>
      <c r="F479" t="s">
        <v>9416</v>
      </c>
      <c r="G479" t="s">
        <v>74</v>
      </c>
      <c r="H479" t="s">
        <v>74</v>
      </c>
      <c r="I479" t="s">
        <v>9417</v>
      </c>
      <c r="J479" t="s">
        <v>4973</v>
      </c>
      <c r="K479" t="s">
        <v>74</v>
      </c>
      <c r="L479" t="s">
        <v>74</v>
      </c>
      <c r="M479" t="s">
        <v>78</v>
      </c>
      <c r="N479" t="s">
        <v>79</v>
      </c>
      <c r="O479" t="s">
        <v>74</v>
      </c>
      <c r="P479" t="s">
        <v>74</v>
      </c>
      <c r="Q479" t="s">
        <v>74</v>
      </c>
      <c r="R479" t="s">
        <v>74</v>
      </c>
      <c r="S479" t="s">
        <v>74</v>
      </c>
      <c r="T479" t="s">
        <v>9418</v>
      </c>
      <c r="U479" t="s">
        <v>9419</v>
      </c>
      <c r="V479" t="s">
        <v>9420</v>
      </c>
      <c r="W479" t="s">
        <v>9421</v>
      </c>
      <c r="X479" t="s">
        <v>9422</v>
      </c>
      <c r="Y479" t="s">
        <v>9423</v>
      </c>
      <c r="Z479" t="s">
        <v>9424</v>
      </c>
      <c r="AA479" t="s">
        <v>74</v>
      </c>
      <c r="AB479" t="s">
        <v>9425</v>
      </c>
      <c r="AC479" t="s">
        <v>9426</v>
      </c>
      <c r="AD479" t="s">
        <v>9427</v>
      </c>
      <c r="AE479" t="s">
        <v>9428</v>
      </c>
      <c r="AF479" t="s">
        <v>74</v>
      </c>
      <c r="AG479">
        <v>116</v>
      </c>
      <c r="AH479">
        <v>11</v>
      </c>
      <c r="AI479">
        <v>12</v>
      </c>
      <c r="AJ479">
        <v>0</v>
      </c>
      <c r="AK479">
        <v>9</v>
      </c>
      <c r="AL479" t="s">
        <v>434</v>
      </c>
      <c r="AM479" t="s">
        <v>435</v>
      </c>
      <c r="AN479" t="s">
        <v>436</v>
      </c>
      <c r="AO479" t="s">
        <v>4986</v>
      </c>
      <c r="AP479" t="s">
        <v>74</v>
      </c>
      <c r="AQ479" t="s">
        <v>74</v>
      </c>
      <c r="AR479" t="s">
        <v>4987</v>
      </c>
      <c r="AS479" t="s">
        <v>4988</v>
      </c>
      <c r="AT479" t="s">
        <v>803</v>
      </c>
      <c r="AU479">
        <v>2020</v>
      </c>
      <c r="AV479">
        <v>181</v>
      </c>
      <c r="AW479" t="s">
        <v>74</v>
      </c>
      <c r="AX479" t="s">
        <v>74</v>
      </c>
      <c r="AY479" t="s">
        <v>74</v>
      </c>
      <c r="AZ479" t="s">
        <v>74</v>
      </c>
      <c r="BA479" t="s">
        <v>74</v>
      </c>
      <c r="BB479" t="s">
        <v>74</v>
      </c>
      <c r="BC479" t="s">
        <v>74</v>
      </c>
      <c r="BD479">
        <v>102224</v>
      </c>
      <c r="BE479" t="s">
        <v>9429</v>
      </c>
      <c r="BF479" t="str">
        <f>HYPERLINK("http://dx.doi.org/10.1016/j.pocean.2019.102224","http://dx.doi.org/10.1016/j.pocean.2019.102224")</f>
        <v>http://dx.doi.org/10.1016/j.pocean.2019.102224</v>
      </c>
      <c r="BG479" t="s">
        <v>74</v>
      </c>
      <c r="BH479" t="s">
        <v>74</v>
      </c>
      <c r="BI479">
        <v>16</v>
      </c>
      <c r="BJ479" t="s">
        <v>639</v>
      </c>
      <c r="BK479" t="s">
        <v>103</v>
      </c>
      <c r="BL479" t="s">
        <v>639</v>
      </c>
      <c r="BM479" t="s">
        <v>9413</v>
      </c>
      <c r="BN479" t="s">
        <v>74</v>
      </c>
      <c r="BO479" t="s">
        <v>148</v>
      </c>
      <c r="BP479" t="s">
        <v>74</v>
      </c>
      <c r="BQ479" t="s">
        <v>74</v>
      </c>
      <c r="BR479" t="s">
        <v>106</v>
      </c>
      <c r="BS479" t="s">
        <v>9430</v>
      </c>
      <c r="BT479" t="str">
        <f>HYPERLINK("https%3A%2F%2Fwww.webofscience.com%2Fwos%2Fwoscc%2Ffull-record%2FWOS:000512481200002","View Full Record in Web of Science")</f>
        <v>View Full Record in Web of Science</v>
      </c>
    </row>
    <row r="480" spans="1:72" x14ac:dyDescent="0.15">
      <c r="A480" t="s">
        <v>72</v>
      </c>
      <c r="B480" t="s">
        <v>9431</v>
      </c>
      <c r="C480" t="s">
        <v>74</v>
      </c>
      <c r="D480" t="s">
        <v>74</v>
      </c>
      <c r="E480" t="s">
        <v>74</v>
      </c>
      <c r="F480" t="s">
        <v>9432</v>
      </c>
      <c r="G480" t="s">
        <v>74</v>
      </c>
      <c r="H480" t="s">
        <v>74</v>
      </c>
      <c r="I480" t="s">
        <v>9433</v>
      </c>
      <c r="J480" t="s">
        <v>9434</v>
      </c>
      <c r="K480" t="s">
        <v>74</v>
      </c>
      <c r="L480" t="s">
        <v>74</v>
      </c>
      <c r="M480" t="s">
        <v>78</v>
      </c>
      <c r="N480" t="s">
        <v>79</v>
      </c>
      <c r="O480" t="s">
        <v>74</v>
      </c>
      <c r="P480" t="s">
        <v>74</v>
      </c>
      <c r="Q480" t="s">
        <v>74</v>
      </c>
      <c r="R480" t="s">
        <v>74</v>
      </c>
      <c r="S480" t="s">
        <v>74</v>
      </c>
      <c r="T480" t="s">
        <v>9435</v>
      </c>
      <c r="U480" t="s">
        <v>9436</v>
      </c>
      <c r="V480" t="s">
        <v>9437</v>
      </c>
      <c r="W480" t="s">
        <v>9438</v>
      </c>
      <c r="X480" t="s">
        <v>9439</v>
      </c>
      <c r="Y480" t="s">
        <v>9440</v>
      </c>
      <c r="Z480" t="s">
        <v>9441</v>
      </c>
      <c r="AA480" t="s">
        <v>74</v>
      </c>
      <c r="AB480" t="s">
        <v>9442</v>
      </c>
      <c r="AC480" t="s">
        <v>74</v>
      </c>
      <c r="AD480" t="s">
        <v>74</v>
      </c>
      <c r="AE480" t="s">
        <v>74</v>
      </c>
      <c r="AF480" t="s">
        <v>74</v>
      </c>
      <c r="AG480">
        <v>36</v>
      </c>
      <c r="AH480">
        <v>1</v>
      </c>
      <c r="AI480">
        <v>1</v>
      </c>
      <c r="AJ480">
        <v>2</v>
      </c>
      <c r="AK480">
        <v>45</v>
      </c>
      <c r="AL480" t="s">
        <v>289</v>
      </c>
      <c r="AM480" t="s">
        <v>290</v>
      </c>
      <c r="AN480" t="s">
        <v>291</v>
      </c>
      <c r="AO480" t="s">
        <v>9443</v>
      </c>
      <c r="AP480" t="s">
        <v>9444</v>
      </c>
      <c r="AQ480" t="s">
        <v>74</v>
      </c>
      <c r="AR480" t="s">
        <v>9445</v>
      </c>
      <c r="AS480" t="s">
        <v>9446</v>
      </c>
      <c r="AT480" t="s">
        <v>803</v>
      </c>
      <c r="AU480">
        <v>2020</v>
      </c>
      <c r="AV480">
        <v>24</v>
      </c>
      <c r="AW480" t="s">
        <v>74</v>
      </c>
      <c r="AX480" t="s">
        <v>74</v>
      </c>
      <c r="AY480" t="s">
        <v>74</v>
      </c>
      <c r="AZ480" t="s">
        <v>74</v>
      </c>
      <c r="BA480" t="s">
        <v>74</v>
      </c>
      <c r="BB480">
        <v>50</v>
      </c>
      <c r="BC480">
        <v>63</v>
      </c>
      <c r="BD480" t="s">
        <v>74</v>
      </c>
      <c r="BE480" t="s">
        <v>9447</v>
      </c>
      <c r="BF480" t="str">
        <f>HYPERLINK("http://dx.doi.org/10.1016/j.lssr.2019.12.001","http://dx.doi.org/10.1016/j.lssr.2019.12.001")</f>
        <v>http://dx.doi.org/10.1016/j.lssr.2019.12.001</v>
      </c>
      <c r="BG480" t="s">
        <v>74</v>
      </c>
      <c r="BH480" t="s">
        <v>74</v>
      </c>
      <c r="BI480">
        <v>14</v>
      </c>
      <c r="BJ480" t="s">
        <v>9448</v>
      </c>
      <c r="BK480" t="s">
        <v>103</v>
      </c>
      <c r="BL480" t="s">
        <v>9449</v>
      </c>
      <c r="BM480" t="s">
        <v>9450</v>
      </c>
      <c r="BN480">
        <v>31987480</v>
      </c>
      <c r="BO480" t="s">
        <v>74</v>
      </c>
      <c r="BP480" t="s">
        <v>74</v>
      </c>
      <c r="BQ480" t="s">
        <v>74</v>
      </c>
      <c r="BR480" t="s">
        <v>106</v>
      </c>
      <c r="BS480" t="s">
        <v>9451</v>
      </c>
      <c r="BT480" t="str">
        <f>HYPERLINK("https%3A%2F%2Fwww.webofscience.com%2Fwos%2Fwoscc%2Ffull-record%2FWOS:000509563100007","View Full Record in Web of Science")</f>
        <v>View Full Record in Web of Science</v>
      </c>
    </row>
    <row r="481" spans="1:72" x14ac:dyDescent="0.15">
      <c r="A481" t="s">
        <v>72</v>
      </c>
      <c r="B481" t="s">
        <v>9452</v>
      </c>
      <c r="C481" t="s">
        <v>74</v>
      </c>
      <c r="D481" t="s">
        <v>74</v>
      </c>
      <c r="E481" t="s">
        <v>74</v>
      </c>
      <c r="F481" t="s">
        <v>9453</v>
      </c>
      <c r="G481" t="s">
        <v>74</v>
      </c>
      <c r="H481" t="s">
        <v>74</v>
      </c>
      <c r="I481" t="s">
        <v>9454</v>
      </c>
      <c r="J481" t="s">
        <v>9455</v>
      </c>
      <c r="K481" t="s">
        <v>74</v>
      </c>
      <c r="L481" t="s">
        <v>74</v>
      </c>
      <c r="M481" t="s">
        <v>78</v>
      </c>
      <c r="N481" t="s">
        <v>79</v>
      </c>
      <c r="O481" t="s">
        <v>74</v>
      </c>
      <c r="P481" t="s">
        <v>74</v>
      </c>
      <c r="Q481" t="s">
        <v>74</v>
      </c>
      <c r="R481" t="s">
        <v>74</v>
      </c>
      <c r="S481" t="s">
        <v>74</v>
      </c>
      <c r="T481" t="s">
        <v>9456</v>
      </c>
      <c r="U481" t="s">
        <v>9457</v>
      </c>
      <c r="V481" t="s">
        <v>9458</v>
      </c>
      <c r="W481" t="s">
        <v>9459</v>
      </c>
      <c r="X481" t="s">
        <v>9460</v>
      </c>
      <c r="Y481" t="s">
        <v>9461</v>
      </c>
      <c r="Z481" t="s">
        <v>9462</v>
      </c>
      <c r="AA481" t="s">
        <v>74</v>
      </c>
      <c r="AB481" t="s">
        <v>9463</v>
      </c>
      <c r="AC481" t="s">
        <v>9464</v>
      </c>
      <c r="AD481" t="s">
        <v>3577</v>
      </c>
      <c r="AE481" t="s">
        <v>9465</v>
      </c>
      <c r="AF481" t="s">
        <v>74</v>
      </c>
      <c r="AG481">
        <v>40</v>
      </c>
      <c r="AH481">
        <v>10</v>
      </c>
      <c r="AI481">
        <v>10</v>
      </c>
      <c r="AJ481">
        <v>0</v>
      </c>
      <c r="AK481">
        <v>8</v>
      </c>
      <c r="AL481" t="s">
        <v>4084</v>
      </c>
      <c r="AM481" t="s">
        <v>4085</v>
      </c>
      <c r="AN481" t="s">
        <v>4086</v>
      </c>
      <c r="AO481" t="s">
        <v>9466</v>
      </c>
      <c r="AP481" t="s">
        <v>9467</v>
      </c>
      <c r="AQ481" t="s">
        <v>74</v>
      </c>
      <c r="AR481" t="s">
        <v>9468</v>
      </c>
      <c r="AS481" t="s">
        <v>9469</v>
      </c>
      <c r="AT481" t="s">
        <v>803</v>
      </c>
      <c r="AU481">
        <v>2020</v>
      </c>
      <c r="AV481">
        <v>148</v>
      </c>
      <c r="AW481">
        <v>2</v>
      </c>
      <c r="AX481" t="s">
        <v>74</v>
      </c>
      <c r="AY481" t="s">
        <v>74</v>
      </c>
      <c r="AZ481" t="s">
        <v>74</v>
      </c>
      <c r="BA481" t="s">
        <v>74</v>
      </c>
      <c r="BB481">
        <v>857</v>
      </c>
      <c r="BC481">
        <v>873</v>
      </c>
      <c r="BD481" t="s">
        <v>74</v>
      </c>
      <c r="BE481" t="s">
        <v>9470</v>
      </c>
      <c r="BF481" t="str">
        <f>HYPERLINK("http://dx.doi.org/10.1175/MWR-D-19-0103.1","http://dx.doi.org/10.1175/MWR-D-19-0103.1")</f>
        <v>http://dx.doi.org/10.1175/MWR-D-19-0103.1</v>
      </c>
      <c r="BG481" t="s">
        <v>74</v>
      </c>
      <c r="BH481" t="s">
        <v>74</v>
      </c>
      <c r="BI481">
        <v>17</v>
      </c>
      <c r="BJ481" t="s">
        <v>907</v>
      </c>
      <c r="BK481" t="s">
        <v>103</v>
      </c>
      <c r="BL481" t="s">
        <v>907</v>
      </c>
      <c r="BM481" t="s">
        <v>9471</v>
      </c>
      <c r="BN481" t="s">
        <v>74</v>
      </c>
      <c r="BO481" t="s">
        <v>517</v>
      </c>
      <c r="BP481" t="s">
        <v>74</v>
      </c>
      <c r="BQ481" t="s">
        <v>74</v>
      </c>
      <c r="BR481" t="s">
        <v>106</v>
      </c>
      <c r="BS481" t="s">
        <v>9472</v>
      </c>
      <c r="BT481" t="str">
        <f>HYPERLINK("https%3A%2F%2Fwww.webofscience.com%2Fwos%2Fwoscc%2Ffull-record%2FWOS:000511937800002","View Full Record in Web of Science")</f>
        <v>View Full Record in Web of Science</v>
      </c>
    </row>
    <row r="482" spans="1:72" x14ac:dyDescent="0.15">
      <c r="A482" t="s">
        <v>72</v>
      </c>
      <c r="B482" t="s">
        <v>9473</v>
      </c>
      <c r="C482" t="s">
        <v>74</v>
      </c>
      <c r="D482" t="s">
        <v>74</v>
      </c>
      <c r="E482" t="s">
        <v>74</v>
      </c>
      <c r="F482" t="s">
        <v>9474</v>
      </c>
      <c r="G482" t="s">
        <v>74</v>
      </c>
      <c r="H482" t="s">
        <v>74</v>
      </c>
      <c r="I482" t="s">
        <v>9475</v>
      </c>
      <c r="J482" t="s">
        <v>9476</v>
      </c>
      <c r="K482" t="s">
        <v>74</v>
      </c>
      <c r="L482" t="s">
        <v>74</v>
      </c>
      <c r="M482" t="s">
        <v>78</v>
      </c>
      <c r="N482" t="s">
        <v>79</v>
      </c>
      <c r="O482" t="s">
        <v>74</v>
      </c>
      <c r="P482" t="s">
        <v>74</v>
      </c>
      <c r="Q482" t="s">
        <v>74</v>
      </c>
      <c r="R482" t="s">
        <v>74</v>
      </c>
      <c r="S482" t="s">
        <v>74</v>
      </c>
      <c r="T482" t="s">
        <v>74</v>
      </c>
      <c r="U482" t="s">
        <v>9477</v>
      </c>
      <c r="V482" t="s">
        <v>9478</v>
      </c>
      <c r="W482" t="s">
        <v>9479</v>
      </c>
      <c r="X482" t="s">
        <v>9480</v>
      </c>
      <c r="Y482" t="s">
        <v>9481</v>
      </c>
      <c r="Z482" t="s">
        <v>9482</v>
      </c>
      <c r="AA482" t="s">
        <v>74</v>
      </c>
      <c r="AB482" t="s">
        <v>9483</v>
      </c>
      <c r="AC482" t="s">
        <v>74</v>
      </c>
      <c r="AD482" t="s">
        <v>74</v>
      </c>
      <c r="AE482" t="s">
        <v>74</v>
      </c>
      <c r="AF482" t="s">
        <v>74</v>
      </c>
      <c r="AG482">
        <v>72</v>
      </c>
      <c r="AH482">
        <v>24</v>
      </c>
      <c r="AI482">
        <v>24</v>
      </c>
      <c r="AJ482">
        <v>2</v>
      </c>
      <c r="AK482">
        <v>12</v>
      </c>
      <c r="AL482" t="s">
        <v>121</v>
      </c>
      <c r="AM482" t="s">
        <v>122</v>
      </c>
      <c r="AN482" t="s">
        <v>123</v>
      </c>
      <c r="AO482" t="s">
        <v>9484</v>
      </c>
      <c r="AP482" t="s">
        <v>9485</v>
      </c>
      <c r="AQ482" t="s">
        <v>74</v>
      </c>
      <c r="AR482" t="s">
        <v>9486</v>
      </c>
      <c r="AS482" t="s">
        <v>9487</v>
      </c>
      <c r="AT482" t="s">
        <v>803</v>
      </c>
      <c r="AU482">
        <v>2020</v>
      </c>
      <c r="AV482">
        <v>97</v>
      </c>
      <c r="AW482">
        <v>1</v>
      </c>
      <c r="AX482" t="s">
        <v>74</v>
      </c>
      <c r="AY482" t="s">
        <v>74</v>
      </c>
      <c r="AZ482" t="s">
        <v>74</v>
      </c>
      <c r="BA482" t="s">
        <v>74</v>
      </c>
      <c r="BB482">
        <v>1</v>
      </c>
      <c r="BC482">
        <v>23</v>
      </c>
      <c r="BD482" t="s">
        <v>74</v>
      </c>
      <c r="BE482" t="s">
        <v>9488</v>
      </c>
      <c r="BF482" t="str">
        <f>HYPERLINK("http://dx.doi.org/10.1007/s11230-019-09896-2","http://dx.doi.org/10.1007/s11230-019-09896-2")</f>
        <v>http://dx.doi.org/10.1007/s11230-019-09896-2</v>
      </c>
      <c r="BG482" t="s">
        <v>74</v>
      </c>
      <c r="BH482" t="s">
        <v>74</v>
      </c>
      <c r="BI482">
        <v>23</v>
      </c>
      <c r="BJ482" t="s">
        <v>9489</v>
      </c>
      <c r="BK482" t="s">
        <v>103</v>
      </c>
      <c r="BL482" t="s">
        <v>9489</v>
      </c>
      <c r="BM482" t="s">
        <v>9490</v>
      </c>
      <c r="BN482">
        <v>31912420</v>
      </c>
      <c r="BO482" t="s">
        <v>298</v>
      </c>
      <c r="BP482" t="s">
        <v>74</v>
      </c>
      <c r="BQ482" t="s">
        <v>74</v>
      </c>
      <c r="BR482" t="s">
        <v>106</v>
      </c>
      <c r="BS482" t="s">
        <v>9491</v>
      </c>
      <c r="BT482" t="str">
        <f>HYPERLINK("https%3A%2F%2Fwww.webofscience.com%2Fwos%2Fwoscc%2Ffull-record%2FWOS:000511715500001","View Full Record in Web of Science")</f>
        <v>View Full Record in Web of Science</v>
      </c>
    </row>
    <row r="483" spans="1:72" x14ac:dyDescent="0.15">
      <c r="A483" t="s">
        <v>72</v>
      </c>
      <c r="B483" t="s">
        <v>9492</v>
      </c>
      <c r="C483" t="s">
        <v>74</v>
      </c>
      <c r="D483" t="s">
        <v>74</v>
      </c>
      <c r="E483" t="s">
        <v>74</v>
      </c>
      <c r="F483" t="s">
        <v>9493</v>
      </c>
      <c r="G483" t="s">
        <v>74</v>
      </c>
      <c r="H483" t="s">
        <v>74</v>
      </c>
      <c r="I483" t="s">
        <v>9494</v>
      </c>
      <c r="J483" t="s">
        <v>2180</v>
      </c>
      <c r="K483" t="s">
        <v>74</v>
      </c>
      <c r="L483" t="s">
        <v>74</v>
      </c>
      <c r="M483" t="s">
        <v>78</v>
      </c>
      <c r="N483" t="s">
        <v>79</v>
      </c>
      <c r="O483" t="s">
        <v>74</v>
      </c>
      <c r="P483" t="s">
        <v>74</v>
      </c>
      <c r="Q483" t="s">
        <v>74</v>
      </c>
      <c r="R483" t="s">
        <v>74</v>
      </c>
      <c r="S483" t="s">
        <v>74</v>
      </c>
      <c r="T483" t="s">
        <v>9495</v>
      </c>
      <c r="U483" t="s">
        <v>9496</v>
      </c>
      <c r="V483" t="s">
        <v>9497</v>
      </c>
      <c r="W483" t="s">
        <v>9498</v>
      </c>
      <c r="X483" t="s">
        <v>9499</v>
      </c>
      <c r="Y483" t="s">
        <v>9500</v>
      </c>
      <c r="Z483" t="s">
        <v>9501</v>
      </c>
      <c r="AA483" t="s">
        <v>9502</v>
      </c>
      <c r="AB483" t="s">
        <v>9503</v>
      </c>
      <c r="AC483" t="s">
        <v>9504</v>
      </c>
      <c r="AD483" t="s">
        <v>9505</v>
      </c>
      <c r="AE483" t="s">
        <v>9506</v>
      </c>
      <c r="AF483" t="s">
        <v>74</v>
      </c>
      <c r="AG483">
        <v>49</v>
      </c>
      <c r="AH483">
        <v>12</v>
      </c>
      <c r="AI483">
        <v>14</v>
      </c>
      <c r="AJ483">
        <v>0</v>
      </c>
      <c r="AK483">
        <v>12</v>
      </c>
      <c r="AL483" t="s">
        <v>289</v>
      </c>
      <c r="AM483" t="s">
        <v>290</v>
      </c>
      <c r="AN483" t="s">
        <v>291</v>
      </c>
      <c r="AO483" t="s">
        <v>2193</v>
      </c>
      <c r="AP483" t="s">
        <v>2194</v>
      </c>
      <c r="AQ483" t="s">
        <v>74</v>
      </c>
      <c r="AR483" t="s">
        <v>2195</v>
      </c>
      <c r="AS483" t="s">
        <v>2196</v>
      </c>
      <c r="AT483" t="s">
        <v>8137</v>
      </c>
      <c r="AU483">
        <v>2020</v>
      </c>
      <c r="AV483">
        <v>531</v>
      </c>
      <c r="AW483" t="s">
        <v>74</v>
      </c>
      <c r="AX483" t="s">
        <v>74</v>
      </c>
      <c r="AY483" t="s">
        <v>74</v>
      </c>
      <c r="AZ483" t="s">
        <v>74</v>
      </c>
      <c r="BA483" t="s">
        <v>74</v>
      </c>
      <c r="BB483" t="s">
        <v>74</v>
      </c>
      <c r="BC483" t="s">
        <v>74</v>
      </c>
      <c r="BD483">
        <v>115957</v>
      </c>
      <c r="BE483" t="s">
        <v>9507</v>
      </c>
      <c r="BF483" t="str">
        <f>HYPERLINK("http://dx.doi.org/10.1016/j.epsl.2019.115957","http://dx.doi.org/10.1016/j.epsl.2019.115957")</f>
        <v>http://dx.doi.org/10.1016/j.epsl.2019.115957</v>
      </c>
      <c r="BG483" t="s">
        <v>74</v>
      </c>
      <c r="BH483" t="s">
        <v>74</v>
      </c>
      <c r="BI483">
        <v>11</v>
      </c>
      <c r="BJ483" t="s">
        <v>442</v>
      </c>
      <c r="BK483" t="s">
        <v>103</v>
      </c>
      <c r="BL483" t="s">
        <v>442</v>
      </c>
      <c r="BM483" t="s">
        <v>9508</v>
      </c>
      <c r="BN483" t="s">
        <v>74</v>
      </c>
      <c r="BO483" t="s">
        <v>74</v>
      </c>
      <c r="BP483" t="s">
        <v>74</v>
      </c>
      <c r="BQ483" t="s">
        <v>74</v>
      </c>
      <c r="BR483" t="s">
        <v>106</v>
      </c>
      <c r="BS483" t="s">
        <v>9509</v>
      </c>
      <c r="BT483" t="str">
        <f>HYPERLINK("https%3A%2F%2Fwww.webofscience.com%2Fwos%2Fwoscc%2Ffull-record%2FWOS:000510947100016","View Full Record in Web of Science")</f>
        <v>View Full Record in Web of Science</v>
      </c>
    </row>
    <row r="484" spans="1:72" x14ac:dyDescent="0.15">
      <c r="A484" t="s">
        <v>72</v>
      </c>
      <c r="B484" t="s">
        <v>9510</v>
      </c>
      <c r="C484" t="s">
        <v>74</v>
      </c>
      <c r="D484" t="s">
        <v>74</v>
      </c>
      <c r="E484" t="s">
        <v>74</v>
      </c>
      <c r="F484" t="s">
        <v>9511</v>
      </c>
      <c r="G484" t="s">
        <v>74</v>
      </c>
      <c r="H484" t="s">
        <v>74</v>
      </c>
      <c r="I484" t="s">
        <v>9512</v>
      </c>
      <c r="J484" t="s">
        <v>2180</v>
      </c>
      <c r="K484" t="s">
        <v>74</v>
      </c>
      <c r="L484" t="s">
        <v>74</v>
      </c>
      <c r="M484" t="s">
        <v>78</v>
      </c>
      <c r="N484" t="s">
        <v>79</v>
      </c>
      <c r="O484" t="s">
        <v>74</v>
      </c>
      <c r="P484" t="s">
        <v>74</v>
      </c>
      <c r="Q484" t="s">
        <v>74</v>
      </c>
      <c r="R484" t="s">
        <v>74</v>
      </c>
      <c r="S484" t="s">
        <v>74</v>
      </c>
      <c r="T484" t="s">
        <v>9513</v>
      </c>
      <c r="U484" t="s">
        <v>9514</v>
      </c>
      <c r="V484" t="s">
        <v>9515</v>
      </c>
      <c r="W484" t="s">
        <v>9516</v>
      </c>
      <c r="X484" t="s">
        <v>9517</v>
      </c>
      <c r="Y484" t="s">
        <v>9518</v>
      </c>
      <c r="Z484" t="s">
        <v>9519</v>
      </c>
      <c r="AA484" t="s">
        <v>9520</v>
      </c>
      <c r="AB484" t="s">
        <v>9521</v>
      </c>
      <c r="AC484" t="s">
        <v>9522</v>
      </c>
      <c r="AD484" t="s">
        <v>9523</v>
      </c>
      <c r="AE484" t="s">
        <v>9524</v>
      </c>
      <c r="AF484" t="s">
        <v>74</v>
      </c>
      <c r="AG484">
        <v>63</v>
      </c>
      <c r="AH484">
        <v>27</v>
      </c>
      <c r="AI484">
        <v>32</v>
      </c>
      <c r="AJ484">
        <v>0</v>
      </c>
      <c r="AK484">
        <v>24</v>
      </c>
      <c r="AL484" t="s">
        <v>289</v>
      </c>
      <c r="AM484" t="s">
        <v>290</v>
      </c>
      <c r="AN484" t="s">
        <v>291</v>
      </c>
      <c r="AO484" t="s">
        <v>2193</v>
      </c>
      <c r="AP484" t="s">
        <v>2194</v>
      </c>
      <c r="AQ484" t="s">
        <v>74</v>
      </c>
      <c r="AR484" t="s">
        <v>2195</v>
      </c>
      <c r="AS484" t="s">
        <v>2196</v>
      </c>
      <c r="AT484" t="s">
        <v>8137</v>
      </c>
      <c r="AU484">
        <v>2020</v>
      </c>
      <c r="AV484">
        <v>531</v>
      </c>
      <c r="AW484" t="s">
        <v>74</v>
      </c>
      <c r="AX484" t="s">
        <v>74</v>
      </c>
      <c r="AY484" t="s">
        <v>74</v>
      </c>
      <c r="AZ484" t="s">
        <v>74</v>
      </c>
      <c r="BA484" t="s">
        <v>74</v>
      </c>
      <c r="BB484" t="s">
        <v>74</v>
      </c>
      <c r="BC484" t="s">
        <v>74</v>
      </c>
      <c r="BD484">
        <v>115998</v>
      </c>
      <c r="BE484" t="s">
        <v>9525</v>
      </c>
      <c r="BF484" t="str">
        <f>HYPERLINK("http://dx.doi.org/10.1016/j.epsl.2019.115998","http://dx.doi.org/10.1016/j.epsl.2019.115998")</f>
        <v>http://dx.doi.org/10.1016/j.epsl.2019.115998</v>
      </c>
      <c r="BG484" t="s">
        <v>74</v>
      </c>
      <c r="BH484" t="s">
        <v>74</v>
      </c>
      <c r="BI484">
        <v>10</v>
      </c>
      <c r="BJ484" t="s">
        <v>442</v>
      </c>
      <c r="BK484" t="s">
        <v>103</v>
      </c>
      <c r="BL484" t="s">
        <v>442</v>
      </c>
      <c r="BM484" t="s">
        <v>9508</v>
      </c>
      <c r="BN484" t="s">
        <v>74</v>
      </c>
      <c r="BO484" t="s">
        <v>133</v>
      </c>
      <c r="BP484" t="s">
        <v>74</v>
      </c>
      <c r="BQ484" t="s">
        <v>74</v>
      </c>
      <c r="BR484" t="s">
        <v>106</v>
      </c>
      <c r="BS484" t="s">
        <v>9526</v>
      </c>
      <c r="BT484" t="str">
        <f>HYPERLINK("https%3A%2F%2Fwww.webofscience.com%2Fwos%2Fwoscc%2Ffull-record%2FWOS:000510947100046","View Full Record in Web of Science")</f>
        <v>View Full Record in Web of Science</v>
      </c>
    </row>
    <row r="485" spans="1:72" x14ac:dyDescent="0.15">
      <c r="A485" t="s">
        <v>72</v>
      </c>
      <c r="B485" t="s">
        <v>9527</v>
      </c>
      <c r="C485" t="s">
        <v>74</v>
      </c>
      <c r="D485" t="s">
        <v>74</v>
      </c>
      <c r="E485" t="s">
        <v>74</v>
      </c>
      <c r="F485" t="s">
        <v>9528</v>
      </c>
      <c r="G485" t="s">
        <v>74</v>
      </c>
      <c r="H485" t="s">
        <v>74</v>
      </c>
      <c r="I485" t="s">
        <v>9529</v>
      </c>
      <c r="J485" t="s">
        <v>2180</v>
      </c>
      <c r="K485" t="s">
        <v>74</v>
      </c>
      <c r="L485" t="s">
        <v>74</v>
      </c>
      <c r="M485" t="s">
        <v>78</v>
      </c>
      <c r="N485" t="s">
        <v>79</v>
      </c>
      <c r="O485" t="s">
        <v>74</v>
      </c>
      <c r="P485" t="s">
        <v>74</v>
      </c>
      <c r="Q485" t="s">
        <v>74</v>
      </c>
      <c r="R485" t="s">
        <v>74</v>
      </c>
      <c r="S485" t="s">
        <v>74</v>
      </c>
      <c r="T485" t="s">
        <v>9530</v>
      </c>
      <c r="U485" t="s">
        <v>9531</v>
      </c>
      <c r="V485" t="s">
        <v>9532</v>
      </c>
      <c r="W485" t="s">
        <v>9533</v>
      </c>
      <c r="X485" t="s">
        <v>9534</v>
      </c>
      <c r="Y485" t="s">
        <v>9535</v>
      </c>
      <c r="Z485" t="s">
        <v>9536</v>
      </c>
      <c r="AA485" t="s">
        <v>9537</v>
      </c>
      <c r="AB485" t="s">
        <v>9538</v>
      </c>
      <c r="AC485" t="s">
        <v>9539</v>
      </c>
      <c r="AD485" t="s">
        <v>9540</v>
      </c>
      <c r="AE485" t="s">
        <v>9541</v>
      </c>
      <c r="AF485" t="s">
        <v>74</v>
      </c>
      <c r="AG485">
        <v>46</v>
      </c>
      <c r="AH485">
        <v>21</v>
      </c>
      <c r="AI485">
        <v>21</v>
      </c>
      <c r="AJ485">
        <v>4</v>
      </c>
      <c r="AK485">
        <v>20</v>
      </c>
      <c r="AL485" t="s">
        <v>289</v>
      </c>
      <c r="AM485" t="s">
        <v>290</v>
      </c>
      <c r="AN485" t="s">
        <v>291</v>
      </c>
      <c r="AO485" t="s">
        <v>2193</v>
      </c>
      <c r="AP485" t="s">
        <v>2194</v>
      </c>
      <c r="AQ485" t="s">
        <v>74</v>
      </c>
      <c r="AR485" t="s">
        <v>2195</v>
      </c>
      <c r="AS485" t="s">
        <v>2196</v>
      </c>
      <c r="AT485" t="s">
        <v>8137</v>
      </c>
      <c r="AU485">
        <v>2020</v>
      </c>
      <c r="AV485">
        <v>531</v>
      </c>
      <c r="AW485" t="s">
        <v>74</v>
      </c>
      <c r="AX485" t="s">
        <v>74</v>
      </c>
      <c r="AY485" t="s">
        <v>74</v>
      </c>
      <c r="AZ485" t="s">
        <v>74</v>
      </c>
      <c r="BA485" t="s">
        <v>74</v>
      </c>
      <c r="BB485" t="s">
        <v>74</v>
      </c>
      <c r="BC485" t="s">
        <v>74</v>
      </c>
      <c r="BD485">
        <v>115961</v>
      </c>
      <c r="BE485" t="s">
        <v>9542</v>
      </c>
      <c r="BF485" t="str">
        <f>HYPERLINK("http://dx.doi.org/10.1016/j.epsl.2019.115961","http://dx.doi.org/10.1016/j.epsl.2019.115961")</f>
        <v>http://dx.doi.org/10.1016/j.epsl.2019.115961</v>
      </c>
      <c r="BG485" t="s">
        <v>74</v>
      </c>
      <c r="BH485" t="s">
        <v>74</v>
      </c>
      <c r="BI485">
        <v>9</v>
      </c>
      <c r="BJ485" t="s">
        <v>442</v>
      </c>
      <c r="BK485" t="s">
        <v>103</v>
      </c>
      <c r="BL485" t="s">
        <v>442</v>
      </c>
      <c r="BM485" t="s">
        <v>9508</v>
      </c>
      <c r="BN485" t="s">
        <v>74</v>
      </c>
      <c r="BO485" t="s">
        <v>74</v>
      </c>
      <c r="BP485" t="s">
        <v>74</v>
      </c>
      <c r="BQ485" t="s">
        <v>74</v>
      </c>
      <c r="BR485" t="s">
        <v>106</v>
      </c>
      <c r="BS485" t="s">
        <v>9543</v>
      </c>
      <c r="BT485" t="str">
        <f>HYPERLINK("https%3A%2F%2Fwww.webofscience.com%2Fwos%2Fwoscc%2Ffull-record%2FWOS:000510947100019","View Full Record in Web of Science")</f>
        <v>View Full Record in Web of Science</v>
      </c>
    </row>
    <row r="486" spans="1:72" x14ac:dyDescent="0.15">
      <c r="A486" t="s">
        <v>72</v>
      </c>
      <c r="B486" t="s">
        <v>9544</v>
      </c>
      <c r="C486" t="s">
        <v>74</v>
      </c>
      <c r="D486" t="s">
        <v>74</v>
      </c>
      <c r="E486" t="s">
        <v>74</v>
      </c>
      <c r="F486" t="s">
        <v>9545</v>
      </c>
      <c r="G486" t="s">
        <v>74</v>
      </c>
      <c r="H486" t="s">
        <v>74</v>
      </c>
      <c r="I486" t="s">
        <v>9546</v>
      </c>
      <c r="J486" t="s">
        <v>2180</v>
      </c>
      <c r="K486" t="s">
        <v>74</v>
      </c>
      <c r="L486" t="s">
        <v>74</v>
      </c>
      <c r="M486" t="s">
        <v>78</v>
      </c>
      <c r="N486" t="s">
        <v>79</v>
      </c>
      <c r="O486" t="s">
        <v>74</v>
      </c>
      <c r="P486" t="s">
        <v>74</v>
      </c>
      <c r="Q486" t="s">
        <v>74</v>
      </c>
      <c r="R486" t="s">
        <v>74</v>
      </c>
      <c r="S486" t="s">
        <v>74</v>
      </c>
      <c r="T486" t="s">
        <v>9547</v>
      </c>
      <c r="U486" t="s">
        <v>9548</v>
      </c>
      <c r="V486" t="s">
        <v>9549</v>
      </c>
      <c r="W486" t="s">
        <v>9550</v>
      </c>
      <c r="X486" t="s">
        <v>9551</v>
      </c>
      <c r="Y486" t="s">
        <v>9552</v>
      </c>
      <c r="Z486" t="s">
        <v>9553</v>
      </c>
      <c r="AA486" t="s">
        <v>9554</v>
      </c>
      <c r="AB486" t="s">
        <v>9555</v>
      </c>
      <c r="AC486" t="s">
        <v>9556</v>
      </c>
      <c r="AD486" t="s">
        <v>9557</v>
      </c>
      <c r="AE486" t="s">
        <v>9558</v>
      </c>
      <c r="AF486" t="s">
        <v>74</v>
      </c>
      <c r="AG486">
        <v>50</v>
      </c>
      <c r="AH486">
        <v>16</v>
      </c>
      <c r="AI486">
        <v>16</v>
      </c>
      <c r="AJ486">
        <v>1</v>
      </c>
      <c r="AK486">
        <v>13</v>
      </c>
      <c r="AL486" t="s">
        <v>289</v>
      </c>
      <c r="AM486" t="s">
        <v>290</v>
      </c>
      <c r="AN486" t="s">
        <v>291</v>
      </c>
      <c r="AO486" t="s">
        <v>2193</v>
      </c>
      <c r="AP486" t="s">
        <v>2194</v>
      </c>
      <c r="AQ486" t="s">
        <v>74</v>
      </c>
      <c r="AR486" t="s">
        <v>2195</v>
      </c>
      <c r="AS486" t="s">
        <v>2196</v>
      </c>
      <c r="AT486" t="s">
        <v>8137</v>
      </c>
      <c r="AU486">
        <v>2020</v>
      </c>
      <c r="AV486">
        <v>531</v>
      </c>
      <c r="AW486" t="s">
        <v>74</v>
      </c>
      <c r="AX486" t="s">
        <v>74</v>
      </c>
      <c r="AY486" t="s">
        <v>74</v>
      </c>
      <c r="AZ486" t="s">
        <v>74</v>
      </c>
      <c r="BA486" t="s">
        <v>74</v>
      </c>
      <c r="BB486" t="s">
        <v>74</v>
      </c>
      <c r="BC486" t="s">
        <v>74</v>
      </c>
      <c r="BD486">
        <v>115953</v>
      </c>
      <c r="BE486" t="s">
        <v>9559</v>
      </c>
      <c r="BF486" t="str">
        <f>HYPERLINK("http://dx.doi.org/10.1016/j.epsl.2019.115953","http://dx.doi.org/10.1016/j.epsl.2019.115953")</f>
        <v>http://dx.doi.org/10.1016/j.epsl.2019.115953</v>
      </c>
      <c r="BG486" t="s">
        <v>74</v>
      </c>
      <c r="BH486" t="s">
        <v>74</v>
      </c>
      <c r="BI486">
        <v>11</v>
      </c>
      <c r="BJ486" t="s">
        <v>442</v>
      </c>
      <c r="BK486" t="s">
        <v>103</v>
      </c>
      <c r="BL486" t="s">
        <v>442</v>
      </c>
      <c r="BM486" t="s">
        <v>9508</v>
      </c>
      <c r="BN486" t="s">
        <v>74</v>
      </c>
      <c r="BO486" t="s">
        <v>74</v>
      </c>
      <c r="BP486" t="s">
        <v>74</v>
      </c>
      <c r="BQ486" t="s">
        <v>74</v>
      </c>
      <c r="BR486" t="s">
        <v>106</v>
      </c>
      <c r="BS486" t="s">
        <v>9560</v>
      </c>
      <c r="BT486" t="str">
        <f>HYPERLINK("https%3A%2F%2Fwww.webofscience.com%2Fwos%2Fwoscc%2Ffull-record%2FWOS:000510947100012","View Full Record in Web of Science")</f>
        <v>View Full Record in Web of Science</v>
      </c>
    </row>
    <row r="487" spans="1:72" x14ac:dyDescent="0.15">
      <c r="A487" t="s">
        <v>72</v>
      </c>
      <c r="B487" t="s">
        <v>9561</v>
      </c>
      <c r="C487" t="s">
        <v>74</v>
      </c>
      <c r="D487" t="s">
        <v>74</v>
      </c>
      <c r="E487" t="s">
        <v>74</v>
      </c>
      <c r="F487" t="s">
        <v>9562</v>
      </c>
      <c r="G487" t="s">
        <v>74</v>
      </c>
      <c r="H487" t="s">
        <v>74</v>
      </c>
      <c r="I487" t="s">
        <v>9563</v>
      </c>
      <c r="J487" t="s">
        <v>2180</v>
      </c>
      <c r="K487" t="s">
        <v>74</v>
      </c>
      <c r="L487" t="s">
        <v>74</v>
      </c>
      <c r="M487" t="s">
        <v>78</v>
      </c>
      <c r="N487" t="s">
        <v>79</v>
      </c>
      <c r="O487" t="s">
        <v>74</v>
      </c>
      <c r="P487" t="s">
        <v>74</v>
      </c>
      <c r="Q487" t="s">
        <v>74</v>
      </c>
      <c r="R487" t="s">
        <v>74</v>
      </c>
      <c r="S487" t="s">
        <v>74</v>
      </c>
      <c r="T487" t="s">
        <v>9564</v>
      </c>
      <c r="U487" t="s">
        <v>9565</v>
      </c>
      <c r="V487" t="s">
        <v>9566</v>
      </c>
      <c r="W487" t="s">
        <v>9567</v>
      </c>
      <c r="X487" t="s">
        <v>9568</v>
      </c>
      <c r="Y487" t="s">
        <v>9569</v>
      </c>
      <c r="Z487" t="s">
        <v>9570</v>
      </c>
      <c r="AA487" t="s">
        <v>9571</v>
      </c>
      <c r="AB487" t="s">
        <v>9572</v>
      </c>
      <c r="AC487" t="s">
        <v>9573</v>
      </c>
      <c r="AD487" t="s">
        <v>9574</v>
      </c>
      <c r="AE487" t="s">
        <v>9575</v>
      </c>
      <c r="AF487" t="s">
        <v>74</v>
      </c>
      <c r="AG487">
        <v>69</v>
      </c>
      <c r="AH487">
        <v>10</v>
      </c>
      <c r="AI487">
        <v>11</v>
      </c>
      <c r="AJ487">
        <v>0</v>
      </c>
      <c r="AK487">
        <v>16</v>
      </c>
      <c r="AL487" t="s">
        <v>289</v>
      </c>
      <c r="AM487" t="s">
        <v>290</v>
      </c>
      <c r="AN487" t="s">
        <v>291</v>
      </c>
      <c r="AO487" t="s">
        <v>2193</v>
      </c>
      <c r="AP487" t="s">
        <v>2194</v>
      </c>
      <c r="AQ487" t="s">
        <v>74</v>
      </c>
      <c r="AR487" t="s">
        <v>2195</v>
      </c>
      <c r="AS487" t="s">
        <v>2196</v>
      </c>
      <c r="AT487" t="s">
        <v>8137</v>
      </c>
      <c r="AU487">
        <v>2020</v>
      </c>
      <c r="AV487">
        <v>531</v>
      </c>
      <c r="AW487" t="s">
        <v>74</v>
      </c>
      <c r="AX487" t="s">
        <v>74</v>
      </c>
      <c r="AY487" t="s">
        <v>74</v>
      </c>
      <c r="AZ487" t="s">
        <v>74</v>
      </c>
      <c r="BA487" t="s">
        <v>74</v>
      </c>
      <c r="BB487" t="s">
        <v>74</v>
      </c>
      <c r="BC487" t="s">
        <v>74</v>
      </c>
      <c r="BD487">
        <v>115963</v>
      </c>
      <c r="BE487" t="s">
        <v>9576</v>
      </c>
      <c r="BF487" t="str">
        <f>HYPERLINK("http://dx.doi.org/10.1016/j.epsl.2019.115963","http://dx.doi.org/10.1016/j.epsl.2019.115963")</f>
        <v>http://dx.doi.org/10.1016/j.epsl.2019.115963</v>
      </c>
      <c r="BG487" t="s">
        <v>74</v>
      </c>
      <c r="BH487" t="s">
        <v>74</v>
      </c>
      <c r="BI487">
        <v>11</v>
      </c>
      <c r="BJ487" t="s">
        <v>442</v>
      </c>
      <c r="BK487" t="s">
        <v>103</v>
      </c>
      <c r="BL487" t="s">
        <v>442</v>
      </c>
      <c r="BM487" t="s">
        <v>9508</v>
      </c>
      <c r="BN487" t="s">
        <v>74</v>
      </c>
      <c r="BO487" t="s">
        <v>74</v>
      </c>
      <c r="BP487" t="s">
        <v>74</v>
      </c>
      <c r="BQ487" t="s">
        <v>74</v>
      </c>
      <c r="BR487" t="s">
        <v>106</v>
      </c>
      <c r="BS487" t="s">
        <v>9577</v>
      </c>
      <c r="BT487" t="str">
        <f>HYPERLINK("https%3A%2F%2Fwww.webofscience.com%2Fwos%2Fwoscc%2Ffull-record%2FWOS:000510947100021","View Full Record in Web of Science")</f>
        <v>View Full Record in Web of Science</v>
      </c>
    </row>
    <row r="488" spans="1:72" x14ac:dyDescent="0.15">
      <c r="A488" t="s">
        <v>72</v>
      </c>
      <c r="B488" t="s">
        <v>9578</v>
      </c>
      <c r="C488" t="s">
        <v>74</v>
      </c>
      <c r="D488" t="s">
        <v>74</v>
      </c>
      <c r="E488" t="s">
        <v>74</v>
      </c>
      <c r="F488" t="s">
        <v>9579</v>
      </c>
      <c r="G488" t="s">
        <v>74</v>
      </c>
      <c r="H488" t="s">
        <v>74</v>
      </c>
      <c r="I488" t="s">
        <v>9580</v>
      </c>
      <c r="J488" t="s">
        <v>9581</v>
      </c>
      <c r="K488" t="s">
        <v>74</v>
      </c>
      <c r="L488" t="s">
        <v>74</v>
      </c>
      <c r="M488" t="s">
        <v>78</v>
      </c>
      <c r="N488" t="s">
        <v>79</v>
      </c>
      <c r="O488" t="s">
        <v>74</v>
      </c>
      <c r="P488" t="s">
        <v>74</v>
      </c>
      <c r="Q488" t="s">
        <v>74</v>
      </c>
      <c r="R488" t="s">
        <v>74</v>
      </c>
      <c r="S488" t="s">
        <v>74</v>
      </c>
      <c r="T488" t="s">
        <v>9582</v>
      </c>
      <c r="U488" t="s">
        <v>74</v>
      </c>
      <c r="V488" t="s">
        <v>9583</v>
      </c>
      <c r="W488" t="s">
        <v>9584</v>
      </c>
      <c r="X488" t="s">
        <v>9585</v>
      </c>
      <c r="Y488" t="s">
        <v>9586</v>
      </c>
      <c r="Z488" t="s">
        <v>9587</v>
      </c>
      <c r="AA488" t="s">
        <v>74</v>
      </c>
      <c r="AB488" t="s">
        <v>74</v>
      </c>
      <c r="AC488" t="s">
        <v>9588</v>
      </c>
      <c r="AD488" t="s">
        <v>9588</v>
      </c>
      <c r="AE488" t="s">
        <v>9589</v>
      </c>
      <c r="AF488" t="s">
        <v>74</v>
      </c>
      <c r="AG488">
        <v>20</v>
      </c>
      <c r="AH488">
        <v>0</v>
      </c>
      <c r="AI488">
        <v>0</v>
      </c>
      <c r="AJ488">
        <v>5</v>
      </c>
      <c r="AK488">
        <v>10</v>
      </c>
      <c r="AL488" t="s">
        <v>9590</v>
      </c>
      <c r="AM488" t="s">
        <v>9591</v>
      </c>
      <c r="AN488" t="s">
        <v>9592</v>
      </c>
      <c r="AO488" t="s">
        <v>9593</v>
      </c>
      <c r="AP488" t="s">
        <v>9594</v>
      </c>
      <c r="AQ488" t="s">
        <v>74</v>
      </c>
      <c r="AR488" t="s">
        <v>9595</v>
      </c>
      <c r="AS488" t="s">
        <v>9596</v>
      </c>
      <c r="AT488" t="s">
        <v>803</v>
      </c>
      <c r="AU488">
        <v>2020</v>
      </c>
      <c r="AV488">
        <v>58</v>
      </c>
      <c r="AW488">
        <v>2</v>
      </c>
      <c r="AX488" t="s">
        <v>74</v>
      </c>
      <c r="AY488" t="s">
        <v>74</v>
      </c>
      <c r="AZ488" t="s">
        <v>74</v>
      </c>
      <c r="BA488" t="s">
        <v>74</v>
      </c>
      <c r="BB488">
        <v>1392</v>
      </c>
      <c r="BC488">
        <v>1397</v>
      </c>
      <c r="BD488" t="s">
        <v>74</v>
      </c>
      <c r="BE488" t="s">
        <v>9597</v>
      </c>
      <c r="BF488" t="str">
        <f>HYPERLINK("http://dx.doi.org/10.1109/TGRS.2019.2946154","http://dx.doi.org/10.1109/TGRS.2019.2946154")</f>
        <v>http://dx.doi.org/10.1109/TGRS.2019.2946154</v>
      </c>
      <c r="BG488" t="s">
        <v>74</v>
      </c>
      <c r="BH488" t="s">
        <v>74</v>
      </c>
      <c r="BI488">
        <v>6</v>
      </c>
      <c r="BJ488" t="s">
        <v>9598</v>
      </c>
      <c r="BK488" t="s">
        <v>103</v>
      </c>
      <c r="BL488" t="s">
        <v>9599</v>
      </c>
      <c r="BM488" t="s">
        <v>9600</v>
      </c>
      <c r="BN488" t="s">
        <v>74</v>
      </c>
      <c r="BO488" t="s">
        <v>74</v>
      </c>
      <c r="BP488" t="s">
        <v>74</v>
      </c>
      <c r="BQ488" t="s">
        <v>74</v>
      </c>
      <c r="BR488" t="s">
        <v>106</v>
      </c>
      <c r="BS488" t="s">
        <v>9601</v>
      </c>
      <c r="BT488" t="str">
        <f>HYPERLINK("https%3A%2F%2Fwww.webofscience.com%2Fwos%2Fwoscc%2Ffull-record%2FWOS:000510710600052","View Full Record in Web of Science")</f>
        <v>View Full Record in Web of Science</v>
      </c>
    </row>
    <row r="489" spans="1:72" x14ac:dyDescent="0.15">
      <c r="A489" t="s">
        <v>72</v>
      </c>
      <c r="B489" t="s">
        <v>9602</v>
      </c>
      <c r="C489" t="s">
        <v>74</v>
      </c>
      <c r="D489" t="s">
        <v>74</v>
      </c>
      <c r="E489" t="s">
        <v>74</v>
      </c>
      <c r="F489" t="s">
        <v>9603</v>
      </c>
      <c r="G489" t="s">
        <v>74</v>
      </c>
      <c r="H489" t="s">
        <v>74</v>
      </c>
      <c r="I489" t="s">
        <v>9604</v>
      </c>
      <c r="J489" t="s">
        <v>9605</v>
      </c>
      <c r="K489" t="s">
        <v>74</v>
      </c>
      <c r="L489" t="s">
        <v>74</v>
      </c>
      <c r="M489" t="s">
        <v>78</v>
      </c>
      <c r="N489" t="s">
        <v>79</v>
      </c>
      <c r="O489" t="s">
        <v>74</v>
      </c>
      <c r="P489" t="s">
        <v>74</v>
      </c>
      <c r="Q489" t="s">
        <v>74</v>
      </c>
      <c r="R489" t="s">
        <v>74</v>
      </c>
      <c r="S489" t="s">
        <v>74</v>
      </c>
      <c r="T489" t="s">
        <v>9606</v>
      </c>
      <c r="U489" t="s">
        <v>9607</v>
      </c>
      <c r="V489" t="s">
        <v>9608</v>
      </c>
      <c r="W489" t="s">
        <v>9609</v>
      </c>
      <c r="X489" t="s">
        <v>9610</v>
      </c>
      <c r="Y489" t="s">
        <v>9611</v>
      </c>
      <c r="Z489" t="s">
        <v>9612</v>
      </c>
      <c r="AA489" t="s">
        <v>9613</v>
      </c>
      <c r="AB489" t="s">
        <v>9614</v>
      </c>
      <c r="AC489" t="s">
        <v>9615</v>
      </c>
      <c r="AD489" t="s">
        <v>9616</v>
      </c>
      <c r="AE489" t="s">
        <v>9617</v>
      </c>
      <c r="AF489" t="s">
        <v>74</v>
      </c>
      <c r="AG489">
        <v>61</v>
      </c>
      <c r="AH489">
        <v>10</v>
      </c>
      <c r="AI489">
        <v>10</v>
      </c>
      <c r="AJ489">
        <v>1</v>
      </c>
      <c r="AK489">
        <v>17</v>
      </c>
      <c r="AL489" t="s">
        <v>5586</v>
      </c>
      <c r="AM489" t="s">
        <v>5587</v>
      </c>
      <c r="AN489" t="s">
        <v>5588</v>
      </c>
      <c r="AO489" t="s">
        <v>9618</v>
      </c>
      <c r="AP489" t="s">
        <v>9619</v>
      </c>
      <c r="AQ489" t="s">
        <v>74</v>
      </c>
      <c r="AR489" t="s">
        <v>9620</v>
      </c>
      <c r="AS489" t="s">
        <v>9621</v>
      </c>
      <c r="AT489" t="s">
        <v>803</v>
      </c>
      <c r="AU489">
        <v>2020</v>
      </c>
      <c r="AV489">
        <v>181</v>
      </c>
      <c r="AW489" t="s">
        <v>74</v>
      </c>
      <c r="AX489" t="s">
        <v>74</v>
      </c>
      <c r="AY489" t="s">
        <v>74</v>
      </c>
      <c r="AZ489" t="s">
        <v>74</v>
      </c>
      <c r="BA489" t="s">
        <v>74</v>
      </c>
      <c r="BB489" t="s">
        <v>74</v>
      </c>
      <c r="BC489" t="s">
        <v>74</v>
      </c>
      <c r="BD489">
        <v>108901</v>
      </c>
      <c r="BE489" t="s">
        <v>9622</v>
      </c>
      <c r="BF489" t="str">
        <f>HYPERLINK("http://dx.doi.org/10.1016/j.envres.2019.108901","http://dx.doi.org/10.1016/j.envres.2019.108901")</f>
        <v>http://dx.doi.org/10.1016/j.envres.2019.108901</v>
      </c>
      <c r="BG489" t="s">
        <v>74</v>
      </c>
      <c r="BH489" t="s">
        <v>74</v>
      </c>
      <c r="BI489">
        <v>11</v>
      </c>
      <c r="BJ489" t="s">
        <v>9623</v>
      </c>
      <c r="BK489" t="s">
        <v>103</v>
      </c>
      <c r="BL489" t="s">
        <v>9624</v>
      </c>
      <c r="BM489" t="s">
        <v>9625</v>
      </c>
      <c r="BN489">
        <v>31784076</v>
      </c>
      <c r="BO489" t="s">
        <v>74</v>
      </c>
      <c r="BP489" t="s">
        <v>74</v>
      </c>
      <c r="BQ489" t="s">
        <v>74</v>
      </c>
      <c r="BR489" t="s">
        <v>106</v>
      </c>
      <c r="BS489" t="s">
        <v>9626</v>
      </c>
      <c r="BT489" t="str">
        <f>HYPERLINK("https%3A%2F%2Fwww.webofscience.com%2Fwos%2Fwoscc%2Ffull-record%2FWOS:000510109700037","View Full Record in Web of Science")</f>
        <v>View Full Record in Web of Science</v>
      </c>
    </row>
    <row r="490" spans="1:72" x14ac:dyDescent="0.15">
      <c r="A490" t="s">
        <v>72</v>
      </c>
      <c r="B490" t="s">
        <v>9627</v>
      </c>
      <c r="C490" t="s">
        <v>74</v>
      </c>
      <c r="D490" t="s">
        <v>74</v>
      </c>
      <c r="E490" t="s">
        <v>74</v>
      </c>
      <c r="F490" t="s">
        <v>9628</v>
      </c>
      <c r="G490" t="s">
        <v>74</v>
      </c>
      <c r="H490" t="s">
        <v>74</v>
      </c>
      <c r="I490" t="s">
        <v>9629</v>
      </c>
      <c r="J490" t="s">
        <v>9630</v>
      </c>
      <c r="K490" t="s">
        <v>74</v>
      </c>
      <c r="L490" t="s">
        <v>74</v>
      </c>
      <c r="M490" t="s">
        <v>78</v>
      </c>
      <c r="N490" t="s">
        <v>79</v>
      </c>
      <c r="O490" t="s">
        <v>74</v>
      </c>
      <c r="P490" t="s">
        <v>74</v>
      </c>
      <c r="Q490" t="s">
        <v>74</v>
      </c>
      <c r="R490" t="s">
        <v>74</v>
      </c>
      <c r="S490" t="s">
        <v>74</v>
      </c>
      <c r="T490" t="s">
        <v>9631</v>
      </c>
      <c r="U490" t="s">
        <v>9632</v>
      </c>
      <c r="V490" t="s">
        <v>9633</v>
      </c>
      <c r="W490" t="s">
        <v>9634</v>
      </c>
      <c r="X490" t="s">
        <v>9635</v>
      </c>
      <c r="Y490" t="s">
        <v>9636</v>
      </c>
      <c r="Z490" t="s">
        <v>9637</v>
      </c>
      <c r="AA490" t="s">
        <v>74</v>
      </c>
      <c r="AB490" t="s">
        <v>9638</v>
      </c>
      <c r="AC490" t="s">
        <v>9639</v>
      </c>
      <c r="AD490" t="s">
        <v>9640</v>
      </c>
      <c r="AE490" t="s">
        <v>9641</v>
      </c>
      <c r="AF490" t="s">
        <v>74</v>
      </c>
      <c r="AG490">
        <v>72</v>
      </c>
      <c r="AH490">
        <v>6</v>
      </c>
      <c r="AI490">
        <v>6</v>
      </c>
      <c r="AJ490">
        <v>1</v>
      </c>
      <c r="AK490">
        <v>30</v>
      </c>
      <c r="AL490" t="s">
        <v>434</v>
      </c>
      <c r="AM490" t="s">
        <v>435</v>
      </c>
      <c r="AN490" t="s">
        <v>436</v>
      </c>
      <c r="AO490" t="s">
        <v>9642</v>
      </c>
      <c r="AP490" t="s">
        <v>9643</v>
      </c>
      <c r="AQ490" t="s">
        <v>74</v>
      </c>
      <c r="AR490" t="s">
        <v>9644</v>
      </c>
      <c r="AS490" t="s">
        <v>9645</v>
      </c>
      <c r="AT490" t="s">
        <v>803</v>
      </c>
      <c r="AU490">
        <v>2020</v>
      </c>
      <c r="AV490">
        <v>188</v>
      </c>
      <c r="AW490" t="s">
        <v>74</v>
      </c>
      <c r="AX490" t="s">
        <v>74</v>
      </c>
      <c r="AY490" t="s">
        <v>74</v>
      </c>
      <c r="AZ490" t="s">
        <v>74</v>
      </c>
      <c r="BA490" t="s">
        <v>74</v>
      </c>
      <c r="BB490" t="s">
        <v>74</v>
      </c>
      <c r="BC490" t="s">
        <v>74</v>
      </c>
      <c r="BD490">
        <v>104081</v>
      </c>
      <c r="BE490" t="s">
        <v>9646</v>
      </c>
      <c r="BF490" t="str">
        <f>HYPERLINK("http://dx.doi.org/10.1016/j.jseaes.2019.104081","http://dx.doi.org/10.1016/j.jseaes.2019.104081")</f>
        <v>http://dx.doi.org/10.1016/j.jseaes.2019.104081</v>
      </c>
      <c r="BG490" t="s">
        <v>74</v>
      </c>
      <c r="BH490" t="s">
        <v>74</v>
      </c>
      <c r="BI490">
        <v>9</v>
      </c>
      <c r="BJ490" t="s">
        <v>246</v>
      </c>
      <c r="BK490" t="s">
        <v>103</v>
      </c>
      <c r="BL490" t="s">
        <v>247</v>
      </c>
      <c r="BM490" t="s">
        <v>9647</v>
      </c>
      <c r="BN490" t="s">
        <v>74</v>
      </c>
      <c r="BO490" t="s">
        <v>74</v>
      </c>
      <c r="BP490" t="s">
        <v>74</v>
      </c>
      <c r="BQ490" t="s">
        <v>74</v>
      </c>
      <c r="BR490" t="s">
        <v>106</v>
      </c>
      <c r="BS490" t="s">
        <v>9648</v>
      </c>
      <c r="BT490" t="str">
        <f>HYPERLINK("https%3A%2F%2Fwww.webofscience.com%2Fwos%2Fwoscc%2Ffull-record%2FWOS:000509615200010","View Full Record in Web of Science")</f>
        <v>View Full Record in Web of Science</v>
      </c>
    </row>
    <row r="491" spans="1:72" x14ac:dyDescent="0.15">
      <c r="A491" t="s">
        <v>72</v>
      </c>
      <c r="B491" t="s">
        <v>9649</v>
      </c>
      <c r="C491" t="s">
        <v>74</v>
      </c>
      <c r="D491" t="s">
        <v>74</v>
      </c>
      <c r="E491" t="s">
        <v>74</v>
      </c>
      <c r="F491" t="s">
        <v>9650</v>
      </c>
      <c r="G491" t="s">
        <v>74</v>
      </c>
      <c r="H491" t="s">
        <v>74</v>
      </c>
      <c r="I491" t="s">
        <v>9651</v>
      </c>
      <c r="J491" t="s">
        <v>9652</v>
      </c>
      <c r="K491" t="s">
        <v>74</v>
      </c>
      <c r="L491" t="s">
        <v>74</v>
      </c>
      <c r="M491" t="s">
        <v>78</v>
      </c>
      <c r="N491" t="s">
        <v>79</v>
      </c>
      <c r="O491" t="s">
        <v>74</v>
      </c>
      <c r="P491" t="s">
        <v>74</v>
      </c>
      <c r="Q491" t="s">
        <v>74</v>
      </c>
      <c r="R491" t="s">
        <v>74</v>
      </c>
      <c r="S491" t="s">
        <v>74</v>
      </c>
      <c r="T491" t="s">
        <v>9653</v>
      </c>
      <c r="U491" t="s">
        <v>9654</v>
      </c>
      <c r="V491" t="s">
        <v>9655</v>
      </c>
      <c r="W491" t="s">
        <v>9656</v>
      </c>
      <c r="X491" t="s">
        <v>9657</v>
      </c>
      <c r="Y491" t="s">
        <v>9658</v>
      </c>
      <c r="Z491" t="s">
        <v>9659</v>
      </c>
      <c r="AA491" t="s">
        <v>9660</v>
      </c>
      <c r="AB491" t="s">
        <v>9661</v>
      </c>
      <c r="AC491" t="s">
        <v>9662</v>
      </c>
      <c r="AD491" t="s">
        <v>9663</v>
      </c>
      <c r="AE491" t="s">
        <v>9664</v>
      </c>
      <c r="AF491" t="s">
        <v>74</v>
      </c>
      <c r="AG491">
        <v>70</v>
      </c>
      <c r="AH491">
        <v>4</v>
      </c>
      <c r="AI491">
        <v>5</v>
      </c>
      <c r="AJ491">
        <v>2</v>
      </c>
      <c r="AK491">
        <v>12</v>
      </c>
      <c r="AL491" t="s">
        <v>238</v>
      </c>
      <c r="AM491" t="s">
        <v>3234</v>
      </c>
      <c r="AN491" t="s">
        <v>9665</v>
      </c>
      <c r="AO491" t="s">
        <v>9666</v>
      </c>
      <c r="AP491" t="s">
        <v>9667</v>
      </c>
      <c r="AQ491" t="s">
        <v>74</v>
      </c>
      <c r="AR491" t="s">
        <v>9668</v>
      </c>
      <c r="AS491" t="s">
        <v>9669</v>
      </c>
      <c r="AT491" t="s">
        <v>803</v>
      </c>
      <c r="AU491">
        <v>2020</v>
      </c>
      <c r="AV491">
        <v>66</v>
      </c>
      <c r="AW491">
        <v>255</v>
      </c>
      <c r="AX491" t="s">
        <v>74</v>
      </c>
      <c r="AY491" t="s">
        <v>74</v>
      </c>
      <c r="AZ491" t="s">
        <v>74</v>
      </c>
      <c r="BA491" t="s">
        <v>74</v>
      </c>
      <c r="BB491">
        <v>11</v>
      </c>
      <c r="BC491">
        <v>24</v>
      </c>
      <c r="BD491" t="s">
        <v>9670</v>
      </c>
      <c r="BE491" t="s">
        <v>9671</v>
      </c>
      <c r="BF491" t="str">
        <f>HYPERLINK("http://dx.doi.org/10.1017/jog.2019.78","http://dx.doi.org/10.1017/jog.2019.78")</f>
        <v>http://dx.doi.org/10.1017/jog.2019.78</v>
      </c>
      <c r="BG491" t="s">
        <v>74</v>
      </c>
      <c r="BH491" t="s">
        <v>74</v>
      </c>
      <c r="BI491">
        <v>14</v>
      </c>
      <c r="BJ491" t="s">
        <v>1307</v>
      </c>
      <c r="BK491" t="s">
        <v>103</v>
      </c>
      <c r="BL491" t="s">
        <v>1308</v>
      </c>
      <c r="BM491" t="s">
        <v>9672</v>
      </c>
      <c r="BN491" t="s">
        <v>74</v>
      </c>
      <c r="BO491" t="s">
        <v>2592</v>
      </c>
      <c r="BP491" t="s">
        <v>74</v>
      </c>
      <c r="BQ491" t="s">
        <v>74</v>
      </c>
      <c r="BR491" t="s">
        <v>106</v>
      </c>
      <c r="BS491" t="s">
        <v>9673</v>
      </c>
      <c r="BT491" t="str">
        <f>HYPERLINK("https%3A%2F%2Fwww.webofscience.com%2Fwos%2Fwoscc%2Ffull-record%2FWOS:000509742700002","View Full Record in Web of Science")</f>
        <v>View Full Record in Web of Science</v>
      </c>
    </row>
    <row r="492" spans="1:72" x14ac:dyDescent="0.15">
      <c r="A492" t="s">
        <v>72</v>
      </c>
      <c r="B492" t="s">
        <v>9674</v>
      </c>
      <c r="C492" t="s">
        <v>74</v>
      </c>
      <c r="D492" t="s">
        <v>74</v>
      </c>
      <c r="E492" t="s">
        <v>74</v>
      </c>
      <c r="F492" t="s">
        <v>9675</v>
      </c>
      <c r="G492" t="s">
        <v>74</v>
      </c>
      <c r="H492" t="s">
        <v>74</v>
      </c>
      <c r="I492" t="s">
        <v>9676</v>
      </c>
      <c r="J492" t="s">
        <v>9652</v>
      </c>
      <c r="K492" t="s">
        <v>74</v>
      </c>
      <c r="L492" t="s">
        <v>74</v>
      </c>
      <c r="M492" t="s">
        <v>78</v>
      </c>
      <c r="N492" t="s">
        <v>79</v>
      </c>
      <c r="O492" t="s">
        <v>74</v>
      </c>
      <c r="P492" t="s">
        <v>74</v>
      </c>
      <c r="Q492" t="s">
        <v>74</v>
      </c>
      <c r="R492" t="s">
        <v>74</v>
      </c>
      <c r="S492" t="s">
        <v>74</v>
      </c>
      <c r="T492" t="s">
        <v>9677</v>
      </c>
      <c r="U492" t="s">
        <v>9678</v>
      </c>
      <c r="V492" t="s">
        <v>9679</v>
      </c>
      <c r="W492" t="s">
        <v>9680</v>
      </c>
      <c r="X492" t="s">
        <v>9681</v>
      </c>
      <c r="Y492" t="s">
        <v>9682</v>
      </c>
      <c r="Z492" t="s">
        <v>9683</v>
      </c>
      <c r="AA492" t="s">
        <v>9684</v>
      </c>
      <c r="AB492" t="s">
        <v>9685</v>
      </c>
      <c r="AC492" t="s">
        <v>9686</v>
      </c>
      <c r="AD492" t="s">
        <v>9687</v>
      </c>
      <c r="AE492" t="s">
        <v>9688</v>
      </c>
      <c r="AF492" t="s">
        <v>74</v>
      </c>
      <c r="AG492">
        <v>36</v>
      </c>
      <c r="AH492">
        <v>9</v>
      </c>
      <c r="AI492">
        <v>10</v>
      </c>
      <c r="AJ492">
        <v>1</v>
      </c>
      <c r="AK492">
        <v>6</v>
      </c>
      <c r="AL492" t="s">
        <v>238</v>
      </c>
      <c r="AM492" t="s">
        <v>3234</v>
      </c>
      <c r="AN492" t="s">
        <v>9665</v>
      </c>
      <c r="AO492" t="s">
        <v>9666</v>
      </c>
      <c r="AP492" t="s">
        <v>9667</v>
      </c>
      <c r="AQ492" t="s">
        <v>74</v>
      </c>
      <c r="AR492" t="s">
        <v>9668</v>
      </c>
      <c r="AS492" t="s">
        <v>9669</v>
      </c>
      <c r="AT492" t="s">
        <v>803</v>
      </c>
      <c r="AU492">
        <v>2020</v>
      </c>
      <c r="AV492">
        <v>66</v>
      </c>
      <c r="AW492">
        <v>255</v>
      </c>
      <c r="AX492" t="s">
        <v>74</v>
      </c>
      <c r="AY492" t="s">
        <v>74</v>
      </c>
      <c r="AZ492" t="s">
        <v>74</v>
      </c>
      <c r="BA492" t="s">
        <v>74</v>
      </c>
      <c r="BB492">
        <v>166</v>
      </c>
      <c r="BC492">
        <v>174</v>
      </c>
      <c r="BD492" t="s">
        <v>9689</v>
      </c>
      <c r="BE492" t="s">
        <v>9690</v>
      </c>
      <c r="BF492" t="str">
        <f>HYPERLINK("http://dx.doi.org/10.1017/jog.2019.92","http://dx.doi.org/10.1017/jog.2019.92")</f>
        <v>http://dx.doi.org/10.1017/jog.2019.92</v>
      </c>
      <c r="BG492" t="s">
        <v>74</v>
      </c>
      <c r="BH492" t="s">
        <v>74</v>
      </c>
      <c r="BI492">
        <v>9</v>
      </c>
      <c r="BJ492" t="s">
        <v>1307</v>
      </c>
      <c r="BK492" t="s">
        <v>103</v>
      </c>
      <c r="BL492" t="s">
        <v>1308</v>
      </c>
      <c r="BM492" t="s">
        <v>9672</v>
      </c>
      <c r="BN492" t="s">
        <v>74</v>
      </c>
      <c r="BO492" t="s">
        <v>1359</v>
      </c>
      <c r="BP492" t="s">
        <v>74</v>
      </c>
      <c r="BQ492" t="s">
        <v>74</v>
      </c>
      <c r="BR492" t="s">
        <v>106</v>
      </c>
      <c r="BS492" t="s">
        <v>9691</v>
      </c>
      <c r="BT492" t="str">
        <f>HYPERLINK("https%3A%2F%2Fwww.webofscience.com%2Fwos%2Fwoscc%2Ffull-record%2FWOS:000509742700014","View Full Record in Web of Science")</f>
        <v>View Full Record in Web of Science</v>
      </c>
    </row>
    <row r="493" spans="1:72" x14ac:dyDescent="0.15">
      <c r="A493" t="s">
        <v>72</v>
      </c>
      <c r="B493" t="s">
        <v>9692</v>
      </c>
      <c r="C493" t="s">
        <v>74</v>
      </c>
      <c r="D493" t="s">
        <v>74</v>
      </c>
      <c r="E493" t="s">
        <v>74</v>
      </c>
      <c r="F493" t="s">
        <v>9693</v>
      </c>
      <c r="G493" t="s">
        <v>74</v>
      </c>
      <c r="H493" t="s">
        <v>74</v>
      </c>
      <c r="I493" t="s">
        <v>9694</v>
      </c>
      <c r="J493" t="s">
        <v>4512</v>
      </c>
      <c r="K493" t="s">
        <v>74</v>
      </c>
      <c r="L493" t="s">
        <v>74</v>
      </c>
      <c r="M493" t="s">
        <v>78</v>
      </c>
      <c r="N493" t="s">
        <v>79</v>
      </c>
      <c r="O493" t="s">
        <v>74</v>
      </c>
      <c r="P493" t="s">
        <v>74</v>
      </c>
      <c r="Q493" t="s">
        <v>74</v>
      </c>
      <c r="R493" t="s">
        <v>74</v>
      </c>
      <c r="S493" t="s">
        <v>74</v>
      </c>
      <c r="T493" t="s">
        <v>9695</v>
      </c>
      <c r="U493" t="s">
        <v>9696</v>
      </c>
      <c r="V493" t="s">
        <v>9697</v>
      </c>
      <c r="W493" t="s">
        <v>9698</v>
      </c>
      <c r="X493" t="s">
        <v>9699</v>
      </c>
      <c r="Y493" t="s">
        <v>9700</v>
      </c>
      <c r="Z493" t="s">
        <v>9701</v>
      </c>
      <c r="AA493" t="s">
        <v>9702</v>
      </c>
      <c r="AB493" t="s">
        <v>9703</v>
      </c>
      <c r="AC493" t="s">
        <v>9704</v>
      </c>
      <c r="AD493" t="s">
        <v>9704</v>
      </c>
      <c r="AE493" t="s">
        <v>9705</v>
      </c>
      <c r="AF493" t="s">
        <v>74</v>
      </c>
      <c r="AG493">
        <v>69</v>
      </c>
      <c r="AH493">
        <v>32</v>
      </c>
      <c r="AI493">
        <v>33</v>
      </c>
      <c r="AJ493">
        <v>2</v>
      </c>
      <c r="AK493">
        <v>23</v>
      </c>
      <c r="AL493" t="s">
        <v>4084</v>
      </c>
      <c r="AM493" t="s">
        <v>4085</v>
      </c>
      <c r="AN493" t="s">
        <v>9706</v>
      </c>
      <c r="AO493" t="s">
        <v>4525</v>
      </c>
      <c r="AP493" t="s">
        <v>4526</v>
      </c>
      <c r="AQ493" t="s">
        <v>74</v>
      </c>
      <c r="AR493" t="s">
        <v>4527</v>
      </c>
      <c r="AS493" t="s">
        <v>4528</v>
      </c>
      <c r="AT493" t="s">
        <v>803</v>
      </c>
      <c r="AU493">
        <v>2020</v>
      </c>
      <c r="AV493">
        <v>50</v>
      </c>
      <c r="AW493">
        <v>2</v>
      </c>
      <c r="AX493" t="s">
        <v>74</v>
      </c>
      <c r="AY493" t="s">
        <v>74</v>
      </c>
      <c r="AZ493" t="s">
        <v>74</v>
      </c>
      <c r="BA493" t="s">
        <v>74</v>
      </c>
      <c r="BB493">
        <v>361</v>
      </c>
      <c r="BC493">
        <v>381</v>
      </c>
      <c r="BD493" t="s">
        <v>74</v>
      </c>
      <c r="BE493" t="s">
        <v>9707</v>
      </c>
      <c r="BF493" t="str">
        <f>HYPERLINK("http://dx.doi.org/10.1175/JPO-D-19-0128.1","http://dx.doi.org/10.1175/JPO-D-19-0128.1")</f>
        <v>http://dx.doi.org/10.1175/JPO-D-19-0128.1</v>
      </c>
      <c r="BG493" t="s">
        <v>74</v>
      </c>
      <c r="BH493" t="s">
        <v>74</v>
      </c>
      <c r="BI493">
        <v>21</v>
      </c>
      <c r="BJ493" t="s">
        <v>639</v>
      </c>
      <c r="BK493" t="s">
        <v>103</v>
      </c>
      <c r="BL493" t="s">
        <v>639</v>
      </c>
      <c r="BM493" t="s">
        <v>9708</v>
      </c>
      <c r="BN493" t="s">
        <v>74</v>
      </c>
      <c r="BO493" t="s">
        <v>1663</v>
      </c>
      <c r="BP493" t="s">
        <v>74</v>
      </c>
      <c r="BQ493" t="s">
        <v>74</v>
      </c>
      <c r="BR493" t="s">
        <v>106</v>
      </c>
      <c r="BS493" t="s">
        <v>9709</v>
      </c>
      <c r="BT493" t="str">
        <f>HYPERLINK("https%3A%2F%2Fwww.webofscience.com%2Fwos%2Fwoscc%2Ffull-record%2FWOS:000510891200001","View Full Record in Web of Science")</f>
        <v>View Full Record in Web of Science</v>
      </c>
    </row>
    <row r="494" spans="1:72" x14ac:dyDescent="0.15">
      <c r="A494" t="s">
        <v>72</v>
      </c>
      <c r="B494" t="s">
        <v>9710</v>
      </c>
      <c r="C494" t="s">
        <v>74</v>
      </c>
      <c r="D494" t="s">
        <v>74</v>
      </c>
      <c r="E494" t="s">
        <v>74</v>
      </c>
      <c r="F494" t="s">
        <v>9711</v>
      </c>
      <c r="G494" t="s">
        <v>74</v>
      </c>
      <c r="H494" t="s">
        <v>74</v>
      </c>
      <c r="I494" t="s">
        <v>9712</v>
      </c>
      <c r="J494" t="s">
        <v>7574</v>
      </c>
      <c r="K494" t="s">
        <v>74</v>
      </c>
      <c r="L494" t="s">
        <v>74</v>
      </c>
      <c r="M494" t="s">
        <v>78</v>
      </c>
      <c r="N494" t="s">
        <v>79</v>
      </c>
      <c r="O494" t="s">
        <v>74</v>
      </c>
      <c r="P494" t="s">
        <v>74</v>
      </c>
      <c r="Q494" t="s">
        <v>74</v>
      </c>
      <c r="R494" t="s">
        <v>74</v>
      </c>
      <c r="S494" t="s">
        <v>74</v>
      </c>
      <c r="T494" t="s">
        <v>9713</v>
      </c>
      <c r="U494" t="s">
        <v>9714</v>
      </c>
      <c r="V494" t="s">
        <v>9715</v>
      </c>
      <c r="W494" t="s">
        <v>9716</v>
      </c>
      <c r="X494" t="s">
        <v>9717</v>
      </c>
      <c r="Y494" t="s">
        <v>9718</v>
      </c>
      <c r="Z494" t="s">
        <v>9719</v>
      </c>
      <c r="AA494" t="s">
        <v>9720</v>
      </c>
      <c r="AB494" t="s">
        <v>9721</v>
      </c>
      <c r="AC494" t="s">
        <v>9722</v>
      </c>
      <c r="AD494" t="s">
        <v>9723</v>
      </c>
      <c r="AE494" t="s">
        <v>9724</v>
      </c>
      <c r="AF494" t="s">
        <v>74</v>
      </c>
      <c r="AG494">
        <v>180</v>
      </c>
      <c r="AH494">
        <v>7</v>
      </c>
      <c r="AI494">
        <v>10</v>
      </c>
      <c r="AJ494">
        <v>1</v>
      </c>
      <c r="AK494">
        <v>10</v>
      </c>
      <c r="AL494" t="s">
        <v>211</v>
      </c>
      <c r="AM494" t="s">
        <v>212</v>
      </c>
      <c r="AN494" t="s">
        <v>2548</v>
      </c>
      <c r="AO494" t="s">
        <v>7587</v>
      </c>
      <c r="AP494" t="s">
        <v>7588</v>
      </c>
      <c r="AQ494" t="s">
        <v>74</v>
      </c>
      <c r="AR494" t="s">
        <v>7589</v>
      </c>
      <c r="AS494" t="s">
        <v>7590</v>
      </c>
      <c r="AT494" t="s">
        <v>803</v>
      </c>
      <c r="AU494">
        <v>2020</v>
      </c>
      <c r="AV494">
        <v>6</v>
      </c>
      <c r="AW494">
        <v>1</v>
      </c>
      <c r="AX494" t="s">
        <v>74</v>
      </c>
      <c r="AY494" t="s">
        <v>74</v>
      </c>
      <c r="AZ494" t="s">
        <v>74</v>
      </c>
      <c r="BA494" t="s">
        <v>74</v>
      </c>
      <c r="BB494">
        <v>1</v>
      </c>
      <c r="BC494">
        <v>29</v>
      </c>
      <c r="BD494" t="s">
        <v>74</v>
      </c>
      <c r="BE494" t="s">
        <v>9725</v>
      </c>
      <c r="BF494" t="str">
        <f>HYPERLINK("http://dx.doi.org/10.1002/spp2.1256","http://dx.doi.org/10.1002/spp2.1256")</f>
        <v>http://dx.doi.org/10.1002/spp2.1256</v>
      </c>
      <c r="BG494" t="s">
        <v>74</v>
      </c>
      <c r="BH494" t="s">
        <v>74</v>
      </c>
      <c r="BI494">
        <v>29</v>
      </c>
      <c r="BJ494" t="s">
        <v>7592</v>
      </c>
      <c r="BK494" t="s">
        <v>103</v>
      </c>
      <c r="BL494" t="s">
        <v>7592</v>
      </c>
      <c r="BM494" t="s">
        <v>9726</v>
      </c>
      <c r="BN494" t="s">
        <v>74</v>
      </c>
      <c r="BO494" t="s">
        <v>193</v>
      </c>
      <c r="BP494" t="s">
        <v>74</v>
      </c>
      <c r="BQ494" t="s">
        <v>74</v>
      </c>
      <c r="BR494" t="s">
        <v>106</v>
      </c>
      <c r="BS494" t="s">
        <v>9727</v>
      </c>
      <c r="BT494" t="str">
        <f>HYPERLINK("https%3A%2F%2Fwww.webofscience.com%2Fwos%2Fwoscc%2Ffull-record%2FWOS:000510443600001","View Full Record in Web of Science")</f>
        <v>View Full Record in Web of Science</v>
      </c>
    </row>
    <row r="495" spans="1:72" x14ac:dyDescent="0.15">
      <c r="A495" t="s">
        <v>72</v>
      </c>
      <c r="B495" t="s">
        <v>9728</v>
      </c>
      <c r="C495" t="s">
        <v>74</v>
      </c>
      <c r="D495" t="s">
        <v>74</v>
      </c>
      <c r="E495" t="s">
        <v>74</v>
      </c>
      <c r="F495" t="s">
        <v>9729</v>
      </c>
      <c r="G495" t="s">
        <v>74</v>
      </c>
      <c r="H495" t="s">
        <v>74</v>
      </c>
      <c r="I495" t="s">
        <v>9730</v>
      </c>
      <c r="J495" t="s">
        <v>9731</v>
      </c>
      <c r="K495" t="s">
        <v>74</v>
      </c>
      <c r="L495" t="s">
        <v>74</v>
      </c>
      <c r="M495" t="s">
        <v>78</v>
      </c>
      <c r="N495" t="s">
        <v>1434</v>
      </c>
      <c r="O495" t="s">
        <v>74</v>
      </c>
      <c r="P495" t="s">
        <v>74</v>
      </c>
      <c r="Q495" t="s">
        <v>74</v>
      </c>
      <c r="R495" t="s">
        <v>74</v>
      </c>
      <c r="S495" t="s">
        <v>74</v>
      </c>
      <c r="T495" t="s">
        <v>9732</v>
      </c>
      <c r="U495" t="s">
        <v>9733</v>
      </c>
      <c r="V495" t="s">
        <v>9734</v>
      </c>
      <c r="W495" t="s">
        <v>9735</v>
      </c>
      <c r="X495" t="s">
        <v>9736</v>
      </c>
      <c r="Y495" t="s">
        <v>9737</v>
      </c>
      <c r="Z495" t="s">
        <v>9738</v>
      </c>
      <c r="AA495" t="s">
        <v>9739</v>
      </c>
      <c r="AB495" t="s">
        <v>9740</v>
      </c>
      <c r="AC495" t="s">
        <v>9741</v>
      </c>
      <c r="AD495" t="s">
        <v>9742</v>
      </c>
      <c r="AE495" t="s">
        <v>9743</v>
      </c>
      <c r="AF495" t="s">
        <v>74</v>
      </c>
      <c r="AG495">
        <v>191</v>
      </c>
      <c r="AH495">
        <v>9</v>
      </c>
      <c r="AI495">
        <v>10</v>
      </c>
      <c r="AJ495">
        <v>3</v>
      </c>
      <c r="AK495">
        <v>30</v>
      </c>
      <c r="AL495" t="s">
        <v>289</v>
      </c>
      <c r="AM495" t="s">
        <v>290</v>
      </c>
      <c r="AN495" t="s">
        <v>291</v>
      </c>
      <c r="AO495" t="s">
        <v>9744</v>
      </c>
      <c r="AP495" t="s">
        <v>9745</v>
      </c>
      <c r="AQ495" t="s">
        <v>74</v>
      </c>
      <c r="AR495" t="s">
        <v>9746</v>
      </c>
      <c r="AS495" t="s">
        <v>9747</v>
      </c>
      <c r="AT495" t="s">
        <v>803</v>
      </c>
      <c r="AU495">
        <v>2020</v>
      </c>
      <c r="AV495">
        <v>49</v>
      </c>
      <c r="AW495" t="s">
        <v>74</v>
      </c>
      <c r="AX495" t="s">
        <v>74</v>
      </c>
      <c r="AY495" t="s">
        <v>74</v>
      </c>
      <c r="AZ495" t="s">
        <v>74</v>
      </c>
      <c r="BA495" t="s">
        <v>74</v>
      </c>
      <c r="BB495" t="s">
        <v>74</v>
      </c>
      <c r="BC495" t="s">
        <v>74</v>
      </c>
      <c r="BD495">
        <v>100724</v>
      </c>
      <c r="BE495" t="s">
        <v>9748</v>
      </c>
      <c r="BF495" t="str">
        <f>HYPERLINK("http://dx.doi.org/10.1016/j.margen.2019.100724","http://dx.doi.org/10.1016/j.margen.2019.100724")</f>
        <v>http://dx.doi.org/10.1016/j.margen.2019.100724</v>
      </c>
      <c r="BG495" t="s">
        <v>74</v>
      </c>
      <c r="BH495" t="s">
        <v>74</v>
      </c>
      <c r="BI495">
        <v>14</v>
      </c>
      <c r="BJ495" t="s">
        <v>9749</v>
      </c>
      <c r="BK495" t="s">
        <v>103</v>
      </c>
      <c r="BL495" t="s">
        <v>9749</v>
      </c>
      <c r="BM495" t="s">
        <v>9750</v>
      </c>
      <c r="BN495">
        <v>31735579</v>
      </c>
      <c r="BO495" t="s">
        <v>74</v>
      </c>
      <c r="BP495" t="s">
        <v>74</v>
      </c>
      <c r="BQ495" t="s">
        <v>74</v>
      </c>
      <c r="BR495" t="s">
        <v>106</v>
      </c>
      <c r="BS495" t="s">
        <v>9751</v>
      </c>
      <c r="BT495" t="str">
        <f>HYPERLINK("https%3A%2F%2Fwww.webofscience.com%2Fwos%2Fwoscc%2Ffull-record%2FWOS:000509629300004","View Full Record in Web of Science")</f>
        <v>View Full Record in Web of Science</v>
      </c>
    </row>
    <row r="496" spans="1:72" x14ac:dyDescent="0.15">
      <c r="A496" t="s">
        <v>72</v>
      </c>
      <c r="B496" t="s">
        <v>9752</v>
      </c>
      <c r="C496" t="s">
        <v>74</v>
      </c>
      <c r="D496" t="s">
        <v>74</v>
      </c>
      <c r="E496" t="s">
        <v>74</v>
      </c>
      <c r="F496" t="s">
        <v>9753</v>
      </c>
      <c r="G496" t="s">
        <v>74</v>
      </c>
      <c r="H496" t="s">
        <v>74</v>
      </c>
      <c r="I496" t="s">
        <v>9754</v>
      </c>
      <c r="J496" t="s">
        <v>9731</v>
      </c>
      <c r="K496" t="s">
        <v>74</v>
      </c>
      <c r="L496" t="s">
        <v>74</v>
      </c>
      <c r="M496" t="s">
        <v>78</v>
      </c>
      <c r="N496" t="s">
        <v>79</v>
      </c>
      <c r="O496" t="s">
        <v>74</v>
      </c>
      <c r="P496" t="s">
        <v>74</v>
      </c>
      <c r="Q496" t="s">
        <v>74</v>
      </c>
      <c r="R496" t="s">
        <v>74</v>
      </c>
      <c r="S496" t="s">
        <v>74</v>
      </c>
      <c r="T496" t="s">
        <v>9755</v>
      </c>
      <c r="U496" t="s">
        <v>9756</v>
      </c>
      <c r="V496" t="s">
        <v>9757</v>
      </c>
      <c r="W496" t="s">
        <v>9758</v>
      </c>
      <c r="X496" t="s">
        <v>9759</v>
      </c>
      <c r="Y496" t="s">
        <v>9760</v>
      </c>
      <c r="Z496" t="s">
        <v>9761</v>
      </c>
      <c r="AA496" t="s">
        <v>9762</v>
      </c>
      <c r="AB496" t="s">
        <v>74</v>
      </c>
      <c r="AC496" t="s">
        <v>9763</v>
      </c>
      <c r="AD496" t="s">
        <v>9764</v>
      </c>
      <c r="AE496" t="s">
        <v>9765</v>
      </c>
      <c r="AF496" t="s">
        <v>74</v>
      </c>
      <c r="AG496">
        <v>22</v>
      </c>
      <c r="AH496">
        <v>6</v>
      </c>
      <c r="AI496">
        <v>6</v>
      </c>
      <c r="AJ496">
        <v>4</v>
      </c>
      <c r="AK496">
        <v>32</v>
      </c>
      <c r="AL496" t="s">
        <v>289</v>
      </c>
      <c r="AM496" t="s">
        <v>290</v>
      </c>
      <c r="AN496" t="s">
        <v>291</v>
      </c>
      <c r="AO496" t="s">
        <v>9744</v>
      </c>
      <c r="AP496" t="s">
        <v>9745</v>
      </c>
      <c r="AQ496" t="s">
        <v>74</v>
      </c>
      <c r="AR496" t="s">
        <v>9746</v>
      </c>
      <c r="AS496" t="s">
        <v>9747</v>
      </c>
      <c r="AT496" t="s">
        <v>803</v>
      </c>
      <c r="AU496">
        <v>2020</v>
      </c>
      <c r="AV496">
        <v>49</v>
      </c>
      <c r="AW496" t="s">
        <v>74</v>
      </c>
      <c r="AX496" t="s">
        <v>74</v>
      </c>
      <c r="AY496" t="s">
        <v>74</v>
      </c>
      <c r="AZ496" t="s">
        <v>74</v>
      </c>
      <c r="BA496" t="s">
        <v>74</v>
      </c>
      <c r="BB496" t="s">
        <v>74</v>
      </c>
      <c r="BC496" t="s">
        <v>74</v>
      </c>
      <c r="BD496">
        <v>100690</v>
      </c>
      <c r="BE496" t="s">
        <v>9766</v>
      </c>
      <c r="BF496" t="str">
        <f>HYPERLINK("http://dx.doi.org/10.1016/j.margen.2019.05.005","http://dx.doi.org/10.1016/j.margen.2019.05.005")</f>
        <v>http://dx.doi.org/10.1016/j.margen.2019.05.005</v>
      </c>
      <c r="BG496" t="s">
        <v>74</v>
      </c>
      <c r="BH496" t="s">
        <v>74</v>
      </c>
      <c r="BI496">
        <v>4</v>
      </c>
      <c r="BJ496" t="s">
        <v>9749</v>
      </c>
      <c r="BK496" t="s">
        <v>103</v>
      </c>
      <c r="BL496" t="s">
        <v>9749</v>
      </c>
      <c r="BM496" t="s">
        <v>9750</v>
      </c>
      <c r="BN496" t="s">
        <v>74</v>
      </c>
      <c r="BO496" t="s">
        <v>74</v>
      </c>
      <c r="BP496" t="s">
        <v>74</v>
      </c>
      <c r="BQ496" t="s">
        <v>74</v>
      </c>
      <c r="BR496" t="s">
        <v>106</v>
      </c>
      <c r="BS496" t="s">
        <v>9767</v>
      </c>
      <c r="BT496" t="str">
        <f>HYPERLINK("https%3A%2F%2Fwww.webofscience.com%2Fwos%2Fwoscc%2Ffull-record%2FWOS:000509629300009","View Full Record in Web of Science")</f>
        <v>View Full Record in Web of Science</v>
      </c>
    </row>
    <row r="497" spans="1:72" x14ac:dyDescent="0.15">
      <c r="A497" t="s">
        <v>72</v>
      </c>
      <c r="B497" t="s">
        <v>9768</v>
      </c>
      <c r="C497" t="s">
        <v>74</v>
      </c>
      <c r="D497" t="s">
        <v>74</v>
      </c>
      <c r="E497" t="s">
        <v>74</v>
      </c>
      <c r="F497" t="s">
        <v>9769</v>
      </c>
      <c r="G497" t="s">
        <v>74</v>
      </c>
      <c r="H497" t="s">
        <v>74</v>
      </c>
      <c r="I497" t="s">
        <v>9770</v>
      </c>
      <c r="J497" t="s">
        <v>9771</v>
      </c>
      <c r="K497" t="s">
        <v>74</v>
      </c>
      <c r="L497" t="s">
        <v>74</v>
      </c>
      <c r="M497" t="s">
        <v>78</v>
      </c>
      <c r="N497" t="s">
        <v>79</v>
      </c>
      <c r="O497" t="s">
        <v>74</v>
      </c>
      <c r="P497" t="s">
        <v>74</v>
      </c>
      <c r="Q497" t="s">
        <v>74</v>
      </c>
      <c r="R497" t="s">
        <v>74</v>
      </c>
      <c r="S497" t="s">
        <v>74</v>
      </c>
      <c r="T497" t="s">
        <v>74</v>
      </c>
      <c r="U497" t="s">
        <v>9772</v>
      </c>
      <c r="V497" t="s">
        <v>9773</v>
      </c>
      <c r="W497" t="s">
        <v>9774</v>
      </c>
      <c r="X497" t="s">
        <v>9775</v>
      </c>
      <c r="Y497" t="s">
        <v>9776</v>
      </c>
      <c r="Z497" t="s">
        <v>74</v>
      </c>
      <c r="AA497" t="s">
        <v>9777</v>
      </c>
      <c r="AB497" t="s">
        <v>9778</v>
      </c>
      <c r="AC497" t="s">
        <v>9779</v>
      </c>
      <c r="AD497" t="s">
        <v>9780</v>
      </c>
      <c r="AE497" t="s">
        <v>9781</v>
      </c>
      <c r="AF497" t="s">
        <v>74</v>
      </c>
      <c r="AG497">
        <v>34</v>
      </c>
      <c r="AH497">
        <v>10</v>
      </c>
      <c r="AI497">
        <v>11</v>
      </c>
      <c r="AJ497">
        <v>0</v>
      </c>
      <c r="AK497">
        <v>13</v>
      </c>
      <c r="AL497" t="s">
        <v>4615</v>
      </c>
      <c r="AM497" t="s">
        <v>4616</v>
      </c>
      <c r="AN497" t="s">
        <v>4617</v>
      </c>
      <c r="AO497" t="s">
        <v>9782</v>
      </c>
      <c r="AP497" t="s">
        <v>9783</v>
      </c>
      <c r="AQ497" t="s">
        <v>74</v>
      </c>
      <c r="AR497" t="s">
        <v>9771</v>
      </c>
      <c r="AS497" t="s">
        <v>247</v>
      </c>
      <c r="AT497" t="s">
        <v>803</v>
      </c>
      <c r="AU497">
        <v>2020</v>
      </c>
      <c r="AV497">
        <v>48</v>
      </c>
      <c r="AW497">
        <v>2</v>
      </c>
      <c r="AX497" t="s">
        <v>74</v>
      </c>
      <c r="AY497" t="s">
        <v>74</v>
      </c>
      <c r="AZ497" t="s">
        <v>74</v>
      </c>
      <c r="BA497" t="s">
        <v>74</v>
      </c>
      <c r="BB497">
        <v>99</v>
      </c>
      <c r="BC497">
        <v>102</v>
      </c>
      <c r="BD497" t="s">
        <v>74</v>
      </c>
      <c r="BE497" t="s">
        <v>9784</v>
      </c>
      <c r="BF497" t="str">
        <f>HYPERLINK("http://dx.doi.org/10.1130/G46626.1","http://dx.doi.org/10.1130/G46626.1")</f>
        <v>http://dx.doi.org/10.1130/G46626.1</v>
      </c>
      <c r="BG497" t="s">
        <v>74</v>
      </c>
      <c r="BH497" t="s">
        <v>74</v>
      </c>
      <c r="BI497">
        <v>4</v>
      </c>
      <c r="BJ497" t="s">
        <v>247</v>
      </c>
      <c r="BK497" t="s">
        <v>103</v>
      </c>
      <c r="BL497" t="s">
        <v>247</v>
      </c>
      <c r="BM497" t="s">
        <v>9785</v>
      </c>
      <c r="BN497" t="s">
        <v>74</v>
      </c>
      <c r="BO497" t="s">
        <v>74</v>
      </c>
      <c r="BP497" t="s">
        <v>74</v>
      </c>
      <c r="BQ497" t="s">
        <v>74</v>
      </c>
      <c r="BR497" t="s">
        <v>106</v>
      </c>
      <c r="BS497" t="s">
        <v>9786</v>
      </c>
      <c r="BT497" t="str">
        <f>HYPERLINK("https%3A%2F%2Fwww.webofscience.com%2Fwos%2Fwoscc%2Ffull-record%2FWOS:000509553300001","View Full Record in Web of Science")</f>
        <v>View Full Record in Web of Science</v>
      </c>
    </row>
    <row r="498" spans="1:72" x14ac:dyDescent="0.15">
      <c r="A498" t="s">
        <v>72</v>
      </c>
      <c r="B498" t="s">
        <v>9787</v>
      </c>
      <c r="C498" t="s">
        <v>74</v>
      </c>
      <c r="D498" t="s">
        <v>74</v>
      </c>
      <c r="E498" t="s">
        <v>74</v>
      </c>
      <c r="F498" t="s">
        <v>9788</v>
      </c>
      <c r="G498" t="s">
        <v>74</v>
      </c>
      <c r="H498" t="s">
        <v>74</v>
      </c>
      <c r="I498" t="s">
        <v>9789</v>
      </c>
      <c r="J498" t="s">
        <v>9790</v>
      </c>
      <c r="K498" t="s">
        <v>74</v>
      </c>
      <c r="L498" t="s">
        <v>74</v>
      </c>
      <c r="M498" t="s">
        <v>78</v>
      </c>
      <c r="N498" t="s">
        <v>79</v>
      </c>
      <c r="O498" t="s">
        <v>74</v>
      </c>
      <c r="P498" t="s">
        <v>74</v>
      </c>
      <c r="Q498" t="s">
        <v>74</v>
      </c>
      <c r="R498" t="s">
        <v>74</v>
      </c>
      <c r="S498" t="s">
        <v>74</v>
      </c>
      <c r="T498" t="s">
        <v>9791</v>
      </c>
      <c r="U498" t="s">
        <v>9792</v>
      </c>
      <c r="V498" t="s">
        <v>9793</v>
      </c>
      <c r="W498" t="s">
        <v>9794</v>
      </c>
      <c r="X498" t="s">
        <v>9795</v>
      </c>
      <c r="Y498" t="s">
        <v>9796</v>
      </c>
      <c r="Z498" t="s">
        <v>9797</v>
      </c>
      <c r="AA498" t="s">
        <v>9798</v>
      </c>
      <c r="AB498" t="s">
        <v>9799</v>
      </c>
      <c r="AC498" t="s">
        <v>9800</v>
      </c>
      <c r="AD498" t="s">
        <v>9801</v>
      </c>
      <c r="AE498" t="s">
        <v>9802</v>
      </c>
      <c r="AF498" t="s">
        <v>74</v>
      </c>
      <c r="AG498">
        <v>76</v>
      </c>
      <c r="AH498">
        <v>9</v>
      </c>
      <c r="AI498">
        <v>10</v>
      </c>
      <c r="AJ498">
        <v>3</v>
      </c>
      <c r="AK498">
        <v>29</v>
      </c>
      <c r="AL498" t="s">
        <v>289</v>
      </c>
      <c r="AM498" t="s">
        <v>290</v>
      </c>
      <c r="AN498" t="s">
        <v>4862</v>
      </c>
      <c r="AO498" t="s">
        <v>9803</v>
      </c>
      <c r="AP498" t="s">
        <v>9804</v>
      </c>
      <c r="AQ498" t="s">
        <v>74</v>
      </c>
      <c r="AR498" t="s">
        <v>9805</v>
      </c>
      <c r="AS498" t="s">
        <v>9806</v>
      </c>
      <c r="AT498" t="s">
        <v>8137</v>
      </c>
      <c r="AU498">
        <v>2020</v>
      </c>
      <c r="AV498">
        <v>1861</v>
      </c>
      <c r="AW498">
        <v>2</v>
      </c>
      <c r="AX498" t="s">
        <v>74</v>
      </c>
      <c r="AY498" t="s">
        <v>74</v>
      </c>
      <c r="AZ498" t="s">
        <v>74</v>
      </c>
      <c r="BA498" t="s">
        <v>74</v>
      </c>
      <c r="BB498" t="s">
        <v>74</v>
      </c>
      <c r="BC498" t="s">
        <v>74</v>
      </c>
      <c r="BD498">
        <v>148139</v>
      </c>
      <c r="BE498" t="s">
        <v>9807</v>
      </c>
      <c r="BF498" t="str">
        <f>HYPERLINK("http://dx.doi.org/10.1016/j.bbabio.2019.148139","http://dx.doi.org/10.1016/j.bbabio.2019.148139")</f>
        <v>http://dx.doi.org/10.1016/j.bbabio.2019.148139</v>
      </c>
      <c r="BG498" t="s">
        <v>74</v>
      </c>
      <c r="BH498" t="s">
        <v>74</v>
      </c>
      <c r="BI498">
        <v>9</v>
      </c>
      <c r="BJ498" t="s">
        <v>7178</v>
      </c>
      <c r="BK498" t="s">
        <v>103</v>
      </c>
      <c r="BL498" t="s">
        <v>7178</v>
      </c>
      <c r="BM498" t="s">
        <v>9808</v>
      </c>
      <c r="BN498">
        <v>31825812</v>
      </c>
      <c r="BO498" t="s">
        <v>148</v>
      </c>
      <c r="BP498" t="s">
        <v>74</v>
      </c>
      <c r="BQ498" t="s">
        <v>74</v>
      </c>
      <c r="BR498" t="s">
        <v>106</v>
      </c>
      <c r="BS498" t="s">
        <v>9809</v>
      </c>
      <c r="BT498" t="str">
        <f>HYPERLINK("https%3A%2F%2Fwww.webofscience.com%2Fwos%2Fwoscc%2Ffull-record%2FWOS:000508749700011","View Full Record in Web of Science")</f>
        <v>View Full Record in Web of Science</v>
      </c>
    </row>
    <row r="499" spans="1:72" x14ac:dyDescent="0.15">
      <c r="A499" t="s">
        <v>72</v>
      </c>
      <c r="B499" t="s">
        <v>9810</v>
      </c>
      <c r="C499" t="s">
        <v>74</v>
      </c>
      <c r="D499" t="s">
        <v>74</v>
      </c>
      <c r="E499" t="s">
        <v>74</v>
      </c>
      <c r="F499" t="s">
        <v>9811</v>
      </c>
      <c r="G499" t="s">
        <v>74</v>
      </c>
      <c r="H499" t="s">
        <v>74</v>
      </c>
      <c r="I499" t="s">
        <v>9812</v>
      </c>
      <c r="J499" t="s">
        <v>396</v>
      </c>
      <c r="K499" t="s">
        <v>74</v>
      </c>
      <c r="L499" t="s">
        <v>74</v>
      </c>
      <c r="M499" t="s">
        <v>78</v>
      </c>
      <c r="N499" t="s">
        <v>79</v>
      </c>
      <c r="O499" t="s">
        <v>74</v>
      </c>
      <c r="P499" t="s">
        <v>74</v>
      </c>
      <c r="Q499" t="s">
        <v>74</v>
      </c>
      <c r="R499" t="s">
        <v>74</v>
      </c>
      <c r="S499" t="s">
        <v>74</v>
      </c>
      <c r="T499" t="s">
        <v>9813</v>
      </c>
      <c r="U499" t="s">
        <v>9814</v>
      </c>
      <c r="V499" t="s">
        <v>9815</v>
      </c>
      <c r="W499" t="s">
        <v>9816</v>
      </c>
      <c r="X499" t="s">
        <v>9817</v>
      </c>
      <c r="Y499" t="s">
        <v>9818</v>
      </c>
      <c r="Z499" t="s">
        <v>9819</v>
      </c>
      <c r="AA499" t="s">
        <v>9820</v>
      </c>
      <c r="AB499" t="s">
        <v>9821</v>
      </c>
      <c r="AC499" t="s">
        <v>9822</v>
      </c>
      <c r="AD499" t="s">
        <v>9823</v>
      </c>
      <c r="AE499" t="s">
        <v>9824</v>
      </c>
      <c r="AF499" t="s">
        <v>74</v>
      </c>
      <c r="AG499">
        <v>143</v>
      </c>
      <c r="AH499">
        <v>12</v>
      </c>
      <c r="AI499">
        <v>13</v>
      </c>
      <c r="AJ499">
        <v>4</v>
      </c>
      <c r="AK499">
        <v>41</v>
      </c>
      <c r="AL499" t="s">
        <v>289</v>
      </c>
      <c r="AM499" t="s">
        <v>290</v>
      </c>
      <c r="AN499" t="s">
        <v>291</v>
      </c>
      <c r="AO499" t="s">
        <v>408</v>
      </c>
      <c r="AP499" t="s">
        <v>409</v>
      </c>
      <c r="AQ499" t="s">
        <v>74</v>
      </c>
      <c r="AR499" t="s">
        <v>410</v>
      </c>
      <c r="AS499" t="s">
        <v>411</v>
      </c>
      <c r="AT499" t="s">
        <v>8137</v>
      </c>
      <c r="AU499">
        <v>2020</v>
      </c>
      <c r="AV499">
        <v>539</v>
      </c>
      <c r="AW499" t="s">
        <v>74</v>
      </c>
      <c r="AX499" t="s">
        <v>74</v>
      </c>
      <c r="AY499" t="s">
        <v>74</v>
      </c>
      <c r="AZ499" t="s">
        <v>74</v>
      </c>
      <c r="BA499" t="s">
        <v>74</v>
      </c>
      <c r="BB499" t="s">
        <v>74</v>
      </c>
      <c r="BC499" t="s">
        <v>74</v>
      </c>
      <c r="BD499">
        <v>109504</v>
      </c>
      <c r="BE499" t="s">
        <v>9825</v>
      </c>
      <c r="BF499" t="str">
        <f>HYPERLINK("http://dx.doi.org/10.1016/j.palaeo.2019.109504","http://dx.doi.org/10.1016/j.palaeo.2019.109504")</f>
        <v>http://dx.doi.org/10.1016/j.palaeo.2019.109504</v>
      </c>
      <c r="BG499" t="s">
        <v>74</v>
      </c>
      <c r="BH499" t="s">
        <v>74</v>
      </c>
      <c r="BI499">
        <v>16</v>
      </c>
      <c r="BJ499" t="s">
        <v>413</v>
      </c>
      <c r="BK499" t="s">
        <v>103</v>
      </c>
      <c r="BL499" t="s">
        <v>414</v>
      </c>
      <c r="BM499" t="s">
        <v>9826</v>
      </c>
      <c r="BN499" t="s">
        <v>74</v>
      </c>
      <c r="BO499" t="s">
        <v>74</v>
      </c>
      <c r="BP499" t="s">
        <v>74</v>
      </c>
      <c r="BQ499" t="s">
        <v>74</v>
      </c>
      <c r="BR499" t="s">
        <v>106</v>
      </c>
      <c r="BS499" t="s">
        <v>9827</v>
      </c>
      <c r="BT499" t="str">
        <f>HYPERLINK("https%3A%2F%2Fwww.webofscience.com%2Fwos%2Fwoscc%2Ffull-record%2FWOS:000508745600008","View Full Record in Web of Science")</f>
        <v>View Full Record in Web of Science</v>
      </c>
    </row>
    <row r="500" spans="1:72" x14ac:dyDescent="0.15">
      <c r="A500" t="s">
        <v>72</v>
      </c>
      <c r="B500" t="s">
        <v>9828</v>
      </c>
      <c r="C500" t="s">
        <v>74</v>
      </c>
      <c r="D500" t="s">
        <v>74</v>
      </c>
      <c r="E500" t="s">
        <v>74</v>
      </c>
      <c r="F500" t="s">
        <v>9829</v>
      </c>
      <c r="G500" t="s">
        <v>74</v>
      </c>
      <c r="H500" t="s">
        <v>74</v>
      </c>
      <c r="I500" t="s">
        <v>9830</v>
      </c>
      <c r="J500" t="s">
        <v>466</v>
      </c>
      <c r="K500" t="s">
        <v>74</v>
      </c>
      <c r="L500" t="s">
        <v>74</v>
      </c>
      <c r="M500" t="s">
        <v>78</v>
      </c>
      <c r="N500" t="s">
        <v>79</v>
      </c>
      <c r="O500" t="s">
        <v>74</v>
      </c>
      <c r="P500" t="s">
        <v>74</v>
      </c>
      <c r="Q500" t="s">
        <v>74</v>
      </c>
      <c r="R500" t="s">
        <v>74</v>
      </c>
      <c r="S500" t="s">
        <v>74</v>
      </c>
      <c r="T500" t="s">
        <v>9831</v>
      </c>
      <c r="U500" t="s">
        <v>9832</v>
      </c>
      <c r="V500" t="s">
        <v>9833</v>
      </c>
      <c r="W500" t="s">
        <v>9834</v>
      </c>
      <c r="X500" t="s">
        <v>9835</v>
      </c>
      <c r="Y500" t="s">
        <v>9836</v>
      </c>
      <c r="Z500" t="s">
        <v>9837</v>
      </c>
      <c r="AA500" t="s">
        <v>9838</v>
      </c>
      <c r="AB500" t="s">
        <v>9839</v>
      </c>
      <c r="AC500" t="s">
        <v>9840</v>
      </c>
      <c r="AD500" t="s">
        <v>9841</v>
      </c>
      <c r="AE500" t="s">
        <v>9842</v>
      </c>
      <c r="AF500" t="s">
        <v>74</v>
      </c>
      <c r="AG500">
        <v>38</v>
      </c>
      <c r="AH500">
        <v>15</v>
      </c>
      <c r="AI500">
        <v>16</v>
      </c>
      <c r="AJ500">
        <v>0</v>
      </c>
      <c r="AK500">
        <v>10</v>
      </c>
      <c r="AL500" t="s">
        <v>238</v>
      </c>
      <c r="AM500" t="s">
        <v>166</v>
      </c>
      <c r="AN500" t="s">
        <v>239</v>
      </c>
      <c r="AO500" t="s">
        <v>478</v>
      </c>
      <c r="AP500" t="s">
        <v>479</v>
      </c>
      <c r="AQ500" t="s">
        <v>74</v>
      </c>
      <c r="AR500" t="s">
        <v>480</v>
      </c>
      <c r="AS500" t="s">
        <v>481</v>
      </c>
      <c r="AT500" t="s">
        <v>803</v>
      </c>
      <c r="AU500">
        <v>2020</v>
      </c>
      <c r="AV500">
        <v>32</v>
      </c>
      <c r="AW500">
        <v>1</v>
      </c>
      <c r="AX500" t="s">
        <v>74</v>
      </c>
      <c r="AY500" t="s">
        <v>74</v>
      </c>
      <c r="AZ500" t="s">
        <v>74</v>
      </c>
      <c r="BA500" t="s">
        <v>74</v>
      </c>
      <c r="BB500">
        <v>21</v>
      </c>
      <c r="BC500">
        <v>28</v>
      </c>
      <c r="BD500" t="s">
        <v>9843</v>
      </c>
      <c r="BE500" t="s">
        <v>9844</v>
      </c>
      <c r="BF500" t="str">
        <f>HYPERLINK("http://dx.doi.org/10.1017/S0954102019000543","http://dx.doi.org/10.1017/S0954102019000543")</f>
        <v>http://dx.doi.org/10.1017/S0954102019000543</v>
      </c>
      <c r="BG500" t="s">
        <v>74</v>
      </c>
      <c r="BH500" t="s">
        <v>74</v>
      </c>
      <c r="BI500">
        <v>8</v>
      </c>
      <c r="BJ500" t="s">
        <v>484</v>
      </c>
      <c r="BK500" t="s">
        <v>103</v>
      </c>
      <c r="BL500" t="s">
        <v>485</v>
      </c>
      <c r="BM500" t="s">
        <v>7903</v>
      </c>
      <c r="BN500" t="s">
        <v>74</v>
      </c>
      <c r="BO500" t="s">
        <v>74</v>
      </c>
      <c r="BP500" t="s">
        <v>74</v>
      </c>
      <c r="BQ500" t="s">
        <v>74</v>
      </c>
      <c r="BR500" t="s">
        <v>106</v>
      </c>
      <c r="BS500" t="s">
        <v>9845</v>
      </c>
      <c r="BT500" t="str">
        <f>HYPERLINK("https%3A%2F%2Fwww.webofscience.com%2Fwos%2Fwoscc%2Ffull-record%2FWOS:000578269300004","View Full Record in Web of Science")</f>
        <v>View Full Record in Web of Science</v>
      </c>
    </row>
    <row r="501" spans="1:72" x14ac:dyDescent="0.15">
      <c r="A501" t="s">
        <v>72</v>
      </c>
      <c r="B501" t="s">
        <v>9846</v>
      </c>
      <c r="C501" t="s">
        <v>74</v>
      </c>
      <c r="D501" t="s">
        <v>74</v>
      </c>
      <c r="E501" t="s">
        <v>74</v>
      </c>
      <c r="F501" t="s">
        <v>9847</v>
      </c>
      <c r="G501" t="s">
        <v>74</v>
      </c>
      <c r="H501" t="s">
        <v>74</v>
      </c>
      <c r="I501" t="s">
        <v>9848</v>
      </c>
      <c r="J501" t="s">
        <v>466</v>
      </c>
      <c r="K501" t="s">
        <v>74</v>
      </c>
      <c r="L501" t="s">
        <v>74</v>
      </c>
      <c r="M501" t="s">
        <v>78</v>
      </c>
      <c r="N501" t="s">
        <v>79</v>
      </c>
      <c r="O501" t="s">
        <v>74</v>
      </c>
      <c r="P501" t="s">
        <v>74</v>
      </c>
      <c r="Q501" t="s">
        <v>74</v>
      </c>
      <c r="R501" t="s">
        <v>74</v>
      </c>
      <c r="S501" t="s">
        <v>74</v>
      </c>
      <c r="T501" t="s">
        <v>9849</v>
      </c>
      <c r="U501" t="s">
        <v>74</v>
      </c>
      <c r="V501" t="s">
        <v>9850</v>
      </c>
      <c r="W501" t="s">
        <v>9851</v>
      </c>
      <c r="X501" t="s">
        <v>9852</v>
      </c>
      <c r="Y501" t="s">
        <v>9853</v>
      </c>
      <c r="Z501" t="s">
        <v>9854</v>
      </c>
      <c r="AA501" t="s">
        <v>9855</v>
      </c>
      <c r="AB501" t="s">
        <v>9856</v>
      </c>
      <c r="AC501" t="s">
        <v>9857</v>
      </c>
      <c r="AD501" t="s">
        <v>9858</v>
      </c>
      <c r="AE501" t="s">
        <v>9859</v>
      </c>
      <c r="AF501" t="s">
        <v>74</v>
      </c>
      <c r="AG501">
        <v>14</v>
      </c>
      <c r="AH501">
        <v>2</v>
      </c>
      <c r="AI501">
        <v>2</v>
      </c>
      <c r="AJ501">
        <v>0</v>
      </c>
      <c r="AK501">
        <v>2</v>
      </c>
      <c r="AL501" t="s">
        <v>238</v>
      </c>
      <c r="AM501" t="s">
        <v>166</v>
      </c>
      <c r="AN501" t="s">
        <v>239</v>
      </c>
      <c r="AO501" t="s">
        <v>478</v>
      </c>
      <c r="AP501" t="s">
        <v>479</v>
      </c>
      <c r="AQ501" t="s">
        <v>74</v>
      </c>
      <c r="AR501" t="s">
        <v>480</v>
      </c>
      <c r="AS501" t="s">
        <v>481</v>
      </c>
      <c r="AT501" t="s">
        <v>803</v>
      </c>
      <c r="AU501">
        <v>2020</v>
      </c>
      <c r="AV501">
        <v>32</v>
      </c>
      <c r="AW501">
        <v>1</v>
      </c>
      <c r="AX501" t="s">
        <v>74</v>
      </c>
      <c r="AY501" t="s">
        <v>74</v>
      </c>
      <c r="AZ501" t="s">
        <v>74</v>
      </c>
      <c r="BA501" t="s">
        <v>74</v>
      </c>
      <c r="BB501">
        <v>58</v>
      </c>
      <c r="BC501">
        <v>69</v>
      </c>
      <c r="BD501" t="s">
        <v>9860</v>
      </c>
      <c r="BE501" t="s">
        <v>9861</v>
      </c>
      <c r="BF501" t="str">
        <f>HYPERLINK("http://dx.doi.org/10.1017/S0954102019000531","http://dx.doi.org/10.1017/S0954102019000531")</f>
        <v>http://dx.doi.org/10.1017/S0954102019000531</v>
      </c>
      <c r="BG501" t="s">
        <v>74</v>
      </c>
      <c r="BH501" t="s">
        <v>74</v>
      </c>
      <c r="BI501">
        <v>12</v>
      </c>
      <c r="BJ501" t="s">
        <v>484</v>
      </c>
      <c r="BK501" t="s">
        <v>103</v>
      </c>
      <c r="BL501" t="s">
        <v>485</v>
      </c>
      <c r="BM501" t="s">
        <v>7903</v>
      </c>
      <c r="BN501" t="s">
        <v>74</v>
      </c>
      <c r="BO501" t="s">
        <v>193</v>
      </c>
      <c r="BP501" t="s">
        <v>74</v>
      </c>
      <c r="BQ501" t="s">
        <v>74</v>
      </c>
      <c r="BR501" t="s">
        <v>106</v>
      </c>
      <c r="BS501" t="s">
        <v>9862</v>
      </c>
      <c r="BT501" t="str">
        <f>HYPERLINK("https%3A%2F%2Fwww.webofscience.com%2Fwos%2Fwoscc%2Ffull-record%2FWOS:000578269300008","View Full Record in Web of Science")</f>
        <v>View Full Record in Web of Science</v>
      </c>
    </row>
    <row r="502" spans="1:72" x14ac:dyDescent="0.15">
      <c r="A502" t="s">
        <v>72</v>
      </c>
      <c r="B502" t="s">
        <v>9863</v>
      </c>
      <c r="C502" t="s">
        <v>74</v>
      </c>
      <c r="D502" t="s">
        <v>74</v>
      </c>
      <c r="E502" t="s">
        <v>74</v>
      </c>
      <c r="F502" t="s">
        <v>9864</v>
      </c>
      <c r="G502" t="s">
        <v>74</v>
      </c>
      <c r="H502" t="s">
        <v>74</v>
      </c>
      <c r="I502" t="s">
        <v>9865</v>
      </c>
      <c r="J502" t="s">
        <v>9866</v>
      </c>
      <c r="K502" t="s">
        <v>74</v>
      </c>
      <c r="L502" t="s">
        <v>74</v>
      </c>
      <c r="M502" t="s">
        <v>78</v>
      </c>
      <c r="N502" t="s">
        <v>79</v>
      </c>
      <c r="O502" t="s">
        <v>74</v>
      </c>
      <c r="P502" t="s">
        <v>74</v>
      </c>
      <c r="Q502" t="s">
        <v>74</v>
      </c>
      <c r="R502" t="s">
        <v>74</v>
      </c>
      <c r="S502" t="s">
        <v>74</v>
      </c>
      <c r="T502" t="s">
        <v>9867</v>
      </c>
      <c r="U502" t="s">
        <v>9868</v>
      </c>
      <c r="V502" t="s">
        <v>9869</v>
      </c>
      <c r="W502" t="s">
        <v>9870</v>
      </c>
      <c r="X502" t="s">
        <v>9871</v>
      </c>
      <c r="Y502" t="s">
        <v>9872</v>
      </c>
      <c r="Z502" t="s">
        <v>9873</v>
      </c>
      <c r="AA502" t="s">
        <v>9874</v>
      </c>
      <c r="AB502" t="s">
        <v>9875</v>
      </c>
      <c r="AC502" t="s">
        <v>9876</v>
      </c>
      <c r="AD502" t="s">
        <v>9877</v>
      </c>
      <c r="AE502" t="s">
        <v>9878</v>
      </c>
      <c r="AF502" t="s">
        <v>74</v>
      </c>
      <c r="AG502">
        <v>48</v>
      </c>
      <c r="AH502">
        <v>15</v>
      </c>
      <c r="AI502">
        <v>16</v>
      </c>
      <c r="AJ502">
        <v>0</v>
      </c>
      <c r="AK502">
        <v>23</v>
      </c>
      <c r="AL502" t="s">
        <v>4959</v>
      </c>
      <c r="AM502" t="s">
        <v>435</v>
      </c>
      <c r="AN502" t="s">
        <v>4960</v>
      </c>
      <c r="AO502" t="s">
        <v>9879</v>
      </c>
      <c r="AP502" t="s">
        <v>9880</v>
      </c>
      <c r="AQ502" t="s">
        <v>74</v>
      </c>
      <c r="AR502" t="s">
        <v>9881</v>
      </c>
      <c r="AS502" t="s">
        <v>9882</v>
      </c>
      <c r="AT502" t="s">
        <v>803</v>
      </c>
      <c r="AU502">
        <v>2020</v>
      </c>
      <c r="AV502">
        <v>95</v>
      </c>
      <c r="AW502" t="s">
        <v>74</v>
      </c>
      <c r="AX502" t="s">
        <v>74</v>
      </c>
      <c r="AY502" t="s">
        <v>74</v>
      </c>
      <c r="AZ502" t="s">
        <v>74</v>
      </c>
      <c r="BA502" t="s">
        <v>74</v>
      </c>
      <c r="BB502" t="s">
        <v>74</v>
      </c>
      <c r="BC502" t="s">
        <v>74</v>
      </c>
      <c r="BD502">
        <v>102022</v>
      </c>
      <c r="BE502" t="s">
        <v>9883</v>
      </c>
      <c r="BF502" t="str">
        <f>HYPERLINK("http://dx.doi.org/10.1016/j.apor.2019.102022","http://dx.doi.org/10.1016/j.apor.2019.102022")</f>
        <v>http://dx.doi.org/10.1016/j.apor.2019.102022</v>
      </c>
      <c r="BG502" t="s">
        <v>74</v>
      </c>
      <c r="BH502" t="s">
        <v>74</v>
      </c>
      <c r="BI502">
        <v>13</v>
      </c>
      <c r="BJ502" t="s">
        <v>9884</v>
      </c>
      <c r="BK502" t="s">
        <v>103</v>
      </c>
      <c r="BL502" t="s">
        <v>9885</v>
      </c>
      <c r="BM502" t="s">
        <v>9886</v>
      </c>
      <c r="BN502" t="s">
        <v>74</v>
      </c>
      <c r="BO502" t="s">
        <v>74</v>
      </c>
      <c r="BP502" t="s">
        <v>74</v>
      </c>
      <c r="BQ502" t="s">
        <v>74</v>
      </c>
      <c r="BR502" t="s">
        <v>106</v>
      </c>
      <c r="BS502" t="s">
        <v>9887</v>
      </c>
      <c r="BT502" t="str">
        <f>HYPERLINK("https%3A%2F%2Fwww.webofscience.com%2Fwos%2Fwoscc%2Ffull-record%2FWOS:000513290200011","View Full Record in Web of Science")</f>
        <v>View Full Record in Web of Science</v>
      </c>
    </row>
    <row r="503" spans="1:72" x14ac:dyDescent="0.15">
      <c r="A503" t="s">
        <v>72</v>
      </c>
      <c r="B503" t="s">
        <v>9888</v>
      </c>
      <c r="C503" t="s">
        <v>74</v>
      </c>
      <c r="D503" t="s">
        <v>74</v>
      </c>
      <c r="E503" t="s">
        <v>74</v>
      </c>
      <c r="F503" t="s">
        <v>9889</v>
      </c>
      <c r="G503" t="s">
        <v>74</v>
      </c>
      <c r="H503" t="s">
        <v>74</v>
      </c>
      <c r="I503" t="s">
        <v>9890</v>
      </c>
      <c r="J503" t="s">
        <v>1106</v>
      </c>
      <c r="K503" t="s">
        <v>74</v>
      </c>
      <c r="L503" t="s">
        <v>74</v>
      </c>
      <c r="M503" t="s">
        <v>78</v>
      </c>
      <c r="N503" t="s">
        <v>79</v>
      </c>
      <c r="O503" t="s">
        <v>74</v>
      </c>
      <c r="P503" t="s">
        <v>74</v>
      </c>
      <c r="Q503" t="s">
        <v>74</v>
      </c>
      <c r="R503" t="s">
        <v>74</v>
      </c>
      <c r="S503" t="s">
        <v>74</v>
      </c>
      <c r="T503" t="s">
        <v>9891</v>
      </c>
      <c r="U503" t="s">
        <v>9892</v>
      </c>
      <c r="V503" t="s">
        <v>9893</v>
      </c>
      <c r="W503" t="s">
        <v>9894</v>
      </c>
      <c r="X503" t="s">
        <v>9895</v>
      </c>
      <c r="Y503" t="s">
        <v>9896</v>
      </c>
      <c r="Z503" t="s">
        <v>9897</v>
      </c>
      <c r="AA503" t="s">
        <v>9898</v>
      </c>
      <c r="AB503" t="s">
        <v>9899</v>
      </c>
      <c r="AC503" t="s">
        <v>74</v>
      </c>
      <c r="AD503" t="s">
        <v>74</v>
      </c>
      <c r="AE503" t="s">
        <v>74</v>
      </c>
      <c r="AF503" t="s">
        <v>74</v>
      </c>
      <c r="AG503">
        <v>87</v>
      </c>
      <c r="AH503">
        <v>20</v>
      </c>
      <c r="AI503">
        <v>21</v>
      </c>
      <c r="AJ503">
        <v>4</v>
      </c>
      <c r="AK503">
        <v>44</v>
      </c>
      <c r="AL503" t="s">
        <v>121</v>
      </c>
      <c r="AM503" t="s">
        <v>166</v>
      </c>
      <c r="AN503" t="s">
        <v>685</v>
      </c>
      <c r="AO503" t="s">
        <v>1119</v>
      </c>
      <c r="AP503" t="s">
        <v>1120</v>
      </c>
      <c r="AQ503" t="s">
        <v>74</v>
      </c>
      <c r="AR503" t="s">
        <v>1121</v>
      </c>
      <c r="AS503" t="s">
        <v>1122</v>
      </c>
      <c r="AT503" t="s">
        <v>803</v>
      </c>
      <c r="AU503">
        <v>2020</v>
      </c>
      <c r="AV503">
        <v>54</v>
      </c>
      <c r="AW503" t="s">
        <v>4623</v>
      </c>
      <c r="AX503" t="s">
        <v>74</v>
      </c>
      <c r="AY503" t="s">
        <v>74</v>
      </c>
      <c r="AZ503" t="s">
        <v>74</v>
      </c>
      <c r="BA503" t="s">
        <v>74</v>
      </c>
      <c r="BB503">
        <v>1607</v>
      </c>
      <c r="BC503">
        <v>1624</v>
      </c>
      <c r="BD503" t="s">
        <v>74</v>
      </c>
      <c r="BE503" t="s">
        <v>9900</v>
      </c>
      <c r="BF503" t="str">
        <f>HYPERLINK("http://dx.doi.org/10.1007/s00382-019-05078-4","http://dx.doi.org/10.1007/s00382-019-05078-4")</f>
        <v>http://dx.doi.org/10.1007/s00382-019-05078-4</v>
      </c>
      <c r="BG503" t="s">
        <v>74</v>
      </c>
      <c r="BH503" t="s">
        <v>74</v>
      </c>
      <c r="BI503">
        <v>18</v>
      </c>
      <c r="BJ503" t="s">
        <v>907</v>
      </c>
      <c r="BK503" t="s">
        <v>103</v>
      </c>
      <c r="BL503" t="s">
        <v>907</v>
      </c>
      <c r="BM503" t="s">
        <v>9901</v>
      </c>
      <c r="BN503" t="s">
        <v>74</v>
      </c>
      <c r="BO503" t="s">
        <v>74</v>
      </c>
      <c r="BP503" t="s">
        <v>74</v>
      </c>
      <c r="BQ503" t="s">
        <v>74</v>
      </c>
      <c r="BR503" t="s">
        <v>106</v>
      </c>
      <c r="BS503" t="s">
        <v>9902</v>
      </c>
      <c r="BT503" t="str">
        <f>HYPERLINK("https%3A%2F%2Fwww.webofscience.com%2Fwos%2Fwoscc%2Ffull-record%2FWOS:000517904100009","View Full Record in Web of Science")</f>
        <v>View Full Record in Web of Science</v>
      </c>
    </row>
    <row r="504" spans="1:72" x14ac:dyDescent="0.15">
      <c r="A504" t="s">
        <v>72</v>
      </c>
      <c r="B504" t="s">
        <v>9903</v>
      </c>
      <c r="C504" t="s">
        <v>74</v>
      </c>
      <c r="D504" t="s">
        <v>74</v>
      </c>
      <c r="E504" t="s">
        <v>74</v>
      </c>
      <c r="F504" t="s">
        <v>9904</v>
      </c>
      <c r="G504" t="s">
        <v>74</v>
      </c>
      <c r="H504" t="s">
        <v>74</v>
      </c>
      <c r="I504" t="s">
        <v>9905</v>
      </c>
      <c r="J504" t="s">
        <v>9906</v>
      </c>
      <c r="K504" t="s">
        <v>74</v>
      </c>
      <c r="L504" t="s">
        <v>74</v>
      </c>
      <c r="M504" t="s">
        <v>78</v>
      </c>
      <c r="N504" t="s">
        <v>79</v>
      </c>
      <c r="O504" t="s">
        <v>74</v>
      </c>
      <c r="P504" t="s">
        <v>74</v>
      </c>
      <c r="Q504" t="s">
        <v>74</v>
      </c>
      <c r="R504" t="s">
        <v>74</v>
      </c>
      <c r="S504" t="s">
        <v>74</v>
      </c>
      <c r="T504" t="s">
        <v>9907</v>
      </c>
      <c r="U504" t="s">
        <v>9908</v>
      </c>
      <c r="V504" t="s">
        <v>9909</v>
      </c>
      <c r="W504" t="s">
        <v>9910</v>
      </c>
      <c r="X504" t="s">
        <v>9911</v>
      </c>
      <c r="Y504" t="s">
        <v>9912</v>
      </c>
      <c r="Z504" t="s">
        <v>9913</v>
      </c>
      <c r="AA504" t="s">
        <v>9914</v>
      </c>
      <c r="AB504" t="s">
        <v>9915</v>
      </c>
      <c r="AC504" t="s">
        <v>9916</v>
      </c>
      <c r="AD504" t="s">
        <v>9917</v>
      </c>
      <c r="AE504" t="s">
        <v>9918</v>
      </c>
      <c r="AF504" t="s">
        <v>74</v>
      </c>
      <c r="AG504">
        <v>49</v>
      </c>
      <c r="AH504">
        <v>20</v>
      </c>
      <c r="AI504">
        <v>24</v>
      </c>
      <c r="AJ504">
        <v>5</v>
      </c>
      <c r="AK504">
        <v>29</v>
      </c>
      <c r="AL504" t="s">
        <v>289</v>
      </c>
      <c r="AM504" t="s">
        <v>290</v>
      </c>
      <c r="AN504" t="s">
        <v>291</v>
      </c>
      <c r="AO504" t="s">
        <v>9919</v>
      </c>
      <c r="AP504" t="s">
        <v>9920</v>
      </c>
      <c r="AQ504" t="s">
        <v>74</v>
      </c>
      <c r="AR504" t="s">
        <v>9921</v>
      </c>
      <c r="AS504" t="s">
        <v>9922</v>
      </c>
      <c r="AT504" t="s">
        <v>803</v>
      </c>
      <c r="AU504">
        <v>2020</v>
      </c>
      <c r="AV504">
        <v>170</v>
      </c>
      <c r="AW504" t="s">
        <v>74</v>
      </c>
      <c r="AX504" t="s">
        <v>74</v>
      </c>
      <c r="AY504" t="s">
        <v>74</v>
      </c>
      <c r="AZ504" t="s">
        <v>74</v>
      </c>
      <c r="BA504" t="s">
        <v>74</v>
      </c>
      <c r="BB504" t="s">
        <v>74</v>
      </c>
      <c r="BC504" t="s">
        <v>74</v>
      </c>
      <c r="BD504">
        <v>102925</v>
      </c>
      <c r="BE504" t="s">
        <v>9923</v>
      </c>
      <c r="BF504" t="str">
        <f>HYPERLINK("http://dx.doi.org/10.1016/j.coldregions.2019.102925","http://dx.doi.org/10.1016/j.coldregions.2019.102925")</f>
        <v>http://dx.doi.org/10.1016/j.coldregions.2019.102925</v>
      </c>
      <c r="BG504" t="s">
        <v>74</v>
      </c>
      <c r="BH504" t="s">
        <v>74</v>
      </c>
      <c r="BI504">
        <v>13</v>
      </c>
      <c r="BJ504" t="s">
        <v>9924</v>
      </c>
      <c r="BK504" t="s">
        <v>103</v>
      </c>
      <c r="BL504" t="s">
        <v>9925</v>
      </c>
      <c r="BM504" t="s">
        <v>9926</v>
      </c>
      <c r="BN504" t="s">
        <v>74</v>
      </c>
      <c r="BO504" t="s">
        <v>74</v>
      </c>
      <c r="BP504" t="s">
        <v>74</v>
      </c>
      <c r="BQ504" t="s">
        <v>74</v>
      </c>
      <c r="BR504" t="s">
        <v>106</v>
      </c>
      <c r="BS504" t="s">
        <v>9927</v>
      </c>
      <c r="BT504" t="str">
        <f>HYPERLINK("https%3A%2F%2Fwww.webofscience.com%2Fwos%2Fwoscc%2Ffull-record%2FWOS:000506666000023","View Full Record in Web of Science")</f>
        <v>View Full Record in Web of Science</v>
      </c>
    </row>
    <row r="505" spans="1:72" x14ac:dyDescent="0.15">
      <c r="A505" t="s">
        <v>72</v>
      </c>
      <c r="B505" t="s">
        <v>9928</v>
      </c>
      <c r="C505" t="s">
        <v>74</v>
      </c>
      <c r="D505" t="s">
        <v>74</v>
      </c>
      <c r="E505" t="s">
        <v>74</v>
      </c>
      <c r="F505" t="s">
        <v>9929</v>
      </c>
      <c r="G505" t="s">
        <v>74</v>
      </c>
      <c r="H505" t="s">
        <v>74</v>
      </c>
      <c r="I505" t="s">
        <v>9930</v>
      </c>
      <c r="J505" t="s">
        <v>9038</v>
      </c>
      <c r="K505" t="s">
        <v>74</v>
      </c>
      <c r="L505" t="s">
        <v>74</v>
      </c>
      <c r="M505" t="s">
        <v>78</v>
      </c>
      <c r="N505" t="s">
        <v>79</v>
      </c>
      <c r="O505" t="s">
        <v>74</v>
      </c>
      <c r="P505" t="s">
        <v>74</v>
      </c>
      <c r="Q505" t="s">
        <v>74</v>
      </c>
      <c r="R505" t="s">
        <v>74</v>
      </c>
      <c r="S505" t="s">
        <v>74</v>
      </c>
      <c r="T505" t="s">
        <v>9931</v>
      </c>
      <c r="U505" t="s">
        <v>9932</v>
      </c>
      <c r="V505" t="s">
        <v>9933</v>
      </c>
      <c r="W505" t="s">
        <v>9934</v>
      </c>
      <c r="X505" t="s">
        <v>9935</v>
      </c>
      <c r="Y505" t="s">
        <v>9936</v>
      </c>
      <c r="Z505" t="s">
        <v>9937</v>
      </c>
      <c r="AA505" t="s">
        <v>9938</v>
      </c>
      <c r="AB505" t="s">
        <v>9939</v>
      </c>
      <c r="AC505" t="s">
        <v>9940</v>
      </c>
      <c r="AD505" t="s">
        <v>9941</v>
      </c>
      <c r="AE505" t="s">
        <v>9942</v>
      </c>
      <c r="AF505" t="s">
        <v>74</v>
      </c>
      <c r="AG505">
        <v>36</v>
      </c>
      <c r="AH505">
        <v>5</v>
      </c>
      <c r="AI505">
        <v>5</v>
      </c>
      <c r="AJ505">
        <v>1</v>
      </c>
      <c r="AK505">
        <v>10</v>
      </c>
      <c r="AL505" t="s">
        <v>434</v>
      </c>
      <c r="AM505" t="s">
        <v>435</v>
      </c>
      <c r="AN505" t="s">
        <v>436</v>
      </c>
      <c r="AO505" t="s">
        <v>9050</v>
      </c>
      <c r="AP505" t="s">
        <v>9051</v>
      </c>
      <c r="AQ505" t="s">
        <v>74</v>
      </c>
      <c r="AR505" t="s">
        <v>9052</v>
      </c>
      <c r="AS505" t="s">
        <v>9053</v>
      </c>
      <c r="AT505" t="s">
        <v>803</v>
      </c>
      <c r="AU505">
        <v>2020</v>
      </c>
      <c r="AV505">
        <v>156</v>
      </c>
      <c r="AW505" t="s">
        <v>74</v>
      </c>
      <c r="AX505" t="s">
        <v>74</v>
      </c>
      <c r="AY505" t="s">
        <v>74</v>
      </c>
      <c r="AZ505" t="s">
        <v>74</v>
      </c>
      <c r="BA505" t="s">
        <v>74</v>
      </c>
      <c r="BB505" t="s">
        <v>74</v>
      </c>
      <c r="BC505" t="s">
        <v>74</v>
      </c>
      <c r="BD505">
        <v>103182</v>
      </c>
      <c r="BE505" t="s">
        <v>9943</v>
      </c>
      <c r="BF505" t="str">
        <f>HYPERLINK("http://dx.doi.org/10.1016/j.dsr.2019.103182","http://dx.doi.org/10.1016/j.dsr.2019.103182")</f>
        <v>http://dx.doi.org/10.1016/j.dsr.2019.103182</v>
      </c>
      <c r="BG505" t="s">
        <v>74</v>
      </c>
      <c r="BH505" t="s">
        <v>74</v>
      </c>
      <c r="BI505">
        <v>8</v>
      </c>
      <c r="BJ505" t="s">
        <v>639</v>
      </c>
      <c r="BK505" t="s">
        <v>103</v>
      </c>
      <c r="BL505" t="s">
        <v>639</v>
      </c>
      <c r="BM505" t="s">
        <v>9055</v>
      </c>
      <c r="BN505" t="s">
        <v>74</v>
      </c>
      <c r="BO505" t="s">
        <v>74</v>
      </c>
      <c r="BP505" t="s">
        <v>74</v>
      </c>
      <c r="BQ505" t="s">
        <v>74</v>
      </c>
      <c r="BR505" t="s">
        <v>106</v>
      </c>
      <c r="BS505" t="s">
        <v>9944</v>
      </c>
      <c r="BT505" t="str">
        <f>HYPERLINK("https%3A%2F%2Fwww.webofscience.com%2Fwos%2Fwoscc%2Ffull-record%2FWOS:000514247800005","View Full Record in Web of Science")</f>
        <v>View Full Record in Web of Science</v>
      </c>
    </row>
    <row r="506" spans="1:72" x14ac:dyDescent="0.15">
      <c r="A506" t="s">
        <v>72</v>
      </c>
      <c r="B506" t="s">
        <v>9945</v>
      </c>
      <c r="C506" t="s">
        <v>74</v>
      </c>
      <c r="D506" t="s">
        <v>74</v>
      </c>
      <c r="E506" t="s">
        <v>74</v>
      </c>
      <c r="F506" t="s">
        <v>9946</v>
      </c>
      <c r="G506" t="s">
        <v>74</v>
      </c>
      <c r="H506" t="s">
        <v>74</v>
      </c>
      <c r="I506" t="s">
        <v>9947</v>
      </c>
      <c r="J506" t="s">
        <v>4003</v>
      </c>
      <c r="K506" t="s">
        <v>74</v>
      </c>
      <c r="L506" t="s">
        <v>74</v>
      </c>
      <c r="M506" t="s">
        <v>78</v>
      </c>
      <c r="N506" t="s">
        <v>1434</v>
      </c>
      <c r="O506" t="s">
        <v>74</v>
      </c>
      <c r="P506" t="s">
        <v>74</v>
      </c>
      <c r="Q506" t="s">
        <v>74</v>
      </c>
      <c r="R506" t="s">
        <v>74</v>
      </c>
      <c r="S506" t="s">
        <v>74</v>
      </c>
      <c r="T506" t="s">
        <v>9948</v>
      </c>
      <c r="U506" t="s">
        <v>9949</v>
      </c>
      <c r="V506" t="s">
        <v>9950</v>
      </c>
      <c r="W506" t="s">
        <v>9951</v>
      </c>
      <c r="X506" t="s">
        <v>9952</v>
      </c>
      <c r="Y506" t="s">
        <v>9953</v>
      </c>
      <c r="Z506" t="s">
        <v>9954</v>
      </c>
      <c r="AA506" t="s">
        <v>9955</v>
      </c>
      <c r="AB506" t="s">
        <v>9956</v>
      </c>
      <c r="AC506" t="s">
        <v>9957</v>
      </c>
      <c r="AD506" t="s">
        <v>9958</v>
      </c>
      <c r="AE506" t="s">
        <v>9959</v>
      </c>
      <c r="AF506" t="s">
        <v>74</v>
      </c>
      <c r="AG506">
        <v>259</v>
      </c>
      <c r="AH506">
        <v>28</v>
      </c>
      <c r="AI506">
        <v>32</v>
      </c>
      <c r="AJ506">
        <v>16</v>
      </c>
      <c r="AK506">
        <v>84</v>
      </c>
      <c r="AL506" t="s">
        <v>289</v>
      </c>
      <c r="AM506" t="s">
        <v>290</v>
      </c>
      <c r="AN506" t="s">
        <v>291</v>
      </c>
      <c r="AO506" t="s">
        <v>4016</v>
      </c>
      <c r="AP506" t="s">
        <v>4017</v>
      </c>
      <c r="AQ506" t="s">
        <v>74</v>
      </c>
      <c r="AR506" t="s">
        <v>4018</v>
      </c>
      <c r="AS506" t="s">
        <v>4019</v>
      </c>
      <c r="AT506" t="s">
        <v>803</v>
      </c>
      <c r="AU506">
        <v>2020</v>
      </c>
      <c r="AV506">
        <v>201</v>
      </c>
      <c r="AW506" t="s">
        <v>74</v>
      </c>
      <c r="AX506" t="s">
        <v>74</v>
      </c>
      <c r="AY506" t="s">
        <v>74</v>
      </c>
      <c r="AZ506" t="s">
        <v>74</v>
      </c>
      <c r="BA506" t="s">
        <v>74</v>
      </c>
      <c r="BB506" t="s">
        <v>74</v>
      </c>
      <c r="BC506" t="s">
        <v>74</v>
      </c>
      <c r="BD506">
        <v>102948</v>
      </c>
      <c r="BE506" t="s">
        <v>9960</v>
      </c>
      <c r="BF506" t="str">
        <f>HYPERLINK("http://dx.doi.org/10.1016/j.earscirev.2019.102948","http://dx.doi.org/10.1016/j.earscirev.2019.102948")</f>
        <v>http://dx.doi.org/10.1016/j.earscirev.2019.102948</v>
      </c>
      <c r="BG506" t="s">
        <v>74</v>
      </c>
      <c r="BH506" t="s">
        <v>74</v>
      </c>
      <c r="BI506">
        <v>29</v>
      </c>
      <c r="BJ506" t="s">
        <v>246</v>
      </c>
      <c r="BK506" t="s">
        <v>103</v>
      </c>
      <c r="BL506" t="s">
        <v>247</v>
      </c>
      <c r="BM506" t="s">
        <v>8363</v>
      </c>
      <c r="BN506" t="s">
        <v>74</v>
      </c>
      <c r="BO506" t="s">
        <v>148</v>
      </c>
      <c r="BP506" t="s">
        <v>74</v>
      </c>
      <c r="BQ506" t="s">
        <v>74</v>
      </c>
      <c r="BR506" t="s">
        <v>106</v>
      </c>
      <c r="BS506" t="s">
        <v>9961</v>
      </c>
      <c r="BT506" t="str">
        <f>HYPERLINK("https%3A%2F%2Fwww.webofscience.com%2Fwos%2Fwoscc%2Ffull-record%2FWOS:000520949700001","View Full Record in Web of Science")</f>
        <v>View Full Record in Web of Science</v>
      </c>
    </row>
    <row r="507" spans="1:72" x14ac:dyDescent="0.15">
      <c r="A507" t="s">
        <v>72</v>
      </c>
      <c r="B507" t="s">
        <v>9962</v>
      </c>
      <c r="C507" t="s">
        <v>74</v>
      </c>
      <c r="D507" t="s">
        <v>74</v>
      </c>
      <c r="E507" t="s">
        <v>74</v>
      </c>
      <c r="F507" t="s">
        <v>9963</v>
      </c>
      <c r="G507" t="s">
        <v>74</v>
      </c>
      <c r="H507" t="s">
        <v>74</v>
      </c>
      <c r="I507" t="s">
        <v>9964</v>
      </c>
      <c r="J507" t="s">
        <v>9965</v>
      </c>
      <c r="K507" t="s">
        <v>74</v>
      </c>
      <c r="L507" t="s">
        <v>74</v>
      </c>
      <c r="M507" t="s">
        <v>78</v>
      </c>
      <c r="N507" t="s">
        <v>79</v>
      </c>
      <c r="O507" t="s">
        <v>74</v>
      </c>
      <c r="P507" t="s">
        <v>74</v>
      </c>
      <c r="Q507" t="s">
        <v>74</v>
      </c>
      <c r="R507" t="s">
        <v>74</v>
      </c>
      <c r="S507" t="s">
        <v>74</v>
      </c>
      <c r="T507" t="s">
        <v>9966</v>
      </c>
      <c r="U507" t="s">
        <v>9967</v>
      </c>
      <c r="V507" t="s">
        <v>9968</v>
      </c>
      <c r="W507" t="s">
        <v>9969</v>
      </c>
      <c r="X507" t="s">
        <v>9970</v>
      </c>
      <c r="Y507" t="s">
        <v>9971</v>
      </c>
      <c r="Z507" t="s">
        <v>9972</v>
      </c>
      <c r="AA507" t="s">
        <v>9973</v>
      </c>
      <c r="AB507" t="s">
        <v>9974</v>
      </c>
      <c r="AC507" t="s">
        <v>74</v>
      </c>
      <c r="AD507" t="s">
        <v>74</v>
      </c>
      <c r="AE507" t="s">
        <v>74</v>
      </c>
      <c r="AF507" t="s">
        <v>74</v>
      </c>
      <c r="AG507">
        <v>40</v>
      </c>
      <c r="AH507">
        <v>5</v>
      </c>
      <c r="AI507">
        <v>5</v>
      </c>
      <c r="AJ507">
        <v>0</v>
      </c>
      <c r="AK507">
        <v>6</v>
      </c>
      <c r="AL507" t="s">
        <v>2464</v>
      </c>
      <c r="AM507" t="s">
        <v>545</v>
      </c>
      <c r="AN507" t="s">
        <v>2465</v>
      </c>
      <c r="AO507" t="s">
        <v>9975</v>
      </c>
      <c r="AP507" t="s">
        <v>9976</v>
      </c>
      <c r="AQ507" t="s">
        <v>74</v>
      </c>
      <c r="AR507" t="s">
        <v>9977</v>
      </c>
      <c r="AS507" t="s">
        <v>9978</v>
      </c>
      <c r="AT507" t="s">
        <v>803</v>
      </c>
      <c r="AU507">
        <v>2020</v>
      </c>
      <c r="AV507">
        <v>26</v>
      </c>
      <c r="AW507">
        <v>1</v>
      </c>
      <c r="AX507" t="s">
        <v>74</v>
      </c>
      <c r="AY507" t="s">
        <v>74</v>
      </c>
      <c r="AZ507" t="s">
        <v>74</v>
      </c>
      <c r="BA507" t="s">
        <v>74</v>
      </c>
      <c r="BB507">
        <v>36</v>
      </c>
      <c r="BC507">
        <v>45</v>
      </c>
      <c r="BD507" t="s">
        <v>74</v>
      </c>
      <c r="BE507" t="s">
        <v>9979</v>
      </c>
      <c r="BF507" t="str">
        <f>HYPERLINK("http://dx.doi.org/10.1177/1469066719857564","http://dx.doi.org/10.1177/1469066719857564")</f>
        <v>http://dx.doi.org/10.1177/1469066719857564</v>
      </c>
      <c r="BG507" t="s">
        <v>74</v>
      </c>
      <c r="BH507" t="s">
        <v>74</v>
      </c>
      <c r="BI507">
        <v>10</v>
      </c>
      <c r="BJ507" t="s">
        <v>9980</v>
      </c>
      <c r="BK507" t="s">
        <v>103</v>
      </c>
      <c r="BL507" t="s">
        <v>9981</v>
      </c>
      <c r="BM507" t="s">
        <v>9982</v>
      </c>
      <c r="BN507">
        <v>31234644</v>
      </c>
      <c r="BO507" t="s">
        <v>74</v>
      </c>
      <c r="BP507" t="s">
        <v>74</v>
      </c>
      <c r="BQ507" t="s">
        <v>74</v>
      </c>
      <c r="BR507" t="s">
        <v>106</v>
      </c>
      <c r="BS507" t="s">
        <v>9983</v>
      </c>
      <c r="BT507" t="str">
        <f>HYPERLINK("https%3A%2F%2Fwww.webofscience.com%2Fwos%2Fwoscc%2Ffull-record%2FWOS:000506406800003","View Full Record in Web of Science")</f>
        <v>View Full Record in Web of Science</v>
      </c>
    </row>
    <row r="508" spans="1:72" x14ac:dyDescent="0.15">
      <c r="A508" t="s">
        <v>72</v>
      </c>
      <c r="B508" t="s">
        <v>9984</v>
      </c>
      <c r="C508" t="s">
        <v>74</v>
      </c>
      <c r="D508" t="s">
        <v>74</v>
      </c>
      <c r="E508" t="s">
        <v>74</v>
      </c>
      <c r="F508" t="s">
        <v>9985</v>
      </c>
      <c r="G508" t="s">
        <v>74</v>
      </c>
      <c r="H508" t="s">
        <v>74</v>
      </c>
      <c r="I508" t="s">
        <v>9986</v>
      </c>
      <c r="J508" t="s">
        <v>766</v>
      </c>
      <c r="K508" t="s">
        <v>74</v>
      </c>
      <c r="L508" t="s">
        <v>74</v>
      </c>
      <c r="M508" t="s">
        <v>78</v>
      </c>
      <c r="N508" t="s">
        <v>1434</v>
      </c>
      <c r="O508" t="s">
        <v>74</v>
      </c>
      <c r="P508" t="s">
        <v>74</v>
      </c>
      <c r="Q508" t="s">
        <v>74</v>
      </c>
      <c r="R508" t="s">
        <v>74</v>
      </c>
      <c r="S508" t="s">
        <v>74</v>
      </c>
      <c r="T508" t="s">
        <v>9987</v>
      </c>
      <c r="U508" t="s">
        <v>74</v>
      </c>
      <c r="V508" t="s">
        <v>9988</v>
      </c>
      <c r="W508" t="s">
        <v>9989</v>
      </c>
      <c r="X508" t="s">
        <v>9990</v>
      </c>
      <c r="Y508" t="s">
        <v>9991</v>
      </c>
      <c r="Z508" t="s">
        <v>9992</v>
      </c>
      <c r="AA508" t="s">
        <v>9993</v>
      </c>
      <c r="AB508" t="s">
        <v>9994</v>
      </c>
      <c r="AC508" t="s">
        <v>74</v>
      </c>
      <c r="AD508" t="s">
        <v>74</v>
      </c>
      <c r="AE508" t="s">
        <v>74</v>
      </c>
      <c r="AF508" t="s">
        <v>74</v>
      </c>
      <c r="AG508">
        <v>21</v>
      </c>
      <c r="AH508">
        <v>16</v>
      </c>
      <c r="AI508">
        <v>17</v>
      </c>
      <c r="AJ508">
        <v>13</v>
      </c>
      <c r="AK508">
        <v>143</v>
      </c>
      <c r="AL508" t="s">
        <v>211</v>
      </c>
      <c r="AM508" t="s">
        <v>212</v>
      </c>
      <c r="AN508" t="s">
        <v>213</v>
      </c>
      <c r="AO508" t="s">
        <v>779</v>
      </c>
      <c r="AP508" t="s">
        <v>780</v>
      </c>
      <c r="AQ508" t="s">
        <v>74</v>
      </c>
      <c r="AR508" t="s">
        <v>781</v>
      </c>
      <c r="AS508" t="s">
        <v>782</v>
      </c>
      <c r="AT508" t="s">
        <v>803</v>
      </c>
      <c r="AU508">
        <v>2020</v>
      </c>
      <c r="AV508">
        <v>26</v>
      </c>
      <c r="AW508">
        <v>2</v>
      </c>
      <c r="AX508" t="s">
        <v>74</v>
      </c>
      <c r="AY508" t="s">
        <v>74</v>
      </c>
      <c r="AZ508" t="s">
        <v>74</v>
      </c>
      <c r="BA508" t="s">
        <v>74</v>
      </c>
      <c r="BB508">
        <v>410</v>
      </c>
      <c r="BC508">
        <v>416</v>
      </c>
      <c r="BD508" t="s">
        <v>74</v>
      </c>
      <c r="BE508" t="s">
        <v>9995</v>
      </c>
      <c r="BF508" t="str">
        <f>HYPERLINK("http://dx.doi.org/10.1111/gcb.14856","http://dx.doi.org/10.1111/gcb.14856")</f>
        <v>http://dx.doi.org/10.1111/gcb.14856</v>
      </c>
      <c r="BG508" t="s">
        <v>74</v>
      </c>
      <c r="BH508" t="s">
        <v>74</v>
      </c>
      <c r="BI508">
        <v>7</v>
      </c>
      <c r="BJ508" t="s">
        <v>784</v>
      </c>
      <c r="BK508" t="s">
        <v>103</v>
      </c>
      <c r="BL508" t="s">
        <v>131</v>
      </c>
      <c r="BM508" t="s">
        <v>9996</v>
      </c>
      <c r="BN508">
        <v>31746093</v>
      </c>
      <c r="BO508" t="s">
        <v>694</v>
      </c>
      <c r="BP508" t="s">
        <v>74</v>
      </c>
      <c r="BQ508" t="s">
        <v>74</v>
      </c>
      <c r="BR508" t="s">
        <v>106</v>
      </c>
      <c r="BS508" t="s">
        <v>9997</v>
      </c>
      <c r="BT508" t="str">
        <f>HYPERLINK("https%3A%2F%2Fwww.webofscience.com%2Fwos%2Fwoscc%2Ffull-record%2FWOS:000511917700017","View Full Record in Web of Science")</f>
        <v>View Full Record in Web of Science</v>
      </c>
    </row>
    <row r="509" spans="1:72" x14ac:dyDescent="0.15">
      <c r="A509" t="s">
        <v>72</v>
      </c>
      <c r="B509" t="s">
        <v>9998</v>
      </c>
      <c r="C509" t="s">
        <v>74</v>
      </c>
      <c r="D509" t="s">
        <v>74</v>
      </c>
      <c r="E509" t="s">
        <v>74</v>
      </c>
      <c r="F509" t="s">
        <v>9999</v>
      </c>
      <c r="G509" t="s">
        <v>74</v>
      </c>
      <c r="H509" t="s">
        <v>74</v>
      </c>
      <c r="I509" t="s">
        <v>10000</v>
      </c>
      <c r="J509" t="s">
        <v>10001</v>
      </c>
      <c r="K509" t="s">
        <v>74</v>
      </c>
      <c r="L509" t="s">
        <v>74</v>
      </c>
      <c r="M509" t="s">
        <v>78</v>
      </c>
      <c r="N509" t="s">
        <v>79</v>
      </c>
      <c r="O509" t="s">
        <v>74</v>
      </c>
      <c r="P509" t="s">
        <v>74</v>
      </c>
      <c r="Q509" t="s">
        <v>74</v>
      </c>
      <c r="R509" t="s">
        <v>74</v>
      </c>
      <c r="S509" t="s">
        <v>74</v>
      </c>
      <c r="T509" t="s">
        <v>10002</v>
      </c>
      <c r="U509" t="s">
        <v>10003</v>
      </c>
      <c r="V509" t="s">
        <v>10004</v>
      </c>
      <c r="W509" t="s">
        <v>10005</v>
      </c>
      <c r="X509" t="s">
        <v>10006</v>
      </c>
      <c r="Y509" t="s">
        <v>10007</v>
      </c>
      <c r="Z509" t="s">
        <v>10008</v>
      </c>
      <c r="AA509" t="s">
        <v>10009</v>
      </c>
      <c r="AB509" t="s">
        <v>10010</v>
      </c>
      <c r="AC509" t="s">
        <v>10011</v>
      </c>
      <c r="AD509" t="s">
        <v>10012</v>
      </c>
      <c r="AE509" t="s">
        <v>10013</v>
      </c>
      <c r="AF509" t="s">
        <v>74</v>
      </c>
      <c r="AG509">
        <v>70</v>
      </c>
      <c r="AH509">
        <v>7</v>
      </c>
      <c r="AI509">
        <v>8</v>
      </c>
      <c r="AJ509">
        <v>1</v>
      </c>
      <c r="AK509">
        <v>14</v>
      </c>
      <c r="AL509" t="s">
        <v>10014</v>
      </c>
      <c r="AM509" t="s">
        <v>10015</v>
      </c>
      <c r="AN509" t="s">
        <v>10016</v>
      </c>
      <c r="AO509" t="s">
        <v>10017</v>
      </c>
      <c r="AP509" t="s">
        <v>10018</v>
      </c>
      <c r="AQ509" t="s">
        <v>74</v>
      </c>
      <c r="AR509" t="s">
        <v>10019</v>
      </c>
      <c r="AS509" t="s">
        <v>10020</v>
      </c>
      <c r="AT509" t="s">
        <v>8137</v>
      </c>
      <c r="AU509">
        <v>2020</v>
      </c>
      <c r="AV509">
        <v>181</v>
      </c>
      <c r="AW509">
        <v>2</v>
      </c>
      <c r="AX509" t="s">
        <v>74</v>
      </c>
      <c r="AY509" t="s">
        <v>74</v>
      </c>
      <c r="AZ509" t="s">
        <v>342</v>
      </c>
      <c r="BA509" t="s">
        <v>74</v>
      </c>
      <c r="BB509">
        <v>196</v>
      </c>
      <c r="BC509">
        <v>209</v>
      </c>
      <c r="BD509" t="s">
        <v>74</v>
      </c>
      <c r="BE509" t="s">
        <v>10021</v>
      </c>
      <c r="BF509" t="str">
        <f>HYPERLINK("http://dx.doi.org/10.1086/706857","http://dx.doi.org/10.1086/706857")</f>
        <v>http://dx.doi.org/10.1086/706857</v>
      </c>
      <c r="BG509" t="s">
        <v>74</v>
      </c>
      <c r="BH509" t="s">
        <v>74</v>
      </c>
      <c r="BI509">
        <v>14</v>
      </c>
      <c r="BJ509" t="s">
        <v>6008</v>
      </c>
      <c r="BK509" t="s">
        <v>103</v>
      </c>
      <c r="BL509" t="s">
        <v>6008</v>
      </c>
      <c r="BM509" t="s">
        <v>10022</v>
      </c>
      <c r="BN509" t="s">
        <v>74</v>
      </c>
      <c r="BO509" t="s">
        <v>694</v>
      </c>
      <c r="BP509" t="s">
        <v>74</v>
      </c>
      <c r="BQ509" t="s">
        <v>74</v>
      </c>
      <c r="BR509" t="s">
        <v>106</v>
      </c>
      <c r="BS509" t="s">
        <v>10023</v>
      </c>
      <c r="BT509" t="str">
        <f>HYPERLINK("https%3A%2F%2Fwww.webofscience.com%2Fwos%2Fwoscc%2Ffull-record%2FWOS:000510205300004","View Full Record in Web of Science")</f>
        <v>View Full Record in Web of Science</v>
      </c>
    </row>
    <row r="510" spans="1:72" x14ac:dyDescent="0.15">
      <c r="A510" t="s">
        <v>72</v>
      </c>
      <c r="B510" t="s">
        <v>10024</v>
      </c>
      <c r="C510" t="s">
        <v>74</v>
      </c>
      <c r="D510" t="s">
        <v>74</v>
      </c>
      <c r="E510" t="s">
        <v>74</v>
      </c>
      <c r="F510" t="s">
        <v>10025</v>
      </c>
      <c r="G510" t="s">
        <v>74</v>
      </c>
      <c r="H510" t="s">
        <v>74</v>
      </c>
      <c r="I510" t="s">
        <v>10026</v>
      </c>
      <c r="J510" t="s">
        <v>9652</v>
      </c>
      <c r="K510" t="s">
        <v>74</v>
      </c>
      <c r="L510" t="s">
        <v>74</v>
      </c>
      <c r="M510" t="s">
        <v>78</v>
      </c>
      <c r="N510" t="s">
        <v>79</v>
      </c>
      <c r="O510" t="s">
        <v>74</v>
      </c>
      <c r="P510" t="s">
        <v>74</v>
      </c>
      <c r="Q510" t="s">
        <v>74</v>
      </c>
      <c r="R510" t="s">
        <v>74</v>
      </c>
      <c r="S510" t="s">
        <v>74</v>
      </c>
      <c r="T510" t="s">
        <v>10027</v>
      </c>
      <c r="U510" t="s">
        <v>10028</v>
      </c>
      <c r="V510" t="s">
        <v>10029</v>
      </c>
      <c r="W510" t="s">
        <v>10030</v>
      </c>
      <c r="X510" t="s">
        <v>10031</v>
      </c>
      <c r="Y510" t="s">
        <v>10032</v>
      </c>
      <c r="Z510" t="s">
        <v>10033</v>
      </c>
      <c r="AA510" t="s">
        <v>10034</v>
      </c>
      <c r="AB510" t="s">
        <v>10035</v>
      </c>
      <c r="AC510" t="s">
        <v>10036</v>
      </c>
      <c r="AD510" t="s">
        <v>10037</v>
      </c>
      <c r="AE510" t="s">
        <v>10038</v>
      </c>
      <c r="AF510" t="s">
        <v>74</v>
      </c>
      <c r="AG510">
        <v>58</v>
      </c>
      <c r="AH510">
        <v>8</v>
      </c>
      <c r="AI510">
        <v>10</v>
      </c>
      <c r="AJ510">
        <v>0</v>
      </c>
      <c r="AK510">
        <v>4</v>
      </c>
      <c r="AL510" t="s">
        <v>238</v>
      </c>
      <c r="AM510" t="s">
        <v>3234</v>
      </c>
      <c r="AN510" t="s">
        <v>9665</v>
      </c>
      <c r="AO510" t="s">
        <v>9666</v>
      </c>
      <c r="AP510" t="s">
        <v>9667</v>
      </c>
      <c r="AQ510" t="s">
        <v>74</v>
      </c>
      <c r="AR510" t="s">
        <v>9668</v>
      </c>
      <c r="AS510" t="s">
        <v>9669</v>
      </c>
      <c r="AT510" t="s">
        <v>803</v>
      </c>
      <c r="AU510">
        <v>2020</v>
      </c>
      <c r="AV510">
        <v>66</v>
      </c>
      <c r="AW510">
        <v>255</v>
      </c>
      <c r="AX510" t="s">
        <v>74</v>
      </c>
      <c r="AY510" t="s">
        <v>74</v>
      </c>
      <c r="AZ510" t="s">
        <v>74</v>
      </c>
      <c r="BA510" t="s">
        <v>74</v>
      </c>
      <c r="BB510">
        <v>49</v>
      </c>
      <c r="BC510">
        <v>60</v>
      </c>
      <c r="BD510" t="s">
        <v>10039</v>
      </c>
      <c r="BE510" t="s">
        <v>10040</v>
      </c>
      <c r="BF510" t="str">
        <f>HYPERLINK("http://dx.doi.org/10.1017/jog.2019.83","http://dx.doi.org/10.1017/jog.2019.83")</f>
        <v>http://dx.doi.org/10.1017/jog.2019.83</v>
      </c>
      <c r="BG510" t="s">
        <v>74</v>
      </c>
      <c r="BH510" t="s">
        <v>74</v>
      </c>
      <c r="BI510">
        <v>12</v>
      </c>
      <c r="BJ510" t="s">
        <v>1307</v>
      </c>
      <c r="BK510" t="s">
        <v>103</v>
      </c>
      <c r="BL510" t="s">
        <v>1308</v>
      </c>
      <c r="BM510" t="s">
        <v>9672</v>
      </c>
      <c r="BN510" t="s">
        <v>74</v>
      </c>
      <c r="BO510" t="s">
        <v>667</v>
      </c>
      <c r="BP510" t="s">
        <v>74</v>
      </c>
      <c r="BQ510" t="s">
        <v>74</v>
      </c>
      <c r="BR510" t="s">
        <v>106</v>
      </c>
      <c r="BS510" t="s">
        <v>10041</v>
      </c>
      <c r="BT510" t="str">
        <f>HYPERLINK("https%3A%2F%2Fwww.webofscience.com%2Fwos%2Fwoscc%2Ffull-record%2FWOS:000509742700005","View Full Record in Web of Science")</f>
        <v>View Full Record in Web of Science</v>
      </c>
    </row>
    <row r="511" spans="1:72" x14ac:dyDescent="0.15">
      <c r="A511" t="s">
        <v>72</v>
      </c>
      <c r="B511" t="s">
        <v>10042</v>
      </c>
      <c r="C511" t="s">
        <v>74</v>
      </c>
      <c r="D511" t="s">
        <v>74</v>
      </c>
      <c r="E511" t="s">
        <v>74</v>
      </c>
      <c r="F511" t="s">
        <v>10043</v>
      </c>
      <c r="G511" t="s">
        <v>74</v>
      </c>
      <c r="H511" t="s">
        <v>74</v>
      </c>
      <c r="I511" t="s">
        <v>10044</v>
      </c>
      <c r="J511" t="s">
        <v>9652</v>
      </c>
      <c r="K511" t="s">
        <v>74</v>
      </c>
      <c r="L511" t="s">
        <v>74</v>
      </c>
      <c r="M511" t="s">
        <v>78</v>
      </c>
      <c r="N511" t="s">
        <v>79</v>
      </c>
      <c r="O511" t="s">
        <v>74</v>
      </c>
      <c r="P511" t="s">
        <v>74</v>
      </c>
      <c r="Q511" t="s">
        <v>74</v>
      </c>
      <c r="R511" t="s">
        <v>74</v>
      </c>
      <c r="S511" t="s">
        <v>74</v>
      </c>
      <c r="T511" t="s">
        <v>10045</v>
      </c>
      <c r="U511" t="s">
        <v>10046</v>
      </c>
      <c r="V511" t="s">
        <v>10047</v>
      </c>
      <c r="W511" t="s">
        <v>10048</v>
      </c>
      <c r="X511" t="s">
        <v>10049</v>
      </c>
      <c r="Y511" t="s">
        <v>10050</v>
      </c>
      <c r="Z511" t="s">
        <v>10051</v>
      </c>
      <c r="AA511" t="s">
        <v>10052</v>
      </c>
      <c r="AB511" t="s">
        <v>10053</v>
      </c>
      <c r="AC511" t="s">
        <v>10054</v>
      </c>
      <c r="AD511" t="s">
        <v>10055</v>
      </c>
      <c r="AE511" t="s">
        <v>10056</v>
      </c>
      <c r="AF511" t="s">
        <v>74</v>
      </c>
      <c r="AG511">
        <v>66</v>
      </c>
      <c r="AH511">
        <v>8</v>
      </c>
      <c r="AI511">
        <v>10</v>
      </c>
      <c r="AJ511">
        <v>1</v>
      </c>
      <c r="AK511">
        <v>17</v>
      </c>
      <c r="AL511" t="s">
        <v>238</v>
      </c>
      <c r="AM511" t="s">
        <v>3234</v>
      </c>
      <c r="AN511" t="s">
        <v>9665</v>
      </c>
      <c r="AO511" t="s">
        <v>9666</v>
      </c>
      <c r="AP511" t="s">
        <v>9667</v>
      </c>
      <c r="AQ511" t="s">
        <v>74</v>
      </c>
      <c r="AR511" t="s">
        <v>9668</v>
      </c>
      <c r="AS511" t="s">
        <v>9669</v>
      </c>
      <c r="AT511" t="s">
        <v>803</v>
      </c>
      <c r="AU511">
        <v>2020</v>
      </c>
      <c r="AV511">
        <v>66</v>
      </c>
      <c r="AW511">
        <v>255</v>
      </c>
      <c r="AX511" t="s">
        <v>74</v>
      </c>
      <c r="AY511" t="s">
        <v>74</v>
      </c>
      <c r="AZ511" t="s">
        <v>74</v>
      </c>
      <c r="BA511" t="s">
        <v>74</v>
      </c>
      <c r="BB511">
        <v>153</v>
      </c>
      <c r="BC511">
        <v>165</v>
      </c>
      <c r="BD511" t="s">
        <v>10057</v>
      </c>
      <c r="BE511" t="s">
        <v>10058</v>
      </c>
      <c r="BF511" t="str">
        <f>HYPERLINK("http://dx.doi.org/10.1017/jog.2019.95","http://dx.doi.org/10.1017/jog.2019.95")</f>
        <v>http://dx.doi.org/10.1017/jog.2019.95</v>
      </c>
      <c r="BG511" t="s">
        <v>74</v>
      </c>
      <c r="BH511" t="s">
        <v>74</v>
      </c>
      <c r="BI511">
        <v>13</v>
      </c>
      <c r="BJ511" t="s">
        <v>1307</v>
      </c>
      <c r="BK511" t="s">
        <v>103</v>
      </c>
      <c r="BL511" t="s">
        <v>1308</v>
      </c>
      <c r="BM511" t="s">
        <v>9672</v>
      </c>
      <c r="BN511" t="s">
        <v>74</v>
      </c>
      <c r="BO511" t="s">
        <v>2592</v>
      </c>
      <c r="BP511" t="s">
        <v>74</v>
      </c>
      <c r="BQ511" t="s">
        <v>74</v>
      </c>
      <c r="BR511" t="s">
        <v>106</v>
      </c>
      <c r="BS511" t="s">
        <v>10059</v>
      </c>
      <c r="BT511" t="str">
        <f>HYPERLINK("https%3A%2F%2Fwww.webofscience.com%2Fwos%2Fwoscc%2Ffull-record%2FWOS:000509742700013","View Full Record in Web of Science")</f>
        <v>View Full Record in Web of Science</v>
      </c>
    </row>
    <row r="512" spans="1:72" x14ac:dyDescent="0.15">
      <c r="A512" t="s">
        <v>72</v>
      </c>
      <c r="B512" t="s">
        <v>10060</v>
      </c>
      <c r="C512" t="s">
        <v>74</v>
      </c>
      <c r="D512" t="s">
        <v>74</v>
      </c>
      <c r="E512" t="s">
        <v>74</v>
      </c>
      <c r="F512" t="s">
        <v>10061</v>
      </c>
      <c r="G512" t="s">
        <v>74</v>
      </c>
      <c r="H512" t="s">
        <v>10062</v>
      </c>
      <c r="I512" t="s">
        <v>10063</v>
      </c>
      <c r="J512" t="s">
        <v>10064</v>
      </c>
      <c r="K512" t="s">
        <v>74</v>
      </c>
      <c r="L512" t="s">
        <v>74</v>
      </c>
      <c r="M512" t="s">
        <v>78</v>
      </c>
      <c r="N512" t="s">
        <v>79</v>
      </c>
      <c r="O512" t="s">
        <v>74</v>
      </c>
      <c r="P512" t="s">
        <v>74</v>
      </c>
      <c r="Q512" t="s">
        <v>74</v>
      </c>
      <c r="R512" t="s">
        <v>74</v>
      </c>
      <c r="S512" t="s">
        <v>74</v>
      </c>
      <c r="T512" t="s">
        <v>10065</v>
      </c>
      <c r="U512" t="s">
        <v>74</v>
      </c>
      <c r="V512" t="s">
        <v>10066</v>
      </c>
      <c r="W512" t="s">
        <v>10067</v>
      </c>
      <c r="X512" t="s">
        <v>10068</v>
      </c>
      <c r="Y512" t="s">
        <v>1650</v>
      </c>
      <c r="Z512" t="s">
        <v>74</v>
      </c>
      <c r="AA512" t="s">
        <v>10069</v>
      </c>
      <c r="AB512" t="s">
        <v>10070</v>
      </c>
      <c r="AC512" t="s">
        <v>10071</v>
      </c>
      <c r="AD512" t="s">
        <v>10072</v>
      </c>
      <c r="AE512" t="s">
        <v>10073</v>
      </c>
      <c r="AF512" t="s">
        <v>74</v>
      </c>
      <c r="AG512">
        <v>31</v>
      </c>
      <c r="AH512">
        <v>3</v>
      </c>
      <c r="AI512">
        <v>4</v>
      </c>
      <c r="AJ512">
        <v>3</v>
      </c>
      <c r="AK512">
        <v>16</v>
      </c>
      <c r="AL512" t="s">
        <v>1656</v>
      </c>
      <c r="AM512" t="s">
        <v>93</v>
      </c>
      <c r="AN512" t="s">
        <v>94</v>
      </c>
      <c r="AO512" t="s">
        <v>10074</v>
      </c>
      <c r="AP512" t="s">
        <v>74</v>
      </c>
      <c r="AQ512" t="s">
        <v>74</v>
      </c>
      <c r="AR512" t="s">
        <v>10075</v>
      </c>
      <c r="AS512" t="s">
        <v>10076</v>
      </c>
      <c r="AT512" t="s">
        <v>803</v>
      </c>
      <c r="AU512">
        <v>2020</v>
      </c>
      <c r="AV512">
        <v>15</v>
      </c>
      <c r="AW512">
        <v>2</v>
      </c>
      <c r="AX512" t="s">
        <v>74</v>
      </c>
      <c r="AY512" t="s">
        <v>74</v>
      </c>
      <c r="AZ512" t="s">
        <v>74</v>
      </c>
      <c r="BA512" t="s">
        <v>74</v>
      </c>
      <c r="BB512" t="s">
        <v>74</v>
      </c>
      <c r="BC512" t="s">
        <v>74</v>
      </c>
      <c r="BD512" t="s">
        <v>10077</v>
      </c>
      <c r="BE512" t="s">
        <v>10078</v>
      </c>
      <c r="BF512" t="str">
        <f>HYPERLINK("http://dx.doi.org/10.1088/1748-0221/15/02/T02002","http://dx.doi.org/10.1088/1748-0221/15/02/T02002")</f>
        <v>http://dx.doi.org/10.1088/1748-0221/15/02/T02002</v>
      </c>
      <c r="BG512" t="s">
        <v>74</v>
      </c>
      <c r="BH512" t="s">
        <v>74</v>
      </c>
      <c r="BI512">
        <v>26</v>
      </c>
      <c r="BJ512" t="s">
        <v>10079</v>
      </c>
      <c r="BK512" t="s">
        <v>103</v>
      </c>
      <c r="BL512" t="s">
        <v>10079</v>
      </c>
      <c r="BM512" t="s">
        <v>10080</v>
      </c>
      <c r="BN512" t="s">
        <v>74</v>
      </c>
      <c r="BO512" t="s">
        <v>837</v>
      </c>
      <c r="BP512" t="s">
        <v>74</v>
      </c>
      <c r="BQ512" t="s">
        <v>74</v>
      </c>
      <c r="BR512" t="s">
        <v>106</v>
      </c>
      <c r="BS512" t="s">
        <v>10081</v>
      </c>
      <c r="BT512" t="str">
        <f>HYPERLINK("https%3A%2F%2Fwww.webofscience.com%2Fwos%2Fwoscc%2Ffull-record%2FWOS:000527944800002","View Full Record in Web of Science")</f>
        <v>View Full Record in Web of Science</v>
      </c>
    </row>
    <row r="513" spans="1:72" x14ac:dyDescent="0.15">
      <c r="A513" t="s">
        <v>72</v>
      </c>
      <c r="B513" t="s">
        <v>10082</v>
      </c>
      <c r="C513" t="s">
        <v>74</v>
      </c>
      <c r="D513" t="s">
        <v>74</v>
      </c>
      <c r="E513" t="s">
        <v>74</v>
      </c>
      <c r="F513" t="s">
        <v>10083</v>
      </c>
      <c r="G513" t="s">
        <v>74</v>
      </c>
      <c r="H513" t="s">
        <v>74</v>
      </c>
      <c r="I513" t="s">
        <v>10084</v>
      </c>
      <c r="J513" t="s">
        <v>10085</v>
      </c>
      <c r="K513" t="s">
        <v>74</v>
      </c>
      <c r="L513" t="s">
        <v>74</v>
      </c>
      <c r="M513" t="s">
        <v>78</v>
      </c>
      <c r="N513" t="s">
        <v>1434</v>
      </c>
      <c r="O513" t="s">
        <v>74</v>
      </c>
      <c r="P513" t="s">
        <v>74</v>
      </c>
      <c r="Q513" t="s">
        <v>74</v>
      </c>
      <c r="R513" t="s">
        <v>74</v>
      </c>
      <c r="S513" t="s">
        <v>74</v>
      </c>
      <c r="T513" t="s">
        <v>10086</v>
      </c>
      <c r="U513" t="s">
        <v>10087</v>
      </c>
      <c r="V513" t="s">
        <v>10088</v>
      </c>
      <c r="W513" t="s">
        <v>10089</v>
      </c>
      <c r="X513" t="s">
        <v>10090</v>
      </c>
      <c r="Y513" t="s">
        <v>10091</v>
      </c>
      <c r="Z513" t="s">
        <v>10092</v>
      </c>
      <c r="AA513" t="s">
        <v>10093</v>
      </c>
      <c r="AB513" t="s">
        <v>10094</v>
      </c>
      <c r="AC513" t="s">
        <v>10095</v>
      </c>
      <c r="AD513" t="s">
        <v>10096</v>
      </c>
      <c r="AE513" t="s">
        <v>10097</v>
      </c>
      <c r="AF513" t="s">
        <v>74</v>
      </c>
      <c r="AG513">
        <v>135</v>
      </c>
      <c r="AH513">
        <v>79</v>
      </c>
      <c r="AI513">
        <v>81</v>
      </c>
      <c r="AJ513">
        <v>4</v>
      </c>
      <c r="AK513">
        <v>62</v>
      </c>
      <c r="AL513" t="s">
        <v>3817</v>
      </c>
      <c r="AM513" t="s">
        <v>3818</v>
      </c>
      <c r="AN513" t="s">
        <v>3819</v>
      </c>
      <c r="AO513" t="s">
        <v>74</v>
      </c>
      <c r="AP513" t="s">
        <v>10098</v>
      </c>
      <c r="AQ513" t="s">
        <v>74</v>
      </c>
      <c r="AR513" t="s">
        <v>10099</v>
      </c>
      <c r="AS513" t="s">
        <v>10100</v>
      </c>
      <c r="AT513" t="s">
        <v>803</v>
      </c>
      <c r="AU513">
        <v>2020</v>
      </c>
      <c r="AV513">
        <v>8</v>
      </c>
      <c r="AW513">
        <v>2</v>
      </c>
      <c r="AX513" t="s">
        <v>74</v>
      </c>
      <c r="AY513" t="s">
        <v>74</v>
      </c>
      <c r="AZ513" t="s">
        <v>74</v>
      </c>
      <c r="BA513" t="s">
        <v>74</v>
      </c>
      <c r="BB513" t="s">
        <v>74</v>
      </c>
      <c r="BC513" t="s">
        <v>74</v>
      </c>
      <c r="BD513">
        <v>78</v>
      </c>
      <c r="BE513" t="s">
        <v>10101</v>
      </c>
      <c r="BF513" t="str">
        <f>HYPERLINK("http://dx.doi.org/10.3390/jmse8020078","http://dx.doi.org/10.3390/jmse8020078")</f>
        <v>http://dx.doi.org/10.3390/jmse8020078</v>
      </c>
      <c r="BG513" t="s">
        <v>74</v>
      </c>
      <c r="BH513" t="s">
        <v>74</v>
      </c>
      <c r="BI513">
        <v>22</v>
      </c>
      <c r="BJ513" t="s">
        <v>10102</v>
      </c>
      <c r="BK513" t="s">
        <v>103</v>
      </c>
      <c r="BL513" t="s">
        <v>9885</v>
      </c>
      <c r="BM513" t="s">
        <v>10103</v>
      </c>
      <c r="BN513" t="s">
        <v>74</v>
      </c>
      <c r="BO513" t="s">
        <v>2592</v>
      </c>
      <c r="BP513" t="s">
        <v>74</v>
      </c>
      <c r="BQ513" t="s">
        <v>74</v>
      </c>
      <c r="BR513" t="s">
        <v>106</v>
      </c>
      <c r="BS513" t="s">
        <v>10104</v>
      </c>
      <c r="BT513" t="str">
        <f>HYPERLINK("https%3A%2F%2Fwww.webofscience.com%2Fwos%2Fwoscc%2Ffull-record%2FWOS:000519244200028","View Full Record in Web of Science")</f>
        <v>View Full Record in Web of Science</v>
      </c>
    </row>
    <row r="514" spans="1:72" x14ac:dyDescent="0.15">
      <c r="A514" t="s">
        <v>72</v>
      </c>
      <c r="B514" t="s">
        <v>10105</v>
      </c>
      <c r="C514" t="s">
        <v>74</v>
      </c>
      <c r="D514" t="s">
        <v>74</v>
      </c>
      <c r="E514" t="s">
        <v>74</v>
      </c>
      <c r="F514" t="s">
        <v>10106</v>
      </c>
      <c r="G514" t="s">
        <v>74</v>
      </c>
      <c r="H514" t="s">
        <v>74</v>
      </c>
      <c r="I514" t="s">
        <v>10107</v>
      </c>
      <c r="J514" t="s">
        <v>10108</v>
      </c>
      <c r="K514" t="s">
        <v>74</v>
      </c>
      <c r="L514" t="s">
        <v>74</v>
      </c>
      <c r="M514" t="s">
        <v>78</v>
      </c>
      <c r="N514" t="s">
        <v>79</v>
      </c>
      <c r="O514" t="s">
        <v>74</v>
      </c>
      <c r="P514" t="s">
        <v>74</v>
      </c>
      <c r="Q514" t="s">
        <v>74</v>
      </c>
      <c r="R514" t="s">
        <v>74</v>
      </c>
      <c r="S514" t="s">
        <v>74</v>
      </c>
      <c r="T514" t="s">
        <v>10109</v>
      </c>
      <c r="U514" t="s">
        <v>10110</v>
      </c>
      <c r="V514" t="s">
        <v>10111</v>
      </c>
      <c r="W514" t="s">
        <v>10112</v>
      </c>
      <c r="X514" t="s">
        <v>10113</v>
      </c>
      <c r="Y514" t="s">
        <v>10114</v>
      </c>
      <c r="Z514" t="s">
        <v>10115</v>
      </c>
      <c r="AA514" t="s">
        <v>10116</v>
      </c>
      <c r="AB514" t="s">
        <v>10117</v>
      </c>
      <c r="AC514" t="s">
        <v>10118</v>
      </c>
      <c r="AD514" t="s">
        <v>10119</v>
      </c>
      <c r="AE514" t="s">
        <v>10120</v>
      </c>
      <c r="AF514" t="s">
        <v>74</v>
      </c>
      <c r="AG514">
        <v>57</v>
      </c>
      <c r="AH514">
        <v>8</v>
      </c>
      <c r="AI514">
        <v>9</v>
      </c>
      <c r="AJ514">
        <v>2</v>
      </c>
      <c r="AK514">
        <v>33</v>
      </c>
      <c r="AL514" t="s">
        <v>238</v>
      </c>
      <c r="AM514" t="s">
        <v>166</v>
      </c>
      <c r="AN514" t="s">
        <v>239</v>
      </c>
      <c r="AO514" t="s">
        <v>10121</v>
      </c>
      <c r="AP514" t="s">
        <v>10122</v>
      </c>
      <c r="AQ514" t="s">
        <v>74</v>
      </c>
      <c r="AR514" t="s">
        <v>10123</v>
      </c>
      <c r="AS514" t="s">
        <v>10124</v>
      </c>
      <c r="AT514" t="s">
        <v>803</v>
      </c>
      <c r="AU514">
        <v>2020</v>
      </c>
      <c r="AV514">
        <v>100</v>
      </c>
      <c r="AW514">
        <v>1</v>
      </c>
      <c r="AX514" t="s">
        <v>74</v>
      </c>
      <c r="AY514" t="s">
        <v>74</v>
      </c>
      <c r="AZ514" t="s">
        <v>74</v>
      </c>
      <c r="BA514" t="s">
        <v>74</v>
      </c>
      <c r="BB514">
        <v>37</v>
      </c>
      <c r="BC514">
        <v>44</v>
      </c>
      <c r="BD514" t="s">
        <v>10125</v>
      </c>
      <c r="BE514" t="s">
        <v>10126</v>
      </c>
      <c r="BF514" t="str">
        <f>HYPERLINK("http://dx.doi.org/10.1017/S0025315419001012","http://dx.doi.org/10.1017/S0025315419001012")</f>
        <v>http://dx.doi.org/10.1017/S0025315419001012</v>
      </c>
      <c r="BG514" t="s">
        <v>74</v>
      </c>
      <c r="BH514" t="s">
        <v>74</v>
      </c>
      <c r="BI514">
        <v>8</v>
      </c>
      <c r="BJ514" t="s">
        <v>344</v>
      </c>
      <c r="BK514" t="s">
        <v>103</v>
      </c>
      <c r="BL514" t="s">
        <v>344</v>
      </c>
      <c r="BM514" t="s">
        <v>10127</v>
      </c>
      <c r="BN514" t="s">
        <v>74</v>
      </c>
      <c r="BO514" t="s">
        <v>298</v>
      </c>
      <c r="BP514" t="s">
        <v>74</v>
      </c>
      <c r="BQ514" t="s">
        <v>74</v>
      </c>
      <c r="BR514" t="s">
        <v>106</v>
      </c>
      <c r="BS514" t="s">
        <v>10128</v>
      </c>
      <c r="BT514" t="str">
        <f>HYPERLINK("https%3A%2F%2Fwww.webofscience.com%2Fwos%2Fwoscc%2Ffull-record%2FWOS:000512625900004","View Full Record in Web of Science")</f>
        <v>View Full Record in Web of Science</v>
      </c>
    </row>
    <row r="515" spans="1:72" x14ac:dyDescent="0.15">
      <c r="A515" t="s">
        <v>72</v>
      </c>
      <c r="B515" t="s">
        <v>10129</v>
      </c>
      <c r="C515" t="s">
        <v>74</v>
      </c>
      <c r="D515" t="s">
        <v>74</v>
      </c>
      <c r="E515" t="s">
        <v>74</v>
      </c>
      <c r="F515" t="s">
        <v>10130</v>
      </c>
      <c r="G515" t="s">
        <v>74</v>
      </c>
      <c r="H515" t="s">
        <v>74</v>
      </c>
      <c r="I515" t="s">
        <v>10131</v>
      </c>
      <c r="J515" t="s">
        <v>10108</v>
      </c>
      <c r="K515" t="s">
        <v>74</v>
      </c>
      <c r="L515" t="s">
        <v>74</v>
      </c>
      <c r="M515" t="s">
        <v>78</v>
      </c>
      <c r="N515" t="s">
        <v>79</v>
      </c>
      <c r="O515" t="s">
        <v>74</v>
      </c>
      <c r="P515" t="s">
        <v>74</v>
      </c>
      <c r="Q515" t="s">
        <v>74</v>
      </c>
      <c r="R515" t="s">
        <v>74</v>
      </c>
      <c r="S515" t="s">
        <v>74</v>
      </c>
      <c r="T515" t="s">
        <v>10132</v>
      </c>
      <c r="U515" t="s">
        <v>10133</v>
      </c>
      <c r="V515" t="s">
        <v>10134</v>
      </c>
      <c r="W515" t="s">
        <v>10135</v>
      </c>
      <c r="X515" t="s">
        <v>74</v>
      </c>
      <c r="Y515" t="s">
        <v>10136</v>
      </c>
      <c r="Z515" t="s">
        <v>10137</v>
      </c>
      <c r="AA515" t="s">
        <v>74</v>
      </c>
      <c r="AB515" t="s">
        <v>10138</v>
      </c>
      <c r="AC515" t="s">
        <v>10139</v>
      </c>
      <c r="AD515" t="s">
        <v>10139</v>
      </c>
      <c r="AE515" t="s">
        <v>10140</v>
      </c>
      <c r="AF515" t="s">
        <v>74</v>
      </c>
      <c r="AG515">
        <v>49</v>
      </c>
      <c r="AH515">
        <v>8</v>
      </c>
      <c r="AI515">
        <v>8</v>
      </c>
      <c r="AJ515">
        <v>2</v>
      </c>
      <c r="AK515">
        <v>14</v>
      </c>
      <c r="AL515" t="s">
        <v>238</v>
      </c>
      <c r="AM515" t="s">
        <v>166</v>
      </c>
      <c r="AN515" t="s">
        <v>239</v>
      </c>
      <c r="AO515" t="s">
        <v>10121</v>
      </c>
      <c r="AP515" t="s">
        <v>10122</v>
      </c>
      <c r="AQ515" t="s">
        <v>74</v>
      </c>
      <c r="AR515" t="s">
        <v>10123</v>
      </c>
      <c r="AS515" t="s">
        <v>10124</v>
      </c>
      <c r="AT515" t="s">
        <v>803</v>
      </c>
      <c r="AU515">
        <v>2020</v>
      </c>
      <c r="AV515">
        <v>100</v>
      </c>
      <c r="AW515">
        <v>1</v>
      </c>
      <c r="AX515" t="s">
        <v>74</v>
      </c>
      <c r="AY515" t="s">
        <v>74</v>
      </c>
      <c r="AZ515" t="s">
        <v>74</v>
      </c>
      <c r="BA515" t="s">
        <v>74</v>
      </c>
      <c r="BB515">
        <v>153</v>
      </c>
      <c r="BC515">
        <v>163</v>
      </c>
      <c r="BD515" t="s">
        <v>10141</v>
      </c>
      <c r="BE515" t="s">
        <v>10142</v>
      </c>
      <c r="BF515" t="str">
        <f>HYPERLINK("http://dx.doi.org/10.1017/S0025315419001024","http://dx.doi.org/10.1017/S0025315419001024")</f>
        <v>http://dx.doi.org/10.1017/S0025315419001024</v>
      </c>
      <c r="BG515" t="s">
        <v>74</v>
      </c>
      <c r="BH515" t="s">
        <v>74</v>
      </c>
      <c r="BI515">
        <v>11</v>
      </c>
      <c r="BJ515" t="s">
        <v>344</v>
      </c>
      <c r="BK515" t="s">
        <v>103</v>
      </c>
      <c r="BL515" t="s">
        <v>344</v>
      </c>
      <c r="BM515" t="s">
        <v>10127</v>
      </c>
      <c r="BN515" t="s">
        <v>74</v>
      </c>
      <c r="BO515" t="s">
        <v>74</v>
      </c>
      <c r="BP515" t="s">
        <v>74</v>
      </c>
      <c r="BQ515" t="s">
        <v>74</v>
      </c>
      <c r="BR515" t="s">
        <v>106</v>
      </c>
      <c r="BS515" t="s">
        <v>10143</v>
      </c>
      <c r="BT515" t="str">
        <f>HYPERLINK("https%3A%2F%2Fwww.webofscience.com%2Fwos%2Fwoscc%2Ffull-record%2FWOS:000512625900016","View Full Record in Web of Science")</f>
        <v>View Full Record in Web of Science</v>
      </c>
    </row>
    <row r="516" spans="1:72" x14ac:dyDescent="0.15">
      <c r="A516" t="s">
        <v>72</v>
      </c>
      <c r="B516" t="s">
        <v>10144</v>
      </c>
      <c r="C516" t="s">
        <v>74</v>
      </c>
      <c r="D516" t="s">
        <v>74</v>
      </c>
      <c r="E516" t="s">
        <v>74</v>
      </c>
      <c r="F516" t="s">
        <v>10145</v>
      </c>
      <c r="G516" t="s">
        <v>74</v>
      </c>
      <c r="H516" t="s">
        <v>74</v>
      </c>
      <c r="I516" t="s">
        <v>10146</v>
      </c>
      <c r="J516" t="s">
        <v>10147</v>
      </c>
      <c r="K516" t="s">
        <v>74</v>
      </c>
      <c r="L516" t="s">
        <v>74</v>
      </c>
      <c r="M516" t="s">
        <v>78</v>
      </c>
      <c r="N516" t="s">
        <v>79</v>
      </c>
      <c r="O516" t="s">
        <v>74</v>
      </c>
      <c r="P516" t="s">
        <v>74</v>
      </c>
      <c r="Q516" t="s">
        <v>74</v>
      </c>
      <c r="R516" t="s">
        <v>74</v>
      </c>
      <c r="S516" t="s">
        <v>74</v>
      </c>
      <c r="T516" t="s">
        <v>10148</v>
      </c>
      <c r="U516" t="s">
        <v>10149</v>
      </c>
      <c r="V516" t="s">
        <v>10150</v>
      </c>
      <c r="W516" t="s">
        <v>10151</v>
      </c>
      <c r="X516" t="s">
        <v>829</v>
      </c>
      <c r="Y516" t="s">
        <v>10152</v>
      </c>
      <c r="Z516" t="s">
        <v>10153</v>
      </c>
      <c r="AA516" t="s">
        <v>10154</v>
      </c>
      <c r="AB516" t="s">
        <v>10155</v>
      </c>
      <c r="AC516" t="s">
        <v>10156</v>
      </c>
      <c r="AD516" t="s">
        <v>10157</v>
      </c>
      <c r="AE516" t="s">
        <v>10158</v>
      </c>
      <c r="AF516" t="s">
        <v>74</v>
      </c>
      <c r="AG516">
        <v>59</v>
      </c>
      <c r="AH516">
        <v>13</v>
      </c>
      <c r="AI516">
        <v>16</v>
      </c>
      <c r="AJ516">
        <v>0</v>
      </c>
      <c r="AK516">
        <v>5</v>
      </c>
      <c r="AL516" t="s">
        <v>3817</v>
      </c>
      <c r="AM516" t="s">
        <v>3818</v>
      </c>
      <c r="AN516" t="s">
        <v>3819</v>
      </c>
      <c r="AO516" t="s">
        <v>74</v>
      </c>
      <c r="AP516" t="s">
        <v>10159</v>
      </c>
      <c r="AQ516" t="s">
        <v>74</v>
      </c>
      <c r="AR516" t="s">
        <v>10147</v>
      </c>
      <c r="AS516" t="s">
        <v>10160</v>
      </c>
      <c r="AT516" t="s">
        <v>803</v>
      </c>
      <c r="AU516">
        <v>2020</v>
      </c>
      <c r="AV516">
        <v>10</v>
      </c>
      <c r="AW516">
        <v>2</v>
      </c>
      <c r="AX516" t="s">
        <v>74</v>
      </c>
      <c r="AY516" t="s">
        <v>74</v>
      </c>
      <c r="AZ516" t="s">
        <v>74</v>
      </c>
      <c r="BA516" t="s">
        <v>74</v>
      </c>
      <c r="BB516" t="s">
        <v>74</v>
      </c>
      <c r="BC516" t="s">
        <v>74</v>
      </c>
      <c r="BD516">
        <v>13</v>
      </c>
      <c r="BE516" t="s">
        <v>10161</v>
      </c>
      <c r="BF516" t="str">
        <f>HYPERLINK("http://dx.doi.org/10.3390/life10020013","http://dx.doi.org/10.3390/life10020013")</f>
        <v>http://dx.doi.org/10.3390/life10020013</v>
      </c>
      <c r="BG516" t="s">
        <v>74</v>
      </c>
      <c r="BH516" t="s">
        <v>74</v>
      </c>
      <c r="BI516">
        <v>12</v>
      </c>
      <c r="BJ516" t="s">
        <v>10162</v>
      </c>
      <c r="BK516" t="s">
        <v>103</v>
      </c>
      <c r="BL516" t="s">
        <v>10163</v>
      </c>
      <c r="BM516" t="s">
        <v>10164</v>
      </c>
      <c r="BN516">
        <v>32041249</v>
      </c>
      <c r="BO516" t="s">
        <v>276</v>
      </c>
      <c r="BP516" t="s">
        <v>74</v>
      </c>
      <c r="BQ516" t="s">
        <v>74</v>
      </c>
      <c r="BR516" t="s">
        <v>106</v>
      </c>
      <c r="BS516" t="s">
        <v>10165</v>
      </c>
      <c r="BT516" t="str">
        <f>HYPERLINK("https%3A%2F%2Fwww.webofscience.com%2Fwos%2Fwoscc%2Ffull-record%2FWOS:000534049200003","View Full Record in Web of Science")</f>
        <v>View Full Record in Web of Science</v>
      </c>
    </row>
    <row r="517" spans="1:72" x14ac:dyDescent="0.15">
      <c r="A517" t="s">
        <v>72</v>
      </c>
      <c r="B517" t="s">
        <v>10166</v>
      </c>
      <c r="C517" t="s">
        <v>74</v>
      </c>
      <c r="D517" t="s">
        <v>74</v>
      </c>
      <c r="E517" t="s">
        <v>74</v>
      </c>
      <c r="F517" t="s">
        <v>10167</v>
      </c>
      <c r="G517" t="s">
        <v>74</v>
      </c>
      <c r="H517" t="s">
        <v>74</v>
      </c>
      <c r="I517" t="s">
        <v>10168</v>
      </c>
      <c r="J517" t="s">
        <v>10169</v>
      </c>
      <c r="K517" t="s">
        <v>74</v>
      </c>
      <c r="L517" t="s">
        <v>74</v>
      </c>
      <c r="M517" t="s">
        <v>78</v>
      </c>
      <c r="N517" t="s">
        <v>79</v>
      </c>
      <c r="O517" t="s">
        <v>74</v>
      </c>
      <c r="P517" t="s">
        <v>74</v>
      </c>
      <c r="Q517" t="s">
        <v>74</v>
      </c>
      <c r="R517" t="s">
        <v>74</v>
      </c>
      <c r="S517" t="s">
        <v>74</v>
      </c>
      <c r="T517" t="s">
        <v>10170</v>
      </c>
      <c r="U517" t="s">
        <v>10171</v>
      </c>
      <c r="V517" t="s">
        <v>10172</v>
      </c>
      <c r="W517" t="s">
        <v>10173</v>
      </c>
      <c r="X517" t="s">
        <v>10174</v>
      </c>
      <c r="Y517" t="s">
        <v>10175</v>
      </c>
      <c r="Z517" t="s">
        <v>10176</v>
      </c>
      <c r="AA517" t="s">
        <v>74</v>
      </c>
      <c r="AB517" t="s">
        <v>10177</v>
      </c>
      <c r="AC517" t="s">
        <v>10178</v>
      </c>
      <c r="AD517" t="s">
        <v>10179</v>
      </c>
      <c r="AE517" t="s">
        <v>10180</v>
      </c>
      <c r="AF517" t="s">
        <v>74</v>
      </c>
      <c r="AG517">
        <v>21</v>
      </c>
      <c r="AH517">
        <v>11</v>
      </c>
      <c r="AI517">
        <v>12</v>
      </c>
      <c r="AJ517">
        <v>0</v>
      </c>
      <c r="AK517">
        <v>11</v>
      </c>
      <c r="AL517" t="s">
        <v>3817</v>
      </c>
      <c r="AM517" t="s">
        <v>3818</v>
      </c>
      <c r="AN517" t="s">
        <v>3819</v>
      </c>
      <c r="AO517" t="s">
        <v>74</v>
      </c>
      <c r="AP517" t="s">
        <v>10181</v>
      </c>
      <c r="AQ517" t="s">
        <v>74</v>
      </c>
      <c r="AR517" t="s">
        <v>10182</v>
      </c>
      <c r="AS517" t="s">
        <v>10183</v>
      </c>
      <c r="AT517" t="s">
        <v>803</v>
      </c>
      <c r="AU517">
        <v>2020</v>
      </c>
      <c r="AV517">
        <v>18</v>
      </c>
      <c r="AW517">
        <v>2</v>
      </c>
      <c r="AX517" t="s">
        <v>74</v>
      </c>
      <c r="AY517" t="s">
        <v>74</v>
      </c>
      <c r="AZ517" t="s">
        <v>74</v>
      </c>
      <c r="BA517" t="s">
        <v>74</v>
      </c>
      <c r="BB517" t="s">
        <v>74</v>
      </c>
      <c r="BC517" t="s">
        <v>74</v>
      </c>
      <c r="BD517">
        <v>107</v>
      </c>
      <c r="BE517" t="s">
        <v>10184</v>
      </c>
      <c r="BF517" t="str">
        <f>HYPERLINK("http://dx.doi.org/10.3390/md18020107","http://dx.doi.org/10.3390/md18020107")</f>
        <v>http://dx.doi.org/10.3390/md18020107</v>
      </c>
      <c r="BG517" t="s">
        <v>74</v>
      </c>
      <c r="BH517" t="s">
        <v>74</v>
      </c>
      <c r="BI517">
        <v>11</v>
      </c>
      <c r="BJ517" t="s">
        <v>10185</v>
      </c>
      <c r="BK517" t="s">
        <v>103</v>
      </c>
      <c r="BL517" t="s">
        <v>10186</v>
      </c>
      <c r="BM517" t="s">
        <v>10187</v>
      </c>
      <c r="BN517">
        <v>32054048</v>
      </c>
      <c r="BO517" t="s">
        <v>6028</v>
      </c>
      <c r="BP517" t="s">
        <v>74</v>
      </c>
      <c r="BQ517" t="s">
        <v>74</v>
      </c>
      <c r="BR517" t="s">
        <v>106</v>
      </c>
      <c r="BS517" t="s">
        <v>10188</v>
      </c>
      <c r="BT517" t="str">
        <f>HYPERLINK("https%3A%2F%2Fwww.webofscience.com%2Fwos%2Fwoscc%2Ffull-record%2FWOS:000518664600038","View Full Record in Web of Science")</f>
        <v>View Full Record in Web of Science</v>
      </c>
    </row>
    <row r="518" spans="1:72" x14ac:dyDescent="0.15">
      <c r="A518" t="s">
        <v>72</v>
      </c>
      <c r="B518" t="s">
        <v>10189</v>
      </c>
      <c r="C518" t="s">
        <v>74</v>
      </c>
      <c r="D518" t="s">
        <v>74</v>
      </c>
      <c r="E518" t="s">
        <v>74</v>
      </c>
      <c r="F518" t="s">
        <v>10190</v>
      </c>
      <c r="G518" t="s">
        <v>74</v>
      </c>
      <c r="H518" t="s">
        <v>74</v>
      </c>
      <c r="I518" t="s">
        <v>10191</v>
      </c>
      <c r="J518" t="s">
        <v>10192</v>
      </c>
      <c r="K518" t="s">
        <v>74</v>
      </c>
      <c r="L518" t="s">
        <v>74</v>
      </c>
      <c r="M518" t="s">
        <v>78</v>
      </c>
      <c r="N518" t="s">
        <v>79</v>
      </c>
      <c r="O518" t="s">
        <v>74</v>
      </c>
      <c r="P518" t="s">
        <v>74</v>
      </c>
      <c r="Q518" t="s">
        <v>74</v>
      </c>
      <c r="R518" t="s">
        <v>74</v>
      </c>
      <c r="S518" t="s">
        <v>74</v>
      </c>
      <c r="T518" t="s">
        <v>10193</v>
      </c>
      <c r="U518" t="s">
        <v>10194</v>
      </c>
      <c r="V518" t="s">
        <v>10195</v>
      </c>
      <c r="W518" t="s">
        <v>10196</v>
      </c>
      <c r="X518" t="s">
        <v>10197</v>
      </c>
      <c r="Y518" t="s">
        <v>10198</v>
      </c>
      <c r="Z518" t="s">
        <v>10199</v>
      </c>
      <c r="AA518" t="s">
        <v>10200</v>
      </c>
      <c r="AB518" t="s">
        <v>10201</v>
      </c>
      <c r="AC518" t="s">
        <v>10202</v>
      </c>
      <c r="AD518" t="s">
        <v>6428</v>
      </c>
      <c r="AE518" t="s">
        <v>10203</v>
      </c>
      <c r="AF518" t="s">
        <v>74</v>
      </c>
      <c r="AG518">
        <v>38</v>
      </c>
      <c r="AH518">
        <v>2</v>
      </c>
      <c r="AI518">
        <v>4</v>
      </c>
      <c r="AJ518">
        <v>17</v>
      </c>
      <c r="AK518">
        <v>54</v>
      </c>
      <c r="AL518" t="s">
        <v>10204</v>
      </c>
      <c r="AM518" t="s">
        <v>545</v>
      </c>
      <c r="AN518" t="s">
        <v>2387</v>
      </c>
      <c r="AO518" t="s">
        <v>10205</v>
      </c>
      <c r="AP518" t="s">
        <v>10206</v>
      </c>
      <c r="AQ518" t="s">
        <v>74</v>
      </c>
      <c r="AR518" t="s">
        <v>10207</v>
      </c>
      <c r="AS518" t="s">
        <v>10208</v>
      </c>
      <c r="AT518" t="s">
        <v>803</v>
      </c>
      <c r="AU518">
        <v>2020</v>
      </c>
      <c r="AV518">
        <v>2</v>
      </c>
      <c r="AW518">
        <v>1</v>
      </c>
      <c r="AX518" t="s">
        <v>74</v>
      </c>
      <c r="AY518" t="s">
        <v>74</v>
      </c>
      <c r="AZ518" t="s">
        <v>74</v>
      </c>
      <c r="BA518" t="s">
        <v>74</v>
      </c>
      <c r="BB518">
        <v>41</v>
      </c>
      <c r="BC518">
        <v>49</v>
      </c>
      <c r="BD518" t="s">
        <v>74</v>
      </c>
      <c r="BE518" t="s">
        <v>10209</v>
      </c>
      <c r="BF518" t="str">
        <f>HYPERLINK("http://dx.doi.org/10.1007/s42995-019-00019-w","http://dx.doi.org/10.1007/s42995-019-00019-w")</f>
        <v>http://dx.doi.org/10.1007/s42995-019-00019-w</v>
      </c>
      <c r="BG518" t="s">
        <v>74</v>
      </c>
      <c r="BH518" t="s">
        <v>74</v>
      </c>
      <c r="BI518">
        <v>9</v>
      </c>
      <c r="BJ518" t="s">
        <v>344</v>
      </c>
      <c r="BK518" t="s">
        <v>103</v>
      </c>
      <c r="BL518" t="s">
        <v>344</v>
      </c>
      <c r="BM518" t="s">
        <v>10210</v>
      </c>
      <c r="BN518" t="s">
        <v>74</v>
      </c>
      <c r="BO518" t="s">
        <v>517</v>
      </c>
      <c r="BP518" t="s">
        <v>74</v>
      </c>
      <c r="BQ518" t="s">
        <v>74</v>
      </c>
      <c r="BR518" t="s">
        <v>106</v>
      </c>
      <c r="BS518" t="s">
        <v>10211</v>
      </c>
      <c r="BT518" t="str">
        <f>HYPERLINK("https%3A%2F%2Fwww.webofscience.com%2Fwos%2Fwoscc%2Ffull-record%2FWOS:000649453200006","View Full Record in Web of Science")</f>
        <v>View Full Record in Web of Science</v>
      </c>
    </row>
    <row r="519" spans="1:72" x14ac:dyDescent="0.15">
      <c r="A519" t="s">
        <v>72</v>
      </c>
      <c r="B519" t="s">
        <v>10212</v>
      </c>
      <c r="C519" t="s">
        <v>74</v>
      </c>
      <c r="D519" t="s">
        <v>74</v>
      </c>
      <c r="E519" t="s">
        <v>74</v>
      </c>
      <c r="F519" t="s">
        <v>10213</v>
      </c>
      <c r="G519" t="s">
        <v>74</v>
      </c>
      <c r="H519" t="s">
        <v>74</v>
      </c>
      <c r="I519" t="s">
        <v>10214</v>
      </c>
      <c r="J519" t="s">
        <v>10192</v>
      </c>
      <c r="K519" t="s">
        <v>74</v>
      </c>
      <c r="L519" t="s">
        <v>74</v>
      </c>
      <c r="M519" t="s">
        <v>78</v>
      </c>
      <c r="N519" t="s">
        <v>79</v>
      </c>
      <c r="O519" t="s">
        <v>74</v>
      </c>
      <c r="P519" t="s">
        <v>74</v>
      </c>
      <c r="Q519" t="s">
        <v>74</v>
      </c>
      <c r="R519" t="s">
        <v>74</v>
      </c>
      <c r="S519" t="s">
        <v>74</v>
      </c>
      <c r="T519" t="s">
        <v>10215</v>
      </c>
      <c r="U519" t="s">
        <v>10216</v>
      </c>
      <c r="V519" t="s">
        <v>10217</v>
      </c>
      <c r="W519" t="s">
        <v>10218</v>
      </c>
      <c r="X519" t="s">
        <v>10219</v>
      </c>
      <c r="Y519" t="s">
        <v>10220</v>
      </c>
      <c r="Z519" t="s">
        <v>10221</v>
      </c>
      <c r="AA519" t="s">
        <v>10222</v>
      </c>
      <c r="AB519" t="s">
        <v>10223</v>
      </c>
      <c r="AC519" t="s">
        <v>10224</v>
      </c>
      <c r="AD519" t="s">
        <v>10225</v>
      </c>
      <c r="AE519" t="s">
        <v>10226</v>
      </c>
      <c r="AF519" t="s">
        <v>74</v>
      </c>
      <c r="AG519">
        <v>77</v>
      </c>
      <c r="AH519">
        <v>16</v>
      </c>
      <c r="AI519">
        <v>17</v>
      </c>
      <c r="AJ519">
        <v>2</v>
      </c>
      <c r="AK519">
        <v>24</v>
      </c>
      <c r="AL519" t="s">
        <v>10204</v>
      </c>
      <c r="AM519" t="s">
        <v>545</v>
      </c>
      <c r="AN519" t="s">
        <v>2387</v>
      </c>
      <c r="AO519" t="s">
        <v>10205</v>
      </c>
      <c r="AP519" t="s">
        <v>10206</v>
      </c>
      <c r="AQ519" t="s">
        <v>74</v>
      </c>
      <c r="AR519" t="s">
        <v>10207</v>
      </c>
      <c r="AS519" t="s">
        <v>10208</v>
      </c>
      <c r="AT519" t="s">
        <v>803</v>
      </c>
      <c r="AU519">
        <v>2020</v>
      </c>
      <c r="AV519">
        <v>2</v>
      </c>
      <c r="AW519">
        <v>1</v>
      </c>
      <c r="AX519" t="s">
        <v>74</v>
      </c>
      <c r="AY519" t="s">
        <v>74</v>
      </c>
      <c r="AZ519" t="s">
        <v>74</v>
      </c>
      <c r="BA519" t="s">
        <v>74</v>
      </c>
      <c r="BB519">
        <v>73</v>
      </c>
      <c r="BC519">
        <v>86</v>
      </c>
      <c r="BD519" t="s">
        <v>74</v>
      </c>
      <c r="BE519" t="s">
        <v>10227</v>
      </c>
      <c r="BF519" t="str">
        <f>HYPERLINK("http://dx.doi.org/10.1007/s42995-019-00007-0","http://dx.doi.org/10.1007/s42995-019-00007-0")</f>
        <v>http://dx.doi.org/10.1007/s42995-019-00007-0</v>
      </c>
      <c r="BG519" t="s">
        <v>74</v>
      </c>
      <c r="BH519" t="s">
        <v>74</v>
      </c>
      <c r="BI519">
        <v>14</v>
      </c>
      <c r="BJ519" t="s">
        <v>344</v>
      </c>
      <c r="BK519" t="s">
        <v>103</v>
      </c>
      <c r="BL519" t="s">
        <v>344</v>
      </c>
      <c r="BM519" t="s">
        <v>10210</v>
      </c>
      <c r="BN519" t="s">
        <v>74</v>
      </c>
      <c r="BO519" t="s">
        <v>517</v>
      </c>
      <c r="BP519" t="s">
        <v>74</v>
      </c>
      <c r="BQ519" t="s">
        <v>74</v>
      </c>
      <c r="BR519" t="s">
        <v>106</v>
      </c>
      <c r="BS519" t="s">
        <v>10228</v>
      </c>
      <c r="BT519" t="str">
        <f>HYPERLINK("https%3A%2F%2Fwww.webofscience.com%2Fwos%2Fwoscc%2Ffull-record%2FWOS:000649453200009","View Full Record in Web of Science")</f>
        <v>View Full Record in Web of Science</v>
      </c>
    </row>
    <row r="520" spans="1:72" x14ac:dyDescent="0.15">
      <c r="A520" t="s">
        <v>72</v>
      </c>
      <c r="B520" t="s">
        <v>10229</v>
      </c>
      <c r="C520" t="s">
        <v>74</v>
      </c>
      <c r="D520" t="s">
        <v>74</v>
      </c>
      <c r="E520" t="s">
        <v>74</v>
      </c>
      <c r="F520" t="s">
        <v>10230</v>
      </c>
      <c r="G520" t="s">
        <v>74</v>
      </c>
      <c r="H520" t="s">
        <v>74</v>
      </c>
      <c r="I520" t="s">
        <v>10231</v>
      </c>
      <c r="J520" t="s">
        <v>741</v>
      </c>
      <c r="K520" t="s">
        <v>74</v>
      </c>
      <c r="L520" t="s">
        <v>74</v>
      </c>
      <c r="M520" t="s">
        <v>78</v>
      </c>
      <c r="N520" t="s">
        <v>79</v>
      </c>
      <c r="O520" t="s">
        <v>74</v>
      </c>
      <c r="P520" t="s">
        <v>74</v>
      </c>
      <c r="Q520" t="s">
        <v>74</v>
      </c>
      <c r="R520" t="s">
        <v>74</v>
      </c>
      <c r="S520" t="s">
        <v>74</v>
      </c>
      <c r="T520" t="s">
        <v>74</v>
      </c>
      <c r="U520" t="s">
        <v>10232</v>
      </c>
      <c r="V520" t="s">
        <v>10233</v>
      </c>
      <c r="W520" t="s">
        <v>10234</v>
      </c>
      <c r="X520" t="s">
        <v>10235</v>
      </c>
      <c r="Y520" t="s">
        <v>10236</v>
      </c>
      <c r="Z520" t="s">
        <v>10237</v>
      </c>
      <c r="AA520" t="s">
        <v>10238</v>
      </c>
      <c r="AB520" t="s">
        <v>10239</v>
      </c>
      <c r="AC520" t="s">
        <v>10240</v>
      </c>
      <c r="AD520" t="s">
        <v>10241</v>
      </c>
      <c r="AE520" t="s">
        <v>10242</v>
      </c>
      <c r="AF520" t="s">
        <v>74</v>
      </c>
      <c r="AG520">
        <v>33</v>
      </c>
      <c r="AH520">
        <v>415</v>
      </c>
      <c r="AI520">
        <v>474</v>
      </c>
      <c r="AJ520">
        <v>9</v>
      </c>
      <c r="AK520">
        <v>117</v>
      </c>
      <c r="AL520" t="s">
        <v>951</v>
      </c>
      <c r="AM520" t="s">
        <v>952</v>
      </c>
      <c r="AN520" t="s">
        <v>953</v>
      </c>
      <c r="AO520" t="s">
        <v>755</v>
      </c>
      <c r="AP520" t="s">
        <v>756</v>
      </c>
      <c r="AQ520" t="s">
        <v>74</v>
      </c>
      <c r="AR520" t="s">
        <v>757</v>
      </c>
      <c r="AS520" t="s">
        <v>758</v>
      </c>
      <c r="AT520" t="s">
        <v>803</v>
      </c>
      <c r="AU520">
        <v>2020</v>
      </c>
      <c r="AV520">
        <v>13</v>
      </c>
      <c r="AW520">
        <v>2</v>
      </c>
      <c r="AX520" t="s">
        <v>74</v>
      </c>
      <c r="AY520" t="s">
        <v>74</v>
      </c>
      <c r="AZ520" t="s">
        <v>74</v>
      </c>
      <c r="BA520" t="s">
        <v>74</v>
      </c>
      <c r="BB520">
        <v>132</v>
      </c>
      <c r="BC520" t="s">
        <v>759</v>
      </c>
      <c r="BD520" t="s">
        <v>74</v>
      </c>
      <c r="BE520" t="s">
        <v>10243</v>
      </c>
      <c r="BF520" t="str">
        <f>HYPERLINK("http://dx.doi.org/10.1038/s41561-019-0510-8","http://dx.doi.org/10.1038/s41561-019-0510-8")</f>
        <v>http://dx.doi.org/10.1038/s41561-019-0510-8</v>
      </c>
      <c r="BG520" t="s">
        <v>74</v>
      </c>
      <c r="BH520" t="s">
        <v>74</v>
      </c>
      <c r="BI520">
        <v>7</v>
      </c>
      <c r="BJ520" t="s">
        <v>246</v>
      </c>
      <c r="BK520" t="s">
        <v>103</v>
      </c>
      <c r="BL520" t="s">
        <v>247</v>
      </c>
      <c r="BM520" t="s">
        <v>10244</v>
      </c>
      <c r="BN520" t="s">
        <v>74</v>
      </c>
      <c r="BO520" t="s">
        <v>5929</v>
      </c>
      <c r="BP520" t="s">
        <v>1869</v>
      </c>
      <c r="BQ520" t="s">
        <v>1870</v>
      </c>
      <c r="BR520" t="s">
        <v>106</v>
      </c>
      <c r="BS520" t="s">
        <v>10245</v>
      </c>
      <c r="BT520" t="str">
        <f>HYPERLINK("https%3A%2F%2Fwww.webofscience.com%2Fwos%2Fwoscc%2Ffull-record%2FWOS:000519214500009","View Full Record in Web of Science")</f>
        <v>View Full Record in Web of Science</v>
      </c>
    </row>
    <row r="521" spans="1:72" x14ac:dyDescent="0.15">
      <c r="A521" t="s">
        <v>72</v>
      </c>
      <c r="B521" t="s">
        <v>10246</v>
      </c>
      <c r="C521" t="s">
        <v>74</v>
      </c>
      <c r="D521" t="s">
        <v>74</v>
      </c>
      <c r="E521" t="s">
        <v>74</v>
      </c>
      <c r="F521" t="s">
        <v>10247</v>
      </c>
      <c r="G521" t="s">
        <v>74</v>
      </c>
      <c r="H521" t="s">
        <v>74</v>
      </c>
      <c r="I521" t="s">
        <v>10248</v>
      </c>
      <c r="J521" t="s">
        <v>10249</v>
      </c>
      <c r="K521" t="s">
        <v>74</v>
      </c>
      <c r="L521" t="s">
        <v>74</v>
      </c>
      <c r="M521" t="s">
        <v>78</v>
      </c>
      <c r="N521" t="s">
        <v>1911</v>
      </c>
      <c r="O521" t="s">
        <v>74</v>
      </c>
      <c r="P521" t="s">
        <v>74</v>
      </c>
      <c r="Q521" t="s">
        <v>74</v>
      </c>
      <c r="R521" t="s">
        <v>74</v>
      </c>
      <c r="S521" t="s">
        <v>74</v>
      </c>
      <c r="T521" t="s">
        <v>74</v>
      </c>
      <c r="U521" t="s">
        <v>74</v>
      </c>
      <c r="V521" t="s">
        <v>74</v>
      </c>
      <c r="W521" t="s">
        <v>10250</v>
      </c>
      <c r="X521" t="s">
        <v>10251</v>
      </c>
      <c r="Y521" t="s">
        <v>10252</v>
      </c>
      <c r="Z521" t="s">
        <v>10253</v>
      </c>
      <c r="AA521" t="s">
        <v>74</v>
      </c>
      <c r="AB521" t="s">
        <v>74</v>
      </c>
      <c r="AC521" t="s">
        <v>74</v>
      </c>
      <c r="AD521" t="s">
        <v>74</v>
      </c>
      <c r="AE521" t="s">
        <v>74</v>
      </c>
      <c r="AF521" t="s">
        <v>74</v>
      </c>
      <c r="AG521">
        <v>0</v>
      </c>
      <c r="AH521">
        <v>1</v>
      </c>
      <c r="AI521">
        <v>1</v>
      </c>
      <c r="AJ521">
        <v>0</v>
      </c>
      <c r="AK521">
        <v>0</v>
      </c>
      <c r="AL521" t="s">
        <v>10204</v>
      </c>
      <c r="AM521" t="s">
        <v>545</v>
      </c>
      <c r="AN521" t="s">
        <v>2387</v>
      </c>
      <c r="AO521" t="s">
        <v>74</v>
      </c>
      <c r="AP521" t="s">
        <v>10254</v>
      </c>
      <c r="AQ521" t="s">
        <v>74</v>
      </c>
      <c r="AR521" t="s">
        <v>10255</v>
      </c>
      <c r="AS521" t="s">
        <v>10256</v>
      </c>
      <c r="AT521" t="s">
        <v>803</v>
      </c>
      <c r="AU521">
        <v>2020</v>
      </c>
      <c r="AV521">
        <v>1</v>
      </c>
      <c r="AW521">
        <v>2</v>
      </c>
      <c r="AX521" t="s">
        <v>74</v>
      </c>
      <c r="AY521" t="s">
        <v>74</v>
      </c>
      <c r="AZ521" t="s">
        <v>74</v>
      </c>
      <c r="BA521" t="s">
        <v>74</v>
      </c>
      <c r="BB521">
        <v>87</v>
      </c>
      <c r="BC521">
        <v>87</v>
      </c>
      <c r="BD521" t="s">
        <v>74</v>
      </c>
      <c r="BE521" t="s">
        <v>10257</v>
      </c>
      <c r="BF521" t="str">
        <f>HYPERLINK("http://dx.doi.org/10.1038/s43017-020-0023-4","http://dx.doi.org/10.1038/s43017-020-0023-4")</f>
        <v>http://dx.doi.org/10.1038/s43017-020-0023-4</v>
      </c>
      <c r="BG521" t="s">
        <v>74</v>
      </c>
      <c r="BH521" t="s">
        <v>74</v>
      </c>
      <c r="BI521">
        <v>1</v>
      </c>
      <c r="BJ521" t="s">
        <v>10258</v>
      </c>
      <c r="BK521" t="s">
        <v>103</v>
      </c>
      <c r="BL521" t="s">
        <v>1405</v>
      </c>
      <c r="BM521" t="s">
        <v>10259</v>
      </c>
      <c r="BN521" t="s">
        <v>74</v>
      </c>
      <c r="BO521" t="s">
        <v>517</v>
      </c>
      <c r="BP521" t="s">
        <v>74</v>
      </c>
      <c r="BQ521" t="s">
        <v>74</v>
      </c>
      <c r="BR521" t="s">
        <v>106</v>
      </c>
      <c r="BS521" t="s">
        <v>10260</v>
      </c>
      <c r="BT521" t="str">
        <f>HYPERLINK("https%3A%2F%2Fwww.webofscience.com%2Fwos%2Fwoscc%2Ffull-record%2FWOS:000649445800007","View Full Record in Web of Science")</f>
        <v>View Full Record in Web of Science</v>
      </c>
    </row>
    <row r="522" spans="1:72" x14ac:dyDescent="0.15">
      <c r="A522" t="s">
        <v>72</v>
      </c>
      <c r="B522" t="s">
        <v>10261</v>
      </c>
      <c r="C522" t="s">
        <v>74</v>
      </c>
      <c r="D522" t="s">
        <v>74</v>
      </c>
      <c r="E522" t="s">
        <v>74</v>
      </c>
      <c r="F522" t="s">
        <v>10262</v>
      </c>
      <c r="G522" t="s">
        <v>74</v>
      </c>
      <c r="H522" t="s">
        <v>74</v>
      </c>
      <c r="I522" t="s">
        <v>10263</v>
      </c>
      <c r="J522" t="s">
        <v>10249</v>
      </c>
      <c r="K522" t="s">
        <v>74</v>
      </c>
      <c r="L522" t="s">
        <v>74</v>
      </c>
      <c r="M522" t="s">
        <v>78</v>
      </c>
      <c r="N522" t="s">
        <v>1434</v>
      </c>
      <c r="O522" t="s">
        <v>74</v>
      </c>
      <c r="P522" t="s">
        <v>74</v>
      </c>
      <c r="Q522" t="s">
        <v>74</v>
      </c>
      <c r="R522" t="s">
        <v>74</v>
      </c>
      <c r="S522" t="s">
        <v>74</v>
      </c>
      <c r="T522" t="s">
        <v>74</v>
      </c>
      <c r="U522" t="s">
        <v>10264</v>
      </c>
      <c r="V522" t="s">
        <v>10265</v>
      </c>
      <c r="W522" t="s">
        <v>10266</v>
      </c>
      <c r="X522" t="s">
        <v>10267</v>
      </c>
      <c r="Y522" t="s">
        <v>10268</v>
      </c>
      <c r="Z522" t="s">
        <v>10269</v>
      </c>
      <c r="AA522" t="s">
        <v>10270</v>
      </c>
      <c r="AB522" t="s">
        <v>74</v>
      </c>
      <c r="AC522" t="s">
        <v>10271</v>
      </c>
      <c r="AD522" t="s">
        <v>10272</v>
      </c>
      <c r="AE522" t="s">
        <v>10273</v>
      </c>
      <c r="AF522" t="s">
        <v>74</v>
      </c>
      <c r="AG522">
        <v>164</v>
      </c>
      <c r="AH522">
        <v>75</v>
      </c>
      <c r="AI522">
        <v>82</v>
      </c>
      <c r="AJ522">
        <v>1</v>
      </c>
      <c r="AK522">
        <v>19</v>
      </c>
      <c r="AL522" t="s">
        <v>10204</v>
      </c>
      <c r="AM522" t="s">
        <v>545</v>
      </c>
      <c r="AN522" t="s">
        <v>2387</v>
      </c>
      <c r="AO522" t="s">
        <v>74</v>
      </c>
      <c r="AP522" t="s">
        <v>10254</v>
      </c>
      <c r="AQ522" t="s">
        <v>74</v>
      </c>
      <c r="AR522" t="s">
        <v>10255</v>
      </c>
      <c r="AS522" t="s">
        <v>10256</v>
      </c>
      <c r="AT522" t="s">
        <v>803</v>
      </c>
      <c r="AU522">
        <v>2020</v>
      </c>
      <c r="AV522">
        <v>1</v>
      </c>
      <c r="AW522">
        <v>2</v>
      </c>
      <c r="AX522" t="s">
        <v>74</v>
      </c>
      <c r="AY522" t="s">
        <v>74</v>
      </c>
      <c r="AZ522" t="s">
        <v>74</v>
      </c>
      <c r="BA522" t="s">
        <v>74</v>
      </c>
      <c r="BB522">
        <v>117</v>
      </c>
      <c r="BC522">
        <v>133</v>
      </c>
      <c r="BD522" t="s">
        <v>74</v>
      </c>
      <c r="BE522" t="s">
        <v>10274</v>
      </c>
      <c r="BF522" t="str">
        <f>HYPERLINK("http://dx.doi.org/10.1038/s43017-019-0013-6","http://dx.doi.org/10.1038/s43017-019-0013-6")</f>
        <v>http://dx.doi.org/10.1038/s43017-019-0013-6</v>
      </c>
      <c r="BG522" t="s">
        <v>74</v>
      </c>
      <c r="BH522" t="s">
        <v>74</v>
      </c>
      <c r="BI522">
        <v>17</v>
      </c>
      <c r="BJ522" t="s">
        <v>10258</v>
      </c>
      <c r="BK522" t="s">
        <v>103</v>
      </c>
      <c r="BL522" t="s">
        <v>1405</v>
      </c>
      <c r="BM522" t="s">
        <v>10259</v>
      </c>
      <c r="BN522" t="s">
        <v>74</v>
      </c>
      <c r="BO522" t="s">
        <v>74</v>
      </c>
      <c r="BP522" t="s">
        <v>74</v>
      </c>
      <c r="BQ522" t="s">
        <v>74</v>
      </c>
      <c r="BR522" t="s">
        <v>106</v>
      </c>
      <c r="BS522" t="s">
        <v>10275</v>
      </c>
      <c r="BT522" t="str">
        <f>HYPERLINK("https%3A%2F%2Fwww.webofscience.com%2Fwos%2Fwoscc%2Ffull-record%2FWOS:000649445800012","View Full Record in Web of Science")</f>
        <v>View Full Record in Web of Science</v>
      </c>
    </row>
    <row r="523" spans="1:72" x14ac:dyDescent="0.15">
      <c r="A523" t="s">
        <v>72</v>
      </c>
      <c r="B523" t="s">
        <v>10276</v>
      </c>
      <c r="C523" t="s">
        <v>74</v>
      </c>
      <c r="D523" t="s">
        <v>74</v>
      </c>
      <c r="E523" t="s">
        <v>74</v>
      </c>
      <c r="F523" t="s">
        <v>10277</v>
      </c>
      <c r="G523" t="s">
        <v>74</v>
      </c>
      <c r="H523" t="s">
        <v>10278</v>
      </c>
      <c r="I523" t="s">
        <v>10279</v>
      </c>
      <c r="J523" t="s">
        <v>10280</v>
      </c>
      <c r="K523" t="s">
        <v>74</v>
      </c>
      <c r="L523" t="s">
        <v>74</v>
      </c>
      <c r="M523" t="s">
        <v>78</v>
      </c>
      <c r="N523" t="s">
        <v>3031</v>
      </c>
      <c r="O523" t="s">
        <v>10281</v>
      </c>
      <c r="P523" t="s">
        <v>10282</v>
      </c>
      <c r="Q523" t="s">
        <v>10283</v>
      </c>
      <c r="R523" t="s">
        <v>74</v>
      </c>
      <c r="S523" t="s">
        <v>10284</v>
      </c>
      <c r="T523" t="s">
        <v>10285</v>
      </c>
      <c r="U523" t="s">
        <v>74</v>
      </c>
      <c r="V523" t="s">
        <v>10286</v>
      </c>
      <c r="W523" t="s">
        <v>10287</v>
      </c>
      <c r="X523" t="s">
        <v>10288</v>
      </c>
      <c r="Y523" t="s">
        <v>10289</v>
      </c>
      <c r="Z523" t="s">
        <v>10290</v>
      </c>
      <c r="AA523" t="s">
        <v>10291</v>
      </c>
      <c r="AB523" t="s">
        <v>10292</v>
      </c>
      <c r="AC523" t="s">
        <v>74</v>
      </c>
      <c r="AD523" t="s">
        <v>74</v>
      </c>
      <c r="AE523" t="s">
        <v>74</v>
      </c>
      <c r="AF523" t="s">
        <v>74</v>
      </c>
      <c r="AG523">
        <v>23</v>
      </c>
      <c r="AH523">
        <v>6</v>
      </c>
      <c r="AI523">
        <v>6</v>
      </c>
      <c r="AJ523">
        <v>0</v>
      </c>
      <c r="AK523">
        <v>11</v>
      </c>
      <c r="AL523" t="s">
        <v>289</v>
      </c>
      <c r="AM523" t="s">
        <v>290</v>
      </c>
      <c r="AN523" t="s">
        <v>291</v>
      </c>
      <c r="AO523" t="s">
        <v>10293</v>
      </c>
      <c r="AP523" t="s">
        <v>10294</v>
      </c>
      <c r="AQ523" t="s">
        <v>74</v>
      </c>
      <c r="AR523" t="s">
        <v>10295</v>
      </c>
      <c r="AS523" t="s">
        <v>10296</v>
      </c>
      <c r="AT523" t="s">
        <v>8137</v>
      </c>
      <c r="AU523">
        <v>2020</v>
      </c>
      <c r="AV523">
        <v>952</v>
      </c>
      <c r="AW523" t="s">
        <v>74</v>
      </c>
      <c r="AX523" t="s">
        <v>74</v>
      </c>
      <c r="AY523" t="s">
        <v>74</v>
      </c>
      <c r="AZ523" t="s">
        <v>74</v>
      </c>
      <c r="BA523" t="s">
        <v>74</v>
      </c>
      <c r="BB523" t="s">
        <v>74</v>
      </c>
      <c r="BC523" t="s">
        <v>74</v>
      </c>
      <c r="BD523">
        <v>161650</v>
      </c>
      <c r="BE523" t="s">
        <v>10297</v>
      </c>
      <c r="BF523" t="str">
        <f>HYPERLINK("http://dx.doi.org/10.1016/j.nima.2018.11.109","http://dx.doi.org/10.1016/j.nima.2018.11.109")</f>
        <v>http://dx.doi.org/10.1016/j.nima.2018.11.109</v>
      </c>
      <c r="BG523" t="s">
        <v>74</v>
      </c>
      <c r="BH523" t="s">
        <v>74</v>
      </c>
      <c r="BI523">
        <v>4</v>
      </c>
      <c r="BJ523" t="s">
        <v>10298</v>
      </c>
      <c r="BK523" t="s">
        <v>3261</v>
      </c>
      <c r="BL523" t="s">
        <v>10299</v>
      </c>
      <c r="BM523" t="s">
        <v>10300</v>
      </c>
      <c r="BN523" t="s">
        <v>74</v>
      </c>
      <c r="BO523" t="s">
        <v>74</v>
      </c>
      <c r="BP523" t="s">
        <v>74</v>
      </c>
      <c r="BQ523" t="s">
        <v>74</v>
      </c>
      <c r="BR523" t="s">
        <v>106</v>
      </c>
      <c r="BS523" t="s">
        <v>10301</v>
      </c>
      <c r="BT523" t="str">
        <f>HYPERLINK("https%3A%2F%2Fwww.webofscience.com%2Fwos%2Fwoscc%2Ffull-record%2FWOS:000506413900047","View Full Record in Web of Science")</f>
        <v>View Full Record in Web of Science</v>
      </c>
    </row>
    <row r="524" spans="1:72" x14ac:dyDescent="0.15">
      <c r="A524" t="s">
        <v>72</v>
      </c>
      <c r="B524" t="s">
        <v>10302</v>
      </c>
      <c r="C524" t="s">
        <v>74</v>
      </c>
      <c r="D524" t="s">
        <v>74</v>
      </c>
      <c r="E524" t="s">
        <v>74</v>
      </c>
      <c r="F524" t="s">
        <v>10303</v>
      </c>
      <c r="G524" t="s">
        <v>74</v>
      </c>
      <c r="H524" t="s">
        <v>74</v>
      </c>
      <c r="I524" t="s">
        <v>10304</v>
      </c>
      <c r="J524" t="s">
        <v>3540</v>
      </c>
      <c r="K524" t="s">
        <v>74</v>
      </c>
      <c r="L524" t="s">
        <v>74</v>
      </c>
      <c r="M524" t="s">
        <v>78</v>
      </c>
      <c r="N524" t="s">
        <v>79</v>
      </c>
      <c r="O524" t="s">
        <v>74</v>
      </c>
      <c r="P524" t="s">
        <v>74</v>
      </c>
      <c r="Q524" t="s">
        <v>74</v>
      </c>
      <c r="R524" t="s">
        <v>74</v>
      </c>
      <c r="S524" t="s">
        <v>74</v>
      </c>
      <c r="T524" t="s">
        <v>74</v>
      </c>
      <c r="U524" t="s">
        <v>10305</v>
      </c>
      <c r="V524" t="s">
        <v>10306</v>
      </c>
      <c r="W524" t="s">
        <v>10307</v>
      </c>
      <c r="X524" t="s">
        <v>10308</v>
      </c>
      <c r="Y524" t="s">
        <v>10309</v>
      </c>
      <c r="Z524" t="s">
        <v>10310</v>
      </c>
      <c r="AA524" t="s">
        <v>10311</v>
      </c>
      <c r="AB524" t="s">
        <v>10312</v>
      </c>
      <c r="AC524" t="s">
        <v>10313</v>
      </c>
      <c r="AD524" t="s">
        <v>10314</v>
      </c>
      <c r="AE524" t="s">
        <v>10315</v>
      </c>
      <c r="AF524" t="s">
        <v>74</v>
      </c>
      <c r="AG524">
        <v>55</v>
      </c>
      <c r="AH524">
        <v>19</v>
      </c>
      <c r="AI524">
        <v>21</v>
      </c>
      <c r="AJ524">
        <v>3</v>
      </c>
      <c r="AK524">
        <v>10</v>
      </c>
      <c r="AL524" t="s">
        <v>855</v>
      </c>
      <c r="AM524" t="s">
        <v>266</v>
      </c>
      <c r="AN524" t="s">
        <v>856</v>
      </c>
      <c r="AO524" t="s">
        <v>3553</v>
      </c>
      <c r="AP524" t="s">
        <v>3554</v>
      </c>
      <c r="AQ524" t="s">
        <v>74</v>
      </c>
      <c r="AR524" t="s">
        <v>3555</v>
      </c>
      <c r="AS524" t="s">
        <v>3556</v>
      </c>
      <c r="AT524" t="s">
        <v>803</v>
      </c>
      <c r="AU524">
        <v>2020</v>
      </c>
      <c r="AV524">
        <v>35</v>
      </c>
      <c r="AW524">
        <v>2</v>
      </c>
      <c r="AX524" t="s">
        <v>74</v>
      </c>
      <c r="AY524" t="s">
        <v>74</v>
      </c>
      <c r="AZ524" t="s">
        <v>74</v>
      </c>
      <c r="BA524" t="s">
        <v>74</v>
      </c>
      <c r="BB524" t="s">
        <v>74</v>
      </c>
      <c r="BC524" t="s">
        <v>74</v>
      </c>
      <c r="BD524" t="s">
        <v>10316</v>
      </c>
      <c r="BE524" t="s">
        <v>10317</v>
      </c>
      <c r="BF524" t="str">
        <f>HYPERLINK("http://dx.doi.org/10.1029/2019PA003793","http://dx.doi.org/10.1029/2019PA003793")</f>
        <v>http://dx.doi.org/10.1029/2019PA003793</v>
      </c>
      <c r="BG524" t="s">
        <v>74</v>
      </c>
      <c r="BH524" t="s">
        <v>74</v>
      </c>
      <c r="BI524">
        <v>12</v>
      </c>
      <c r="BJ524" t="s">
        <v>3559</v>
      </c>
      <c r="BK524" t="s">
        <v>103</v>
      </c>
      <c r="BL524" t="s">
        <v>3560</v>
      </c>
      <c r="BM524" t="s">
        <v>10318</v>
      </c>
      <c r="BN524" t="s">
        <v>74</v>
      </c>
      <c r="BO524" t="s">
        <v>694</v>
      </c>
      <c r="BP524" t="s">
        <v>74</v>
      </c>
      <c r="BQ524" t="s">
        <v>74</v>
      </c>
      <c r="BR524" t="s">
        <v>106</v>
      </c>
      <c r="BS524" t="s">
        <v>10319</v>
      </c>
      <c r="BT524" t="str">
        <f>HYPERLINK("https%3A%2F%2Fwww.webofscience.com%2Fwos%2Fwoscc%2Ffull-record%2FWOS:000519306800011","View Full Record in Web of Science")</f>
        <v>View Full Record in Web of Science</v>
      </c>
    </row>
    <row r="525" spans="1:72" x14ac:dyDescent="0.15">
      <c r="A525" t="s">
        <v>72</v>
      </c>
      <c r="B525" t="s">
        <v>10320</v>
      </c>
      <c r="C525" t="s">
        <v>74</v>
      </c>
      <c r="D525" t="s">
        <v>74</v>
      </c>
      <c r="E525" t="s">
        <v>74</v>
      </c>
      <c r="F525" t="s">
        <v>10321</v>
      </c>
      <c r="G525" t="s">
        <v>74</v>
      </c>
      <c r="H525" t="s">
        <v>74</v>
      </c>
      <c r="I525" t="s">
        <v>10322</v>
      </c>
      <c r="J525" t="s">
        <v>10323</v>
      </c>
      <c r="K525" t="s">
        <v>74</v>
      </c>
      <c r="L525" t="s">
        <v>74</v>
      </c>
      <c r="M525" t="s">
        <v>78</v>
      </c>
      <c r="N525" t="s">
        <v>79</v>
      </c>
      <c r="O525" t="s">
        <v>74</v>
      </c>
      <c r="P525" t="s">
        <v>74</v>
      </c>
      <c r="Q525" t="s">
        <v>74</v>
      </c>
      <c r="R525" t="s">
        <v>74</v>
      </c>
      <c r="S525" t="s">
        <v>74</v>
      </c>
      <c r="T525" t="s">
        <v>10324</v>
      </c>
      <c r="U525" t="s">
        <v>10325</v>
      </c>
      <c r="V525" t="s">
        <v>10326</v>
      </c>
      <c r="W525" t="s">
        <v>10327</v>
      </c>
      <c r="X525" t="s">
        <v>10328</v>
      </c>
      <c r="Y525" t="s">
        <v>10329</v>
      </c>
      <c r="Z525" t="s">
        <v>10330</v>
      </c>
      <c r="AA525" t="s">
        <v>10331</v>
      </c>
      <c r="AB525" t="s">
        <v>10332</v>
      </c>
      <c r="AC525" t="s">
        <v>10333</v>
      </c>
      <c r="AD525" t="s">
        <v>1736</v>
      </c>
      <c r="AE525" t="s">
        <v>74</v>
      </c>
      <c r="AF525" t="s">
        <v>74</v>
      </c>
      <c r="AG525">
        <v>52</v>
      </c>
      <c r="AH525">
        <v>7</v>
      </c>
      <c r="AI525">
        <v>7</v>
      </c>
      <c r="AJ525">
        <v>0</v>
      </c>
      <c r="AK525">
        <v>5</v>
      </c>
      <c r="AL525" t="s">
        <v>382</v>
      </c>
      <c r="AM525" t="s">
        <v>383</v>
      </c>
      <c r="AN525" t="s">
        <v>384</v>
      </c>
      <c r="AO525" t="s">
        <v>10334</v>
      </c>
      <c r="AP525" t="s">
        <v>10335</v>
      </c>
      <c r="AQ525" t="s">
        <v>74</v>
      </c>
      <c r="AR525" t="s">
        <v>10336</v>
      </c>
      <c r="AS525" t="s">
        <v>10337</v>
      </c>
      <c r="AT525" t="s">
        <v>803</v>
      </c>
      <c r="AU525">
        <v>2020</v>
      </c>
      <c r="AV525">
        <v>139</v>
      </c>
      <c r="AW525" t="s">
        <v>4623</v>
      </c>
      <c r="AX525" t="s">
        <v>74</v>
      </c>
      <c r="AY525" t="s">
        <v>74</v>
      </c>
      <c r="AZ525" t="s">
        <v>74</v>
      </c>
      <c r="BA525" t="s">
        <v>74</v>
      </c>
      <c r="BB525">
        <v>1479</v>
      </c>
      <c r="BC525">
        <v>1491</v>
      </c>
      <c r="BD525" t="s">
        <v>74</v>
      </c>
      <c r="BE525" t="s">
        <v>10338</v>
      </c>
      <c r="BF525" t="str">
        <f>HYPERLINK("http://dx.doi.org/10.1007/s00704-019-03042-0","http://dx.doi.org/10.1007/s00704-019-03042-0")</f>
        <v>http://dx.doi.org/10.1007/s00704-019-03042-0</v>
      </c>
      <c r="BG525" t="s">
        <v>74</v>
      </c>
      <c r="BH525" t="s">
        <v>74</v>
      </c>
      <c r="BI525">
        <v>13</v>
      </c>
      <c r="BJ525" t="s">
        <v>907</v>
      </c>
      <c r="BK525" t="s">
        <v>103</v>
      </c>
      <c r="BL525" t="s">
        <v>907</v>
      </c>
      <c r="BM525" t="s">
        <v>10339</v>
      </c>
      <c r="BN525" t="s">
        <v>74</v>
      </c>
      <c r="BO525" t="s">
        <v>74</v>
      </c>
      <c r="BP525" t="s">
        <v>74</v>
      </c>
      <c r="BQ525" t="s">
        <v>74</v>
      </c>
      <c r="BR525" t="s">
        <v>106</v>
      </c>
      <c r="BS525" t="s">
        <v>10340</v>
      </c>
      <c r="BT525" t="str">
        <f>HYPERLINK("https%3A%2F%2Fwww.webofscience.com%2Fwos%2Fwoscc%2Ffull-record%2FWOS:000511528400049","View Full Record in Web of Science")</f>
        <v>View Full Record in Web of Science</v>
      </c>
    </row>
    <row r="526" spans="1:72" x14ac:dyDescent="0.15">
      <c r="A526" t="s">
        <v>72</v>
      </c>
      <c r="B526" t="s">
        <v>10341</v>
      </c>
      <c r="C526" t="s">
        <v>74</v>
      </c>
      <c r="D526" t="s">
        <v>74</v>
      </c>
      <c r="E526" t="s">
        <v>74</v>
      </c>
      <c r="F526" t="s">
        <v>10342</v>
      </c>
      <c r="G526" t="s">
        <v>74</v>
      </c>
      <c r="H526" t="s">
        <v>74</v>
      </c>
      <c r="I526" t="s">
        <v>10343</v>
      </c>
      <c r="J526" t="s">
        <v>153</v>
      </c>
      <c r="K526" t="s">
        <v>74</v>
      </c>
      <c r="L526" t="s">
        <v>74</v>
      </c>
      <c r="M526" t="s">
        <v>78</v>
      </c>
      <c r="N526" t="s">
        <v>79</v>
      </c>
      <c r="O526" t="s">
        <v>74</v>
      </c>
      <c r="P526" t="s">
        <v>74</v>
      </c>
      <c r="Q526" t="s">
        <v>74</v>
      </c>
      <c r="R526" t="s">
        <v>74</v>
      </c>
      <c r="S526" t="s">
        <v>74</v>
      </c>
      <c r="T526" t="s">
        <v>10344</v>
      </c>
      <c r="U526" t="s">
        <v>10345</v>
      </c>
      <c r="V526" t="s">
        <v>10346</v>
      </c>
      <c r="W526" t="s">
        <v>10347</v>
      </c>
      <c r="X526" t="s">
        <v>10348</v>
      </c>
      <c r="Y526" t="s">
        <v>10349</v>
      </c>
      <c r="Z526" t="s">
        <v>10350</v>
      </c>
      <c r="AA526" t="s">
        <v>10351</v>
      </c>
      <c r="AB526" t="s">
        <v>10352</v>
      </c>
      <c r="AC526" t="s">
        <v>10353</v>
      </c>
      <c r="AD526" t="s">
        <v>10353</v>
      </c>
      <c r="AE526" t="s">
        <v>10354</v>
      </c>
      <c r="AF526" t="s">
        <v>74</v>
      </c>
      <c r="AG526">
        <v>48</v>
      </c>
      <c r="AH526">
        <v>15</v>
      </c>
      <c r="AI526">
        <v>17</v>
      </c>
      <c r="AJ526">
        <v>0</v>
      </c>
      <c r="AK526">
        <v>18</v>
      </c>
      <c r="AL526" t="s">
        <v>165</v>
      </c>
      <c r="AM526" t="s">
        <v>166</v>
      </c>
      <c r="AN526" t="s">
        <v>167</v>
      </c>
      <c r="AO526" t="s">
        <v>168</v>
      </c>
      <c r="AP526" t="s">
        <v>169</v>
      </c>
      <c r="AQ526" t="s">
        <v>74</v>
      </c>
      <c r="AR526" t="s">
        <v>170</v>
      </c>
      <c r="AS526" t="s">
        <v>171</v>
      </c>
      <c r="AT526" t="s">
        <v>803</v>
      </c>
      <c r="AU526">
        <v>2020</v>
      </c>
      <c r="AV526">
        <v>240</v>
      </c>
      <c r="AW526" t="s">
        <v>74</v>
      </c>
      <c r="AX526" t="s">
        <v>74</v>
      </c>
      <c r="AY526" t="s">
        <v>74</v>
      </c>
      <c r="AZ526" t="s">
        <v>74</v>
      </c>
      <c r="BA526" t="s">
        <v>74</v>
      </c>
      <c r="BB526" t="s">
        <v>74</v>
      </c>
      <c r="BC526" t="s">
        <v>74</v>
      </c>
      <c r="BD526">
        <v>110629</v>
      </c>
      <c r="BE526" t="s">
        <v>10355</v>
      </c>
      <c r="BF526" t="str">
        <f>HYPERLINK("http://dx.doi.org/10.1016/j.cbpa.2019.110629","http://dx.doi.org/10.1016/j.cbpa.2019.110629")</f>
        <v>http://dx.doi.org/10.1016/j.cbpa.2019.110629</v>
      </c>
      <c r="BG526" t="s">
        <v>74</v>
      </c>
      <c r="BH526" t="s">
        <v>74</v>
      </c>
      <c r="BI526">
        <v>6</v>
      </c>
      <c r="BJ526" t="s">
        <v>173</v>
      </c>
      <c r="BK526" t="s">
        <v>103</v>
      </c>
      <c r="BL526" t="s">
        <v>173</v>
      </c>
      <c r="BM526" t="s">
        <v>10356</v>
      </c>
      <c r="BN526">
        <v>31790806</v>
      </c>
      <c r="BO526" t="s">
        <v>74</v>
      </c>
      <c r="BP526" t="s">
        <v>74</v>
      </c>
      <c r="BQ526" t="s">
        <v>74</v>
      </c>
      <c r="BR526" t="s">
        <v>106</v>
      </c>
      <c r="BS526" t="s">
        <v>10357</v>
      </c>
      <c r="BT526" t="str">
        <f>HYPERLINK("https%3A%2F%2Fwww.webofscience.com%2Fwos%2Fwoscc%2Ffull-record%2FWOS:000508489600016","View Full Record in Web of Science")</f>
        <v>View Full Record in Web of Science</v>
      </c>
    </row>
    <row r="527" spans="1:72" x14ac:dyDescent="0.15">
      <c r="A527" t="s">
        <v>72</v>
      </c>
      <c r="B527" t="s">
        <v>10358</v>
      </c>
      <c r="C527" t="s">
        <v>74</v>
      </c>
      <c r="D527" t="s">
        <v>74</v>
      </c>
      <c r="E527" t="s">
        <v>74</v>
      </c>
      <c r="F527" t="s">
        <v>10359</v>
      </c>
      <c r="G527" t="s">
        <v>74</v>
      </c>
      <c r="H527" t="s">
        <v>74</v>
      </c>
      <c r="I527" t="s">
        <v>10360</v>
      </c>
      <c r="J527" t="s">
        <v>5066</v>
      </c>
      <c r="K527" t="s">
        <v>74</v>
      </c>
      <c r="L527" t="s">
        <v>74</v>
      </c>
      <c r="M527" t="s">
        <v>78</v>
      </c>
      <c r="N527" t="s">
        <v>79</v>
      </c>
      <c r="O527" t="s">
        <v>74</v>
      </c>
      <c r="P527" t="s">
        <v>74</v>
      </c>
      <c r="Q527" t="s">
        <v>74</v>
      </c>
      <c r="R527" t="s">
        <v>74</v>
      </c>
      <c r="S527" t="s">
        <v>74</v>
      </c>
      <c r="T527" t="s">
        <v>10361</v>
      </c>
      <c r="U527" t="s">
        <v>10362</v>
      </c>
      <c r="V527" t="s">
        <v>10363</v>
      </c>
      <c r="W527" t="s">
        <v>10364</v>
      </c>
      <c r="X527" t="s">
        <v>10365</v>
      </c>
      <c r="Y527" t="s">
        <v>10366</v>
      </c>
      <c r="Z527" t="s">
        <v>10367</v>
      </c>
      <c r="AA527" t="s">
        <v>10368</v>
      </c>
      <c r="AB527" t="s">
        <v>10369</v>
      </c>
      <c r="AC527" t="s">
        <v>10370</v>
      </c>
      <c r="AD527" t="s">
        <v>10371</v>
      </c>
      <c r="AE527" t="s">
        <v>10372</v>
      </c>
      <c r="AF527" t="s">
        <v>74</v>
      </c>
      <c r="AG527">
        <v>42</v>
      </c>
      <c r="AH527">
        <v>5</v>
      </c>
      <c r="AI527">
        <v>5</v>
      </c>
      <c r="AJ527">
        <v>0</v>
      </c>
      <c r="AK527">
        <v>9</v>
      </c>
      <c r="AL527" t="s">
        <v>4084</v>
      </c>
      <c r="AM527" t="s">
        <v>4085</v>
      </c>
      <c r="AN527" t="s">
        <v>4086</v>
      </c>
      <c r="AO527" t="s">
        <v>5079</v>
      </c>
      <c r="AP527" t="s">
        <v>5080</v>
      </c>
      <c r="AQ527" t="s">
        <v>74</v>
      </c>
      <c r="AR527" t="s">
        <v>5081</v>
      </c>
      <c r="AS527" t="s">
        <v>5082</v>
      </c>
      <c r="AT527" t="s">
        <v>803</v>
      </c>
      <c r="AU527">
        <v>2020</v>
      </c>
      <c r="AV527">
        <v>33</v>
      </c>
      <c r="AW527">
        <v>4</v>
      </c>
      <c r="AX527" t="s">
        <v>74</v>
      </c>
      <c r="AY527" t="s">
        <v>74</v>
      </c>
      <c r="AZ527" t="s">
        <v>74</v>
      </c>
      <c r="BA527" t="s">
        <v>74</v>
      </c>
      <c r="BB527">
        <v>1405</v>
      </c>
      <c r="BC527">
        <v>1421</v>
      </c>
      <c r="BD527" t="s">
        <v>74</v>
      </c>
      <c r="BE527" t="s">
        <v>10373</v>
      </c>
      <c r="BF527" t="str">
        <f>HYPERLINK("http://dx.doi.org/10.1175/JCLI-D-19-0122.1","http://dx.doi.org/10.1175/JCLI-D-19-0122.1")</f>
        <v>http://dx.doi.org/10.1175/JCLI-D-19-0122.1</v>
      </c>
      <c r="BG527" t="s">
        <v>74</v>
      </c>
      <c r="BH527" t="s">
        <v>74</v>
      </c>
      <c r="BI527">
        <v>17</v>
      </c>
      <c r="BJ527" t="s">
        <v>907</v>
      </c>
      <c r="BK527" t="s">
        <v>103</v>
      </c>
      <c r="BL527" t="s">
        <v>907</v>
      </c>
      <c r="BM527" t="s">
        <v>10374</v>
      </c>
      <c r="BN527" t="s">
        <v>74</v>
      </c>
      <c r="BO527" t="s">
        <v>2821</v>
      </c>
      <c r="BP527" t="s">
        <v>74</v>
      </c>
      <c r="BQ527" t="s">
        <v>74</v>
      </c>
      <c r="BR527" t="s">
        <v>106</v>
      </c>
      <c r="BS527" t="s">
        <v>10375</v>
      </c>
      <c r="BT527" t="str">
        <f>HYPERLINK("https%3A%2F%2Fwww.webofscience.com%2Fwos%2Fwoscc%2Ffull-record%2FWOS:000508183900002","View Full Record in Web of Science")</f>
        <v>View Full Record in Web of Science</v>
      </c>
    </row>
    <row r="528" spans="1:72" x14ac:dyDescent="0.15">
      <c r="A528" t="s">
        <v>72</v>
      </c>
      <c r="B528" t="s">
        <v>10376</v>
      </c>
      <c r="C528" t="s">
        <v>74</v>
      </c>
      <c r="D528" t="s">
        <v>74</v>
      </c>
      <c r="E528" t="s">
        <v>74</v>
      </c>
      <c r="F528" t="s">
        <v>10377</v>
      </c>
      <c r="G528" t="s">
        <v>74</v>
      </c>
      <c r="H528" t="s">
        <v>74</v>
      </c>
      <c r="I528" t="s">
        <v>10378</v>
      </c>
      <c r="J528" t="s">
        <v>421</v>
      </c>
      <c r="K528" t="s">
        <v>74</v>
      </c>
      <c r="L528" t="s">
        <v>74</v>
      </c>
      <c r="M528" t="s">
        <v>78</v>
      </c>
      <c r="N528" t="s">
        <v>79</v>
      </c>
      <c r="O528" t="s">
        <v>74</v>
      </c>
      <c r="P528" t="s">
        <v>74</v>
      </c>
      <c r="Q528" t="s">
        <v>74</v>
      </c>
      <c r="R528" t="s">
        <v>74</v>
      </c>
      <c r="S528" t="s">
        <v>74</v>
      </c>
      <c r="T528" t="s">
        <v>10379</v>
      </c>
      <c r="U528" t="s">
        <v>10380</v>
      </c>
      <c r="V528" t="s">
        <v>10381</v>
      </c>
      <c r="W528" t="s">
        <v>10382</v>
      </c>
      <c r="X528" t="s">
        <v>10383</v>
      </c>
      <c r="Y528" t="s">
        <v>10384</v>
      </c>
      <c r="Z528" t="s">
        <v>10385</v>
      </c>
      <c r="AA528" t="s">
        <v>10386</v>
      </c>
      <c r="AB528" t="s">
        <v>10387</v>
      </c>
      <c r="AC528" t="s">
        <v>10388</v>
      </c>
      <c r="AD528" t="s">
        <v>10389</v>
      </c>
      <c r="AE528" t="s">
        <v>10390</v>
      </c>
      <c r="AF528" t="s">
        <v>74</v>
      </c>
      <c r="AG528">
        <v>99</v>
      </c>
      <c r="AH528">
        <v>15</v>
      </c>
      <c r="AI528">
        <v>17</v>
      </c>
      <c r="AJ528">
        <v>0</v>
      </c>
      <c r="AK528">
        <v>38</v>
      </c>
      <c r="AL528" t="s">
        <v>434</v>
      </c>
      <c r="AM528" t="s">
        <v>435</v>
      </c>
      <c r="AN528" t="s">
        <v>436</v>
      </c>
      <c r="AO528" t="s">
        <v>437</v>
      </c>
      <c r="AP528" t="s">
        <v>438</v>
      </c>
      <c r="AQ528" t="s">
        <v>74</v>
      </c>
      <c r="AR528" t="s">
        <v>439</v>
      </c>
      <c r="AS528" t="s">
        <v>440</v>
      </c>
      <c r="AT528" t="s">
        <v>8137</v>
      </c>
      <c r="AU528">
        <v>2020</v>
      </c>
      <c r="AV528">
        <v>270</v>
      </c>
      <c r="AW528" t="s">
        <v>74</v>
      </c>
      <c r="AX528" t="s">
        <v>74</v>
      </c>
      <c r="AY528" t="s">
        <v>74</v>
      </c>
      <c r="AZ528" t="s">
        <v>74</v>
      </c>
      <c r="BA528" t="s">
        <v>74</v>
      </c>
      <c r="BB528">
        <v>409</v>
      </c>
      <c r="BC528">
        <v>430</v>
      </c>
      <c r="BD528" t="s">
        <v>74</v>
      </c>
      <c r="BE528" t="s">
        <v>10391</v>
      </c>
      <c r="BF528" t="str">
        <f>HYPERLINK("http://dx.doi.org/10.1016/j.gca.2019.11.020","http://dx.doi.org/10.1016/j.gca.2019.11.020")</f>
        <v>http://dx.doi.org/10.1016/j.gca.2019.11.020</v>
      </c>
      <c r="BG528" t="s">
        <v>74</v>
      </c>
      <c r="BH528" t="s">
        <v>74</v>
      </c>
      <c r="BI528">
        <v>22</v>
      </c>
      <c r="BJ528" t="s">
        <v>442</v>
      </c>
      <c r="BK528" t="s">
        <v>103</v>
      </c>
      <c r="BL528" t="s">
        <v>442</v>
      </c>
      <c r="BM528" t="s">
        <v>10392</v>
      </c>
      <c r="BN528" t="s">
        <v>74</v>
      </c>
      <c r="BO528" t="s">
        <v>148</v>
      </c>
      <c r="BP528" t="s">
        <v>74</v>
      </c>
      <c r="BQ528" t="s">
        <v>74</v>
      </c>
      <c r="BR528" t="s">
        <v>106</v>
      </c>
      <c r="BS528" t="s">
        <v>10393</v>
      </c>
      <c r="BT528" t="str">
        <f>HYPERLINK("https%3A%2F%2Fwww.webofscience.com%2Fwos%2Fwoscc%2Ffull-record%2FWOS:000506666300023","View Full Record in Web of Science")</f>
        <v>View Full Record in Web of Science</v>
      </c>
    </row>
    <row r="529" spans="1:72" x14ac:dyDescent="0.15">
      <c r="A529" t="s">
        <v>72</v>
      </c>
      <c r="B529" t="s">
        <v>10394</v>
      </c>
      <c r="C529" t="s">
        <v>74</v>
      </c>
      <c r="D529" t="s">
        <v>74</v>
      </c>
      <c r="E529" t="s">
        <v>74</v>
      </c>
      <c r="F529" t="s">
        <v>10395</v>
      </c>
      <c r="G529" t="s">
        <v>74</v>
      </c>
      <c r="H529" t="s">
        <v>74</v>
      </c>
      <c r="I529" t="s">
        <v>10396</v>
      </c>
      <c r="J529" t="s">
        <v>10397</v>
      </c>
      <c r="K529" t="s">
        <v>74</v>
      </c>
      <c r="L529" t="s">
        <v>74</v>
      </c>
      <c r="M529" t="s">
        <v>78</v>
      </c>
      <c r="N529" t="s">
        <v>79</v>
      </c>
      <c r="O529" t="s">
        <v>74</v>
      </c>
      <c r="P529" t="s">
        <v>74</v>
      </c>
      <c r="Q529" t="s">
        <v>74</v>
      </c>
      <c r="R529" t="s">
        <v>74</v>
      </c>
      <c r="S529" t="s">
        <v>74</v>
      </c>
      <c r="T529" t="s">
        <v>10398</v>
      </c>
      <c r="U529" t="s">
        <v>10399</v>
      </c>
      <c r="V529" t="s">
        <v>10400</v>
      </c>
      <c r="W529" t="s">
        <v>10401</v>
      </c>
      <c r="X529" t="s">
        <v>10402</v>
      </c>
      <c r="Y529" t="s">
        <v>10403</v>
      </c>
      <c r="Z529" t="s">
        <v>10404</v>
      </c>
      <c r="AA529" t="s">
        <v>10405</v>
      </c>
      <c r="AB529" t="s">
        <v>10406</v>
      </c>
      <c r="AC529" t="s">
        <v>10407</v>
      </c>
      <c r="AD529" t="s">
        <v>10408</v>
      </c>
      <c r="AE529" t="s">
        <v>10409</v>
      </c>
      <c r="AF529" t="s">
        <v>74</v>
      </c>
      <c r="AG529">
        <v>67</v>
      </c>
      <c r="AH529">
        <v>22</v>
      </c>
      <c r="AI529">
        <v>22</v>
      </c>
      <c r="AJ529">
        <v>1</v>
      </c>
      <c r="AK529">
        <v>10</v>
      </c>
      <c r="AL529" t="s">
        <v>1055</v>
      </c>
      <c r="AM529" t="s">
        <v>435</v>
      </c>
      <c r="AN529" t="s">
        <v>1056</v>
      </c>
      <c r="AO529" t="s">
        <v>10410</v>
      </c>
      <c r="AP529" t="s">
        <v>10411</v>
      </c>
      <c r="AQ529" t="s">
        <v>74</v>
      </c>
      <c r="AR529" t="s">
        <v>10412</v>
      </c>
      <c r="AS529" t="s">
        <v>10413</v>
      </c>
      <c r="AT529" t="s">
        <v>803</v>
      </c>
      <c r="AU529">
        <v>2020</v>
      </c>
      <c r="AV529">
        <v>220</v>
      </c>
      <c r="AW529">
        <v>2</v>
      </c>
      <c r="AX529" t="s">
        <v>74</v>
      </c>
      <c r="AY529" t="s">
        <v>74</v>
      </c>
      <c r="AZ529" t="s">
        <v>74</v>
      </c>
      <c r="BA529" t="s">
        <v>74</v>
      </c>
      <c r="BB529">
        <v>1149</v>
      </c>
      <c r="BC529">
        <v>1171</v>
      </c>
      <c r="BD529" t="s">
        <v>74</v>
      </c>
      <c r="BE529" t="s">
        <v>10414</v>
      </c>
      <c r="BF529" t="str">
        <f>HYPERLINK("http://dx.doi.org/10.1093/gji/ggz508","http://dx.doi.org/10.1093/gji/ggz508")</f>
        <v>http://dx.doi.org/10.1093/gji/ggz508</v>
      </c>
      <c r="BG529" t="s">
        <v>74</v>
      </c>
      <c r="BH529" t="s">
        <v>74</v>
      </c>
      <c r="BI529">
        <v>23</v>
      </c>
      <c r="BJ529" t="s">
        <v>442</v>
      </c>
      <c r="BK529" t="s">
        <v>103</v>
      </c>
      <c r="BL529" t="s">
        <v>442</v>
      </c>
      <c r="BM529" t="s">
        <v>10415</v>
      </c>
      <c r="BN529" t="s">
        <v>74</v>
      </c>
      <c r="BO529" t="s">
        <v>517</v>
      </c>
      <c r="BP529" t="s">
        <v>74</v>
      </c>
      <c r="BQ529" t="s">
        <v>74</v>
      </c>
      <c r="BR529" t="s">
        <v>106</v>
      </c>
      <c r="BS529" t="s">
        <v>10416</v>
      </c>
      <c r="BT529" t="str">
        <f>HYPERLINK("https%3A%2F%2Fwww.webofscience.com%2Fwos%2Fwoscc%2Ffull-record%2FWOS:000506848400027","View Full Record in Web of Science")</f>
        <v>View Full Record in Web of Science</v>
      </c>
    </row>
    <row r="530" spans="1:72" x14ac:dyDescent="0.15">
      <c r="A530" t="s">
        <v>72</v>
      </c>
      <c r="B530" t="s">
        <v>10417</v>
      </c>
      <c r="C530" t="s">
        <v>74</v>
      </c>
      <c r="D530" t="s">
        <v>74</v>
      </c>
      <c r="E530" t="s">
        <v>74</v>
      </c>
      <c r="F530" t="s">
        <v>10418</v>
      </c>
      <c r="G530" t="s">
        <v>74</v>
      </c>
      <c r="H530" t="s">
        <v>10419</v>
      </c>
      <c r="I530" t="s">
        <v>10420</v>
      </c>
      <c r="J530" t="s">
        <v>10280</v>
      </c>
      <c r="K530" t="s">
        <v>74</v>
      </c>
      <c r="L530" t="s">
        <v>74</v>
      </c>
      <c r="M530" t="s">
        <v>78</v>
      </c>
      <c r="N530" t="s">
        <v>3031</v>
      </c>
      <c r="O530" t="s">
        <v>10281</v>
      </c>
      <c r="P530" t="s">
        <v>10282</v>
      </c>
      <c r="Q530" t="s">
        <v>10283</v>
      </c>
      <c r="R530" t="s">
        <v>74</v>
      </c>
      <c r="S530" t="s">
        <v>10284</v>
      </c>
      <c r="T530" t="s">
        <v>10421</v>
      </c>
      <c r="U530" t="s">
        <v>74</v>
      </c>
      <c r="V530" t="s">
        <v>10422</v>
      </c>
      <c r="W530" t="s">
        <v>10423</v>
      </c>
      <c r="X530" t="s">
        <v>10424</v>
      </c>
      <c r="Y530" t="s">
        <v>10425</v>
      </c>
      <c r="Z530" t="s">
        <v>10426</v>
      </c>
      <c r="AA530" t="s">
        <v>10427</v>
      </c>
      <c r="AB530" t="s">
        <v>10428</v>
      </c>
      <c r="AC530" t="s">
        <v>10429</v>
      </c>
      <c r="AD530" t="s">
        <v>10430</v>
      </c>
      <c r="AE530" t="s">
        <v>10431</v>
      </c>
      <c r="AF530" t="s">
        <v>74</v>
      </c>
      <c r="AG530">
        <v>7</v>
      </c>
      <c r="AH530">
        <v>0</v>
      </c>
      <c r="AI530">
        <v>0</v>
      </c>
      <c r="AJ530">
        <v>2</v>
      </c>
      <c r="AK530">
        <v>5</v>
      </c>
      <c r="AL530" t="s">
        <v>289</v>
      </c>
      <c r="AM530" t="s">
        <v>290</v>
      </c>
      <c r="AN530" t="s">
        <v>291</v>
      </c>
      <c r="AO530" t="s">
        <v>10293</v>
      </c>
      <c r="AP530" t="s">
        <v>10294</v>
      </c>
      <c r="AQ530" t="s">
        <v>74</v>
      </c>
      <c r="AR530" t="s">
        <v>10295</v>
      </c>
      <c r="AS530" t="s">
        <v>10296</v>
      </c>
      <c r="AT530" t="s">
        <v>8137</v>
      </c>
      <c r="AU530">
        <v>2020</v>
      </c>
      <c r="AV530">
        <v>952</v>
      </c>
      <c r="AW530" t="s">
        <v>74</v>
      </c>
      <c r="AX530" t="s">
        <v>74</v>
      </c>
      <c r="AY530" t="s">
        <v>74</v>
      </c>
      <c r="AZ530" t="s">
        <v>74</v>
      </c>
      <c r="BA530" t="s">
        <v>74</v>
      </c>
      <c r="BB530" t="s">
        <v>74</v>
      </c>
      <c r="BC530" t="s">
        <v>74</v>
      </c>
      <c r="BD530">
        <v>161908</v>
      </c>
      <c r="BE530" t="s">
        <v>10432</v>
      </c>
      <c r="BF530" t="str">
        <f>HYPERLINK("http://dx.doi.org/10.1016/j.nima.2019.02.035","http://dx.doi.org/10.1016/j.nima.2019.02.035")</f>
        <v>http://dx.doi.org/10.1016/j.nima.2019.02.035</v>
      </c>
      <c r="BG530" t="s">
        <v>74</v>
      </c>
      <c r="BH530" t="s">
        <v>74</v>
      </c>
      <c r="BI530">
        <v>3</v>
      </c>
      <c r="BJ530" t="s">
        <v>10298</v>
      </c>
      <c r="BK530" t="s">
        <v>3261</v>
      </c>
      <c r="BL530" t="s">
        <v>10299</v>
      </c>
      <c r="BM530" t="s">
        <v>10300</v>
      </c>
      <c r="BN530" t="s">
        <v>74</v>
      </c>
      <c r="BO530" t="s">
        <v>74</v>
      </c>
      <c r="BP530" t="s">
        <v>74</v>
      </c>
      <c r="BQ530" t="s">
        <v>74</v>
      </c>
      <c r="BR530" t="s">
        <v>106</v>
      </c>
      <c r="BS530" t="s">
        <v>10433</v>
      </c>
      <c r="BT530" t="str">
        <f>HYPERLINK("https%3A%2F%2Fwww.webofscience.com%2Fwos%2Fwoscc%2Ffull-record%2FWOS:000506413900014","View Full Record in Web of Science")</f>
        <v>View Full Record in Web of Science</v>
      </c>
    </row>
    <row r="531" spans="1:72" x14ac:dyDescent="0.15">
      <c r="A531" t="s">
        <v>72</v>
      </c>
      <c r="B531" t="s">
        <v>10434</v>
      </c>
      <c r="C531" t="s">
        <v>74</v>
      </c>
      <c r="D531" t="s">
        <v>74</v>
      </c>
      <c r="E531" t="s">
        <v>74</v>
      </c>
      <c r="F531" t="s">
        <v>10435</v>
      </c>
      <c r="G531" t="s">
        <v>74</v>
      </c>
      <c r="H531" t="s">
        <v>74</v>
      </c>
      <c r="I531" t="s">
        <v>10436</v>
      </c>
      <c r="J531" t="s">
        <v>9906</v>
      </c>
      <c r="K531" t="s">
        <v>74</v>
      </c>
      <c r="L531" t="s">
        <v>74</v>
      </c>
      <c r="M531" t="s">
        <v>78</v>
      </c>
      <c r="N531" t="s">
        <v>79</v>
      </c>
      <c r="O531" t="s">
        <v>74</v>
      </c>
      <c r="P531" t="s">
        <v>74</v>
      </c>
      <c r="Q531" t="s">
        <v>74</v>
      </c>
      <c r="R531" t="s">
        <v>74</v>
      </c>
      <c r="S531" t="s">
        <v>74</v>
      </c>
      <c r="T531" t="s">
        <v>74</v>
      </c>
      <c r="U531" t="s">
        <v>10437</v>
      </c>
      <c r="V531" t="s">
        <v>10438</v>
      </c>
      <c r="W531" t="s">
        <v>10439</v>
      </c>
      <c r="X531" t="s">
        <v>10440</v>
      </c>
      <c r="Y531" t="s">
        <v>10441</v>
      </c>
      <c r="Z531" t="s">
        <v>10442</v>
      </c>
      <c r="AA531" t="s">
        <v>74</v>
      </c>
      <c r="AB531" t="s">
        <v>74</v>
      </c>
      <c r="AC531" t="s">
        <v>10443</v>
      </c>
      <c r="AD531" t="s">
        <v>10444</v>
      </c>
      <c r="AE531" t="s">
        <v>10445</v>
      </c>
      <c r="AF531" t="s">
        <v>74</v>
      </c>
      <c r="AG531">
        <v>76</v>
      </c>
      <c r="AH531">
        <v>10</v>
      </c>
      <c r="AI531">
        <v>11</v>
      </c>
      <c r="AJ531">
        <v>0</v>
      </c>
      <c r="AK531">
        <v>5</v>
      </c>
      <c r="AL531" t="s">
        <v>289</v>
      </c>
      <c r="AM531" t="s">
        <v>290</v>
      </c>
      <c r="AN531" t="s">
        <v>291</v>
      </c>
      <c r="AO531" t="s">
        <v>9919</v>
      </c>
      <c r="AP531" t="s">
        <v>9920</v>
      </c>
      <c r="AQ531" t="s">
        <v>74</v>
      </c>
      <c r="AR531" t="s">
        <v>9921</v>
      </c>
      <c r="AS531" t="s">
        <v>9922</v>
      </c>
      <c r="AT531" t="s">
        <v>803</v>
      </c>
      <c r="AU531">
        <v>2020</v>
      </c>
      <c r="AV531">
        <v>170</v>
      </c>
      <c r="AW531" t="s">
        <v>74</v>
      </c>
      <c r="AX531" t="s">
        <v>74</v>
      </c>
      <c r="AY531" t="s">
        <v>74</v>
      </c>
      <c r="AZ531" t="s">
        <v>74</v>
      </c>
      <c r="BA531" t="s">
        <v>74</v>
      </c>
      <c r="BB531" t="s">
        <v>74</v>
      </c>
      <c r="BC531" t="s">
        <v>74</v>
      </c>
      <c r="BD531">
        <v>102954</v>
      </c>
      <c r="BE531" t="s">
        <v>10446</v>
      </c>
      <c r="BF531" t="str">
        <f>HYPERLINK("http://dx.doi.org/10.1016/j.coldregions.2019.102954","http://dx.doi.org/10.1016/j.coldregions.2019.102954")</f>
        <v>http://dx.doi.org/10.1016/j.coldregions.2019.102954</v>
      </c>
      <c r="BG531" t="s">
        <v>74</v>
      </c>
      <c r="BH531" t="s">
        <v>74</v>
      </c>
      <c r="BI531">
        <v>16</v>
      </c>
      <c r="BJ531" t="s">
        <v>9924</v>
      </c>
      <c r="BK531" t="s">
        <v>103</v>
      </c>
      <c r="BL531" t="s">
        <v>9925</v>
      </c>
      <c r="BM531" t="s">
        <v>9926</v>
      </c>
      <c r="BN531" t="s">
        <v>74</v>
      </c>
      <c r="BO531" t="s">
        <v>148</v>
      </c>
      <c r="BP531" t="s">
        <v>74</v>
      </c>
      <c r="BQ531" t="s">
        <v>74</v>
      </c>
      <c r="BR531" t="s">
        <v>106</v>
      </c>
      <c r="BS531" t="s">
        <v>10447</v>
      </c>
      <c r="BT531" t="str">
        <f>HYPERLINK("https%3A%2F%2Fwww.webofscience.com%2Fwos%2Fwoscc%2Ffull-record%2FWOS:000506666000027","View Full Record in Web of Science")</f>
        <v>View Full Record in Web of Science</v>
      </c>
    </row>
    <row r="532" spans="1:72" x14ac:dyDescent="0.15">
      <c r="A532" t="s">
        <v>72</v>
      </c>
      <c r="B532" t="s">
        <v>10448</v>
      </c>
      <c r="C532" t="s">
        <v>74</v>
      </c>
      <c r="D532" t="s">
        <v>74</v>
      </c>
      <c r="E532" t="s">
        <v>74</v>
      </c>
      <c r="F532" t="s">
        <v>10449</v>
      </c>
      <c r="G532" t="s">
        <v>74</v>
      </c>
      <c r="H532" t="s">
        <v>74</v>
      </c>
      <c r="I532" t="s">
        <v>10450</v>
      </c>
      <c r="J532" t="s">
        <v>5066</v>
      </c>
      <c r="K532" t="s">
        <v>74</v>
      </c>
      <c r="L532" t="s">
        <v>74</v>
      </c>
      <c r="M532" t="s">
        <v>78</v>
      </c>
      <c r="N532" t="s">
        <v>79</v>
      </c>
      <c r="O532" t="s">
        <v>74</v>
      </c>
      <c r="P532" t="s">
        <v>74</v>
      </c>
      <c r="Q532" t="s">
        <v>74</v>
      </c>
      <c r="R532" t="s">
        <v>74</v>
      </c>
      <c r="S532" t="s">
        <v>74</v>
      </c>
      <c r="T532" t="s">
        <v>10451</v>
      </c>
      <c r="U532" t="s">
        <v>10452</v>
      </c>
      <c r="V532" t="s">
        <v>10453</v>
      </c>
      <c r="W532" t="s">
        <v>10454</v>
      </c>
      <c r="X532" t="s">
        <v>10455</v>
      </c>
      <c r="Y532" t="s">
        <v>10456</v>
      </c>
      <c r="Z532" t="s">
        <v>10457</v>
      </c>
      <c r="AA532" t="s">
        <v>10458</v>
      </c>
      <c r="AB532" t="s">
        <v>10459</v>
      </c>
      <c r="AC532" t="s">
        <v>10460</v>
      </c>
      <c r="AD532" t="s">
        <v>10461</v>
      </c>
      <c r="AE532" t="s">
        <v>10462</v>
      </c>
      <c r="AF532" t="s">
        <v>74</v>
      </c>
      <c r="AG532">
        <v>62</v>
      </c>
      <c r="AH532">
        <v>6</v>
      </c>
      <c r="AI532">
        <v>7</v>
      </c>
      <c r="AJ532">
        <v>1</v>
      </c>
      <c r="AK532">
        <v>21</v>
      </c>
      <c r="AL532" t="s">
        <v>4084</v>
      </c>
      <c r="AM532" t="s">
        <v>4085</v>
      </c>
      <c r="AN532" t="s">
        <v>4086</v>
      </c>
      <c r="AO532" t="s">
        <v>5079</v>
      </c>
      <c r="AP532" t="s">
        <v>5080</v>
      </c>
      <c r="AQ532" t="s">
        <v>74</v>
      </c>
      <c r="AR532" t="s">
        <v>5081</v>
      </c>
      <c r="AS532" t="s">
        <v>5082</v>
      </c>
      <c r="AT532" t="s">
        <v>803</v>
      </c>
      <c r="AU532">
        <v>2020</v>
      </c>
      <c r="AV532">
        <v>33</v>
      </c>
      <c r="AW532">
        <v>4</v>
      </c>
      <c r="AX532" t="s">
        <v>74</v>
      </c>
      <c r="AY532" t="s">
        <v>74</v>
      </c>
      <c r="AZ532" t="s">
        <v>74</v>
      </c>
      <c r="BA532" t="s">
        <v>74</v>
      </c>
      <c r="BB532">
        <v>1209</v>
      </c>
      <c r="BC532">
        <v>1226</v>
      </c>
      <c r="BD532" t="s">
        <v>74</v>
      </c>
      <c r="BE532" t="s">
        <v>10463</v>
      </c>
      <c r="BF532" t="str">
        <f>HYPERLINK("http://dx.doi.org/10.1175/JCLI-D-19-0466.1","http://dx.doi.org/10.1175/JCLI-D-19-0466.1")</f>
        <v>http://dx.doi.org/10.1175/JCLI-D-19-0466.1</v>
      </c>
      <c r="BG532" t="s">
        <v>74</v>
      </c>
      <c r="BH532" t="s">
        <v>74</v>
      </c>
      <c r="BI532">
        <v>18</v>
      </c>
      <c r="BJ532" t="s">
        <v>907</v>
      </c>
      <c r="BK532" t="s">
        <v>103</v>
      </c>
      <c r="BL532" t="s">
        <v>907</v>
      </c>
      <c r="BM532" t="s">
        <v>10464</v>
      </c>
      <c r="BN532" t="s">
        <v>74</v>
      </c>
      <c r="BO532" t="s">
        <v>10465</v>
      </c>
      <c r="BP532" t="s">
        <v>74</v>
      </c>
      <c r="BQ532" t="s">
        <v>74</v>
      </c>
      <c r="BR532" t="s">
        <v>106</v>
      </c>
      <c r="BS532" t="s">
        <v>10466</v>
      </c>
      <c r="BT532" t="str">
        <f>HYPERLINK("https%3A%2F%2Fwww.webofscience.com%2Fwos%2Fwoscc%2Ffull-record%2FWOS:000506820300001","View Full Record in Web of Science")</f>
        <v>View Full Record in Web of Science</v>
      </c>
    </row>
    <row r="533" spans="1:72" x14ac:dyDescent="0.15">
      <c r="A533" t="s">
        <v>72</v>
      </c>
      <c r="B533" t="s">
        <v>10467</v>
      </c>
      <c r="C533" t="s">
        <v>74</v>
      </c>
      <c r="D533" t="s">
        <v>74</v>
      </c>
      <c r="E533" t="s">
        <v>74</v>
      </c>
      <c r="F533" t="s">
        <v>10468</v>
      </c>
      <c r="G533" t="s">
        <v>74</v>
      </c>
      <c r="H533" t="s">
        <v>74</v>
      </c>
      <c r="I533" t="s">
        <v>10469</v>
      </c>
      <c r="J533" t="s">
        <v>5380</v>
      </c>
      <c r="K533" t="s">
        <v>74</v>
      </c>
      <c r="L533" t="s">
        <v>74</v>
      </c>
      <c r="M533" t="s">
        <v>78</v>
      </c>
      <c r="N533" t="s">
        <v>79</v>
      </c>
      <c r="O533" t="s">
        <v>74</v>
      </c>
      <c r="P533" t="s">
        <v>74</v>
      </c>
      <c r="Q533" t="s">
        <v>74</v>
      </c>
      <c r="R533" t="s">
        <v>74</v>
      </c>
      <c r="S533" t="s">
        <v>74</v>
      </c>
      <c r="T533" t="s">
        <v>10470</v>
      </c>
      <c r="U533" t="s">
        <v>10471</v>
      </c>
      <c r="V533" t="s">
        <v>10472</v>
      </c>
      <c r="W533" t="s">
        <v>10473</v>
      </c>
      <c r="X533" t="s">
        <v>10474</v>
      </c>
      <c r="Y533" t="s">
        <v>10475</v>
      </c>
      <c r="Z533" t="s">
        <v>10476</v>
      </c>
      <c r="AA533" t="s">
        <v>10477</v>
      </c>
      <c r="AB533" t="s">
        <v>10478</v>
      </c>
      <c r="AC533" t="s">
        <v>10479</v>
      </c>
      <c r="AD533" t="s">
        <v>10480</v>
      </c>
      <c r="AE533" t="s">
        <v>10481</v>
      </c>
      <c r="AF533" t="s">
        <v>74</v>
      </c>
      <c r="AG533">
        <v>74</v>
      </c>
      <c r="AH533">
        <v>48</v>
      </c>
      <c r="AI533">
        <v>55</v>
      </c>
      <c r="AJ533">
        <v>16</v>
      </c>
      <c r="AK533">
        <v>136</v>
      </c>
      <c r="AL533" t="s">
        <v>434</v>
      </c>
      <c r="AM533" t="s">
        <v>435</v>
      </c>
      <c r="AN533" t="s">
        <v>436</v>
      </c>
      <c r="AO533" t="s">
        <v>5389</v>
      </c>
      <c r="AP533" t="s">
        <v>5390</v>
      </c>
      <c r="AQ533" t="s">
        <v>74</v>
      </c>
      <c r="AR533" t="s">
        <v>5391</v>
      </c>
      <c r="AS533" t="s">
        <v>5392</v>
      </c>
      <c r="AT533" t="s">
        <v>803</v>
      </c>
      <c r="AU533">
        <v>2020</v>
      </c>
      <c r="AV533">
        <v>135</v>
      </c>
      <c r="AW533" t="s">
        <v>74</v>
      </c>
      <c r="AX533" t="s">
        <v>74</v>
      </c>
      <c r="AY533" t="s">
        <v>74</v>
      </c>
      <c r="AZ533" t="s">
        <v>74</v>
      </c>
      <c r="BA533" t="s">
        <v>74</v>
      </c>
      <c r="BB533" t="s">
        <v>74</v>
      </c>
      <c r="BC533" t="s">
        <v>74</v>
      </c>
      <c r="BD533">
        <v>105307</v>
      </c>
      <c r="BE533" t="s">
        <v>10482</v>
      </c>
      <c r="BF533" t="str">
        <f>HYPERLINK("http://dx.doi.org/10.1016/j.envint.2019.105307","http://dx.doi.org/10.1016/j.envint.2019.105307")</f>
        <v>http://dx.doi.org/10.1016/j.envint.2019.105307</v>
      </c>
      <c r="BG533" t="s">
        <v>74</v>
      </c>
      <c r="BH533" t="s">
        <v>74</v>
      </c>
      <c r="BI533">
        <v>13</v>
      </c>
      <c r="BJ533" t="s">
        <v>1196</v>
      </c>
      <c r="BK533" t="s">
        <v>103</v>
      </c>
      <c r="BL533" t="s">
        <v>219</v>
      </c>
      <c r="BM533" t="s">
        <v>10483</v>
      </c>
      <c r="BN533">
        <v>31881429</v>
      </c>
      <c r="BO533" t="s">
        <v>2592</v>
      </c>
      <c r="BP533" t="s">
        <v>74</v>
      </c>
      <c r="BQ533" t="s">
        <v>74</v>
      </c>
      <c r="BR533" t="s">
        <v>106</v>
      </c>
      <c r="BS533" t="s">
        <v>10484</v>
      </c>
      <c r="BT533" t="str">
        <f>HYPERLINK("https%3A%2F%2Fwww.webofscience.com%2Fwos%2Fwoscc%2Ffull-record%2FWOS:000506229000034","View Full Record in Web of Science")</f>
        <v>View Full Record in Web of Science</v>
      </c>
    </row>
    <row r="534" spans="1:72" x14ac:dyDescent="0.15">
      <c r="A534" t="s">
        <v>72</v>
      </c>
      <c r="B534" t="s">
        <v>10485</v>
      </c>
      <c r="C534" t="s">
        <v>74</v>
      </c>
      <c r="D534" t="s">
        <v>74</v>
      </c>
      <c r="E534" t="s">
        <v>74</v>
      </c>
      <c r="F534" t="s">
        <v>10486</v>
      </c>
      <c r="G534" t="s">
        <v>74</v>
      </c>
      <c r="H534" t="s">
        <v>74</v>
      </c>
      <c r="I534" t="s">
        <v>10487</v>
      </c>
      <c r="J534" t="s">
        <v>5066</v>
      </c>
      <c r="K534" t="s">
        <v>74</v>
      </c>
      <c r="L534" t="s">
        <v>74</v>
      </c>
      <c r="M534" t="s">
        <v>78</v>
      </c>
      <c r="N534" t="s">
        <v>79</v>
      </c>
      <c r="O534" t="s">
        <v>74</v>
      </c>
      <c r="P534" t="s">
        <v>74</v>
      </c>
      <c r="Q534" t="s">
        <v>74</v>
      </c>
      <c r="R534" t="s">
        <v>74</v>
      </c>
      <c r="S534" t="s">
        <v>74</v>
      </c>
      <c r="T534" t="s">
        <v>10488</v>
      </c>
      <c r="U534" t="s">
        <v>10489</v>
      </c>
      <c r="V534" t="s">
        <v>10490</v>
      </c>
      <c r="W534" t="s">
        <v>10491</v>
      </c>
      <c r="X534" t="s">
        <v>10492</v>
      </c>
      <c r="Y534" t="s">
        <v>10493</v>
      </c>
      <c r="Z534" t="s">
        <v>10494</v>
      </c>
      <c r="AA534" t="s">
        <v>10495</v>
      </c>
      <c r="AB534" t="s">
        <v>10496</v>
      </c>
      <c r="AC534" t="s">
        <v>10497</v>
      </c>
      <c r="AD534" t="s">
        <v>10498</v>
      </c>
      <c r="AE534" t="s">
        <v>10499</v>
      </c>
      <c r="AF534" t="s">
        <v>74</v>
      </c>
      <c r="AG534">
        <v>91</v>
      </c>
      <c r="AH534">
        <v>11</v>
      </c>
      <c r="AI534">
        <v>11</v>
      </c>
      <c r="AJ534">
        <v>4</v>
      </c>
      <c r="AK534">
        <v>17</v>
      </c>
      <c r="AL534" t="s">
        <v>4084</v>
      </c>
      <c r="AM534" t="s">
        <v>4085</v>
      </c>
      <c r="AN534" t="s">
        <v>4086</v>
      </c>
      <c r="AO534" t="s">
        <v>5079</v>
      </c>
      <c r="AP534" t="s">
        <v>5080</v>
      </c>
      <c r="AQ534" t="s">
        <v>74</v>
      </c>
      <c r="AR534" t="s">
        <v>5081</v>
      </c>
      <c r="AS534" t="s">
        <v>5082</v>
      </c>
      <c r="AT534" t="s">
        <v>803</v>
      </c>
      <c r="AU534">
        <v>2020</v>
      </c>
      <c r="AV534">
        <v>33</v>
      </c>
      <c r="AW534">
        <v>3</v>
      </c>
      <c r="AX534" t="s">
        <v>74</v>
      </c>
      <c r="AY534" t="s">
        <v>74</v>
      </c>
      <c r="AZ534" t="s">
        <v>74</v>
      </c>
      <c r="BA534" t="s">
        <v>74</v>
      </c>
      <c r="BB534">
        <v>1121</v>
      </c>
      <c r="BC534">
        <v>1140</v>
      </c>
      <c r="BD534" t="s">
        <v>74</v>
      </c>
      <c r="BE534" t="s">
        <v>10500</v>
      </c>
      <c r="BF534" t="str">
        <f>HYPERLINK("http://dx.doi.org/10.1175/JCLI-D-19-0418.1","http://dx.doi.org/10.1175/JCLI-D-19-0418.1")</f>
        <v>http://dx.doi.org/10.1175/JCLI-D-19-0418.1</v>
      </c>
      <c r="BG534" t="s">
        <v>74</v>
      </c>
      <c r="BH534" t="s">
        <v>74</v>
      </c>
      <c r="BI534">
        <v>20</v>
      </c>
      <c r="BJ534" t="s">
        <v>907</v>
      </c>
      <c r="BK534" t="s">
        <v>103</v>
      </c>
      <c r="BL534" t="s">
        <v>907</v>
      </c>
      <c r="BM534" t="s">
        <v>10501</v>
      </c>
      <c r="BN534" t="s">
        <v>74</v>
      </c>
      <c r="BO534" t="s">
        <v>10502</v>
      </c>
      <c r="BP534" t="s">
        <v>74</v>
      </c>
      <c r="BQ534" t="s">
        <v>74</v>
      </c>
      <c r="BR534" t="s">
        <v>106</v>
      </c>
      <c r="BS534" t="s">
        <v>10503</v>
      </c>
      <c r="BT534" t="str">
        <f>HYPERLINK("https%3A%2F%2Fwww.webofscience.com%2Fwos%2Fwoscc%2Ffull-record%2FWOS:000506393000003","View Full Record in Web of Science")</f>
        <v>View Full Record in Web of Science</v>
      </c>
    </row>
    <row r="535" spans="1:72" x14ac:dyDescent="0.15">
      <c r="A535" t="s">
        <v>72</v>
      </c>
      <c r="B535" t="s">
        <v>10504</v>
      </c>
      <c r="C535" t="s">
        <v>74</v>
      </c>
      <c r="D535" t="s">
        <v>74</v>
      </c>
      <c r="E535" t="s">
        <v>74</v>
      </c>
      <c r="F535" t="s">
        <v>10505</v>
      </c>
      <c r="G535" t="s">
        <v>74</v>
      </c>
      <c r="H535" t="s">
        <v>74</v>
      </c>
      <c r="I535" t="s">
        <v>10506</v>
      </c>
      <c r="J535" t="s">
        <v>531</v>
      </c>
      <c r="K535" t="s">
        <v>74</v>
      </c>
      <c r="L535" t="s">
        <v>74</v>
      </c>
      <c r="M535" t="s">
        <v>78</v>
      </c>
      <c r="N535" t="s">
        <v>79</v>
      </c>
      <c r="O535" t="s">
        <v>74</v>
      </c>
      <c r="P535" t="s">
        <v>74</v>
      </c>
      <c r="Q535" t="s">
        <v>74</v>
      </c>
      <c r="R535" t="s">
        <v>74</v>
      </c>
      <c r="S535" t="s">
        <v>74</v>
      </c>
      <c r="T535" t="s">
        <v>10507</v>
      </c>
      <c r="U535" t="s">
        <v>10508</v>
      </c>
      <c r="V535" t="s">
        <v>10509</v>
      </c>
      <c r="W535" t="s">
        <v>10510</v>
      </c>
      <c r="X535" t="s">
        <v>74</v>
      </c>
      <c r="Y535" t="s">
        <v>10511</v>
      </c>
      <c r="Z535" t="s">
        <v>10512</v>
      </c>
      <c r="AA535" t="s">
        <v>9720</v>
      </c>
      <c r="AB535" t="s">
        <v>10513</v>
      </c>
      <c r="AC535" t="s">
        <v>10514</v>
      </c>
      <c r="AD535" t="s">
        <v>10515</v>
      </c>
      <c r="AE535" t="s">
        <v>10516</v>
      </c>
      <c r="AF535" t="s">
        <v>74</v>
      </c>
      <c r="AG535">
        <v>87</v>
      </c>
      <c r="AH535">
        <v>6</v>
      </c>
      <c r="AI535">
        <v>8</v>
      </c>
      <c r="AJ535">
        <v>0</v>
      </c>
      <c r="AK535">
        <v>16</v>
      </c>
      <c r="AL535" t="s">
        <v>544</v>
      </c>
      <c r="AM535" t="s">
        <v>545</v>
      </c>
      <c r="AN535" t="s">
        <v>546</v>
      </c>
      <c r="AO535" t="s">
        <v>547</v>
      </c>
      <c r="AP535" t="s">
        <v>548</v>
      </c>
      <c r="AQ535" t="s">
        <v>74</v>
      </c>
      <c r="AR535" t="s">
        <v>549</v>
      </c>
      <c r="AS535" t="s">
        <v>550</v>
      </c>
      <c r="AT535" t="s">
        <v>803</v>
      </c>
      <c r="AU535">
        <v>2020</v>
      </c>
      <c r="AV535">
        <v>106</v>
      </c>
      <c r="AW535" t="s">
        <v>74</v>
      </c>
      <c r="AX535" t="s">
        <v>74</v>
      </c>
      <c r="AY535" t="s">
        <v>74</v>
      </c>
      <c r="AZ535" t="s">
        <v>74</v>
      </c>
      <c r="BA535" t="s">
        <v>74</v>
      </c>
      <c r="BB535" t="s">
        <v>74</v>
      </c>
      <c r="BC535" t="s">
        <v>74</v>
      </c>
      <c r="BD535">
        <v>104215</v>
      </c>
      <c r="BE535" t="s">
        <v>10517</v>
      </c>
      <c r="BF535" t="str">
        <f>HYPERLINK("http://dx.doi.org/10.1016/j.cretres.2019.104215","http://dx.doi.org/10.1016/j.cretres.2019.104215")</f>
        <v>http://dx.doi.org/10.1016/j.cretres.2019.104215</v>
      </c>
      <c r="BG535" t="s">
        <v>74</v>
      </c>
      <c r="BH535" t="s">
        <v>74</v>
      </c>
      <c r="BI535">
        <v>10</v>
      </c>
      <c r="BJ535" t="s">
        <v>552</v>
      </c>
      <c r="BK535" t="s">
        <v>103</v>
      </c>
      <c r="BL535" t="s">
        <v>552</v>
      </c>
      <c r="BM535" t="s">
        <v>10518</v>
      </c>
      <c r="BN535" t="s">
        <v>74</v>
      </c>
      <c r="BO535" t="s">
        <v>74</v>
      </c>
      <c r="BP535" t="s">
        <v>74</v>
      </c>
      <c r="BQ535" t="s">
        <v>74</v>
      </c>
      <c r="BR535" t="s">
        <v>106</v>
      </c>
      <c r="BS535" t="s">
        <v>10519</v>
      </c>
      <c r="BT535" t="str">
        <f>HYPERLINK("https%3A%2F%2Fwww.webofscience.com%2Fwos%2Fwoscc%2Ffull-record%2FWOS:000503313100028","View Full Record in Web of Science")</f>
        <v>View Full Record in Web of Science</v>
      </c>
    </row>
    <row r="536" spans="1:72" x14ac:dyDescent="0.15">
      <c r="A536" t="s">
        <v>72</v>
      </c>
      <c r="B536" t="s">
        <v>10520</v>
      </c>
      <c r="C536" t="s">
        <v>74</v>
      </c>
      <c r="D536" t="s">
        <v>74</v>
      </c>
      <c r="E536" t="s">
        <v>74</v>
      </c>
      <c r="F536" t="s">
        <v>10521</v>
      </c>
      <c r="G536" t="s">
        <v>74</v>
      </c>
      <c r="H536" t="s">
        <v>74</v>
      </c>
      <c r="I536" t="s">
        <v>10522</v>
      </c>
      <c r="J536" t="s">
        <v>10523</v>
      </c>
      <c r="K536" t="s">
        <v>74</v>
      </c>
      <c r="L536" t="s">
        <v>74</v>
      </c>
      <c r="M536" t="s">
        <v>78</v>
      </c>
      <c r="N536" t="s">
        <v>79</v>
      </c>
      <c r="O536" t="s">
        <v>74</v>
      </c>
      <c r="P536" t="s">
        <v>74</v>
      </c>
      <c r="Q536" t="s">
        <v>74</v>
      </c>
      <c r="R536" t="s">
        <v>74</v>
      </c>
      <c r="S536" t="s">
        <v>74</v>
      </c>
      <c r="T536" t="s">
        <v>10524</v>
      </c>
      <c r="U536" t="s">
        <v>10525</v>
      </c>
      <c r="V536" t="s">
        <v>10526</v>
      </c>
      <c r="W536" t="s">
        <v>10527</v>
      </c>
      <c r="X536" t="s">
        <v>4166</v>
      </c>
      <c r="Y536" t="s">
        <v>10528</v>
      </c>
      <c r="Z536" t="s">
        <v>10529</v>
      </c>
      <c r="AA536" t="s">
        <v>10530</v>
      </c>
      <c r="AB536" t="s">
        <v>10531</v>
      </c>
      <c r="AC536" t="s">
        <v>10532</v>
      </c>
      <c r="AD536" t="s">
        <v>10533</v>
      </c>
      <c r="AE536" t="s">
        <v>10534</v>
      </c>
      <c r="AF536" t="s">
        <v>74</v>
      </c>
      <c r="AG536">
        <v>97</v>
      </c>
      <c r="AH536">
        <v>30</v>
      </c>
      <c r="AI536">
        <v>33</v>
      </c>
      <c r="AJ536">
        <v>2</v>
      </c>
      <c r="AK536">
        <v>54</v>
      </c>
      <c r="AL536" t="s">
        <v>289</v>
      </c>
      <c r="AM536" t="s">
        <v>290</v>
      </c>
      <c r="AN536" t="s">
        <v>291</v>
      </c>
      <c r="AO536" t="s">
        <v>10535</v>
      </c>
      <c r="AP536" t="s">
        <v>10536</v>
      </c>
      <c r="AQ536" t="s">
        <v>74</v>
      </c>
      <c r="AR536" t="s">
        <v>10523</v>
      </c>
      <c r="AS536" t="s">
        <v>10537</v>
      </c>
      <c r="AT536" t="s">
        <v>8137</v>
      </c>
      <c r="AU536">
        <v>2020</v>
      </c>
      <c r="AV536">
        <v>208</v>
      </c>
      <c r="AW536" t="s">
        <v>74</v>
      </c>
      <c r="AX536" t="s">
        <v>74</v>
      </c>
      <c r="AY536" t="s">
        <v>74</v>
      </c>
      <c r="AZ536" t="s">
        <v>74</v>
      </c>
      <c r="BA536" t="s">
        <v>74</v>
      </c>
      <c r="BB536" t="s">
        <v>74</v>
      </c>
      <c r="BC536" t="s">
        <v>74</v>
      </c>
      <c r="BD536">
        <v>120377</v>
      </c>
      <c r="BE536" t="s">
        <v>10538</v>
      </c>
      <c r="BF536" t="str">
        <f>HYPERLINK("http://dx.doi.org/10.1016/j.talanta.2019.120377","http://dx.doi.org/10.1016/j.talanta.2019.120377")</f>
        <v>http://dx.doi.org/10.1016/j.talanta.2019.120377</v>
      </c>
      <c r="BG536" t="s">
        <v>74</v>
      </c>
      <c r="BH536" t="s">
        <v>74</v>
      </c>
      <c r="BI536">
        <v>12</v>
      </c>
      <c r="BJ536" t="s">
        <v>10539</v>
      </c>
      <c r="BK536" t="s">
        <v>103</v>
      </c>
      <c r="BL536" t="s">
        <v>10540</v>
      </c>
      <c r="BM536" t="s">
        <v>10541</v>
      </c>
      <c r="BN536">
        <v>31816697</v>
      </c>
      <c r="BO536" t="s">
        <v>148</v>
      </c>
      <c r="BP536" t="s">
        <v>74</v>
      </c>
      <c r="BQ536" t="s">
        <v>74</v>
      </c>
      <c r="BR536" t="s">
        <v>106</v>
      </c>
      <c r="BS536" t="s">
        <v>10542</v>
      </c>
      <c r="BT536" t="str">
        <f>HYPERLINK("https%3A%2F%2Fwww.webofscience.com%2Fwos%2Fwoscc%2Ffull-record%2FWOS:000503314200030","View Full Record in Web of Science")</f>
        <v>View Full Record in Web of Science</v>
      </c>
    </row>
    <row r="537" spans="1:72" x14ac:dyDescent="0.15">
      <c r="A537" t="s">
        <v>72</v>
      </c>
      <c r="B537" t="s">
        <v>10543</v>
      </c>
      <c r="C537" t="s">
        <v>74</v>
      </c>
      <c r="D537" t="s">
        <v>74</v>
      </c>
      <c r="E537" t="s">
        <v>74</v>
      </c>
      <c r="F537" t="s">
        <v>10544</v>
      </c>
      <c r="G537" t="s">
        <v>74</v>
      </c>
      <c r="H537" t="s">
        <v>74</v>
      </c>
      <c r="I537" t="s">
        <v>10545</v>
      </c>
      <c r="J537" t="s">
        <v>10546</v>
      </c>
      <c r="K537" t="s">
        <v>74</v>
      </c>
      <c r="L537" t="s">
        <v>74</v>
      </c>
      <c r="M537" t="s">
        <v>78</v>
      </c>
      <c r="N537" t="s">
        <v>79</v>
      </c>
      <c r="O537" t="s">
        <v>74</v>
      </c>
      <c r="P537" t="s">
        <v>74</v>
      </c>
      <c r="Q537" t="s">
        <v>74</v>
      </c>
      <c r="R537" t="s">
        <v>74</v>
      </c>
      <c r="S537" t="s">
        <v>74</v>
      </c>
      <c r="T537" t="s">
        <v>10547</v>
      </c>
      <c r="U537" t="s">
        <v>10548</v>
      </c>
      <c r="V537" t="s">
        <v>10549</v>
      </c>
      <c r="W537" t="s">
        <v>10550</v>
      </c>
      <c r="X537" t="s">
        <v>10551</v>
      </c>
      <c r="Y537" t="s">
        <v>10552</v>
      </c>
      <c r="Z537" t="s">
        <v>10553</v>
      </c>
      <c r="AA537" t="s">
        <v>10554</v>
      </c>
      <c r="AB537" t="s">
        <v>10555</v>
      </c>
      <c r="AC537" t="s">
        <v>10556</v>
      </c>
      <c r="AD537" t="s">
        <v>10557</v>
      </c>
      <c r="AE537" t="s">
        <v>10558</v>
      </c>
      <c r="AF537" t="s">
        <v>74</v>
      </c>
      <c r="AG537">
        <v>62</v>
      </c>
      <c r="AH537">
        <v>11</v>
      </c>
      <c r="AI537">
        <v>11</v>
      </c>
      <c r="AJ537">
        <v>1</v>
      </c>
      <c r="AK537">
        <v>32</v>
      </c>
      <c r="AL537" t="s">
        <v>4959</v>
      </c>
      <c r="AM537" t="s">
        <v>435</v>
      </c>
      <c r="AN537" t="s">
        <v>4960</v>
      </c>
      <c r="AO537" t="s">
        <v>10559</v>
      </c>
      <c r="AP537" t="s">
        <v>10560</v>
      </c>
      <c r="AQ537" t="s">
        <v>74</v>
      </c>
      <c r="AR537" t="s">
        <v>10561</v>
      </c>
      <c r="AS537" t="s">
        <v>10562</v>
      </c>
      <c r="AT537" t="s">
        <v>803</v>
      </c>
      <c r="AU537">
        <v>2020</v>
      </c>
      <c r="AV537">
        <v>43</v>
      </c>
      <c r="AW537" t="s">
        <v>74</v>
      </c>
      <c r="AX537" t="s">
        <v>74</v>
      </c>
      <c r="AY537" t="s">
        <v>74</v>
      </c>
      <c r="AZ537" t="s">
        <v>74</v>
      </c>
      <c r="BA537" t="s">
        <v>74</v>
      </c>
      <c r="BB537" t="s">
        <v>74</v>
      </c>
      <c r="BC537" t="s">
        <v>74</v>
      </c>
      <c r="BD537">
        <v>100873</v>
      </c>
      <c r="BE537" t="s">
        <v>10563</v>
      </c>
      <c r="BF537" t="str">
        <f>HYPERLINK("http://dx.doi.org/10.1016/j.funeco.2019.100873","http://dx.doi.org/10.1016/j.funeco.2019.100873")</f>
        <v>http://dx.doi.org/10.1016/j.funeco.2019.100873</v>
      </c>
      <c r="BG537" t="s">
        <v>74</v>
      </c>
      <c r="BH537" t="s">
        <v>74</v>
      </c>
      <c r="BI537">
        <v>9</v>
      </c>
      <c r="BJ537" t="s">
        <v>10564</v>
      </c>
      <c r="BK537" t="s">
        <v>103</v>
      </c>
      <c r="BL537" t="s">
        <v>10565</v>
      </c>
      <c r="BM537" t="s">
        <v>10566</v>
      </c>
      <c r="BN537" t="s">
        <v>74</v>
      </c>
      <c r="BO537" t="s">
        <v>74</v>
      </c>
      <c r="BP537" t="s">
        <v>74</v>
      </c>
      <c r="BQ537" t="s">
        <v>74</v>
      </c>
      <c r="BR537" t="s">
        <v>106</v>
      </c>
      <c r="BS537" t="s">
        <v>10567</v>
      </c>
      <c r="BT537" t="str">
        <f>HYPERLINK("https%3A%2F%2Fwww.webofscience.com%2Fwos%2Fwoscc%2Ffull-record%2FWOS:000501399600004","View Full Record in Web of Science")</f>
        <v>View Full Record in Web of Science</v>
      </c>
    </row>
    <row r="538" spans="1:72" x14ac:dyDescent="0.15">
      <c r="A538" t="s">
        <v>72</v>
      </c>
      <c r="B538" t="s">
        <v>10568</v>
      </c>
      <c r="C538" t="s">
        <v>74</v>
      </c>
      <c r="D538" t="s">
        <v>74</v>
      </c>
      <c r="E538" t="s">
        <v>74</v>
      </c>
      <c r="F538" t="s">
        <v>10569</v>
      </c>
      <c r="G538" t="s">
        <v>74</v>
      </c>
      <c r="H538" t="s">
        <v>74</v>
      </c>
      <c r="I538" t="s">
        <v>10570</v>
      </c>
      <c r="J538" t="s">
        <v>9241</v>
      </c>
      <c r="K538" t="s">
        <v>74</v>
      </c>
      <c r="L538" t="s">
        <v>74</v>
      </c>
      <c r="M538" t="s">
        <v>78</v>
      </c>
      <c r="N538" t="s">
        <v>79</v>
      </c>
      <c r="O538" t="s">
        <v>74</v>
      </c>
      <c r="P538" t="s">
        <v>74</v>
      </c>
      <c r="Q538" t="s">
        <v>74</v>
      </c>
      <c r="R538" t="s">
        <v>74</v>
      </c>
      <c r="S538" t="s">
        <v>74</v>
      </c>
      <c r="T538" t="s">
        <v>10571</v>
      </c>
      <c r="U538" t="s">
        <v>10572</v>
      </c>
      <c r="V538" t="s">
        <v>10573</v>
      </c>
      <c r="W538" t="s">
        <v>10574</v>
      </c>
      <c r="X538" t="s">
        <v>10575</v>
      </c>
      <c r="Y538" t="s">
        <v>10576</v>
      </c>
      <c r="Z538" t="s">
        <v>10577</v>
      </c>
      <c r="AA538" t="s">
        <v>10578</v>
      </c>
      <c r="AB538" t="s">
        <v>10579</v>
      </c>
      <c r="AC538" t="s">
        <v>10580</v>
      </c>
      <c r="AD538" t="s">
        <v>10581</v>
      </c>
      <c r="AE538" t="s">
        <v>10582</v>
      </c>
      <c r="AF538" t="s">
        <v>74</v>
      </c>
      <c r="AG538">
        <v>49</v>
      </c>
      <c r="AH538">
        <v>5</v>
      </c>
      <c r="AI538">
        <v>5</v>
      </c>
      <c r="AJ538">
        <v>0</v>
      </c>
      <c r="AK538">
        <v>65</v>
      </c>
      <c r="AL538" t="s">
        <v>434</v>
      </c>
      <c r="AM538" t="s">
        <v>435</v>
      </c>
      <c r="AN538" t="s">
        <v>436</v>
      </c>
      <c r="AO538" t="s">
        <v>9253</v>
      </c>
      <c r="AP538" t="s">
        <v>9254</v>
      </c>
      <c r="AQ538" t="s">
        <v>74</v>
      </c>
      <c r="AR538" t="s">
        <v>9241</v>
      </c>
      <c r="AS538" t="s">
        <v>9255</v>
      </c>
      <c r="AT538" t="s">
        <v>803</v>
      </c>
      <c r="AU538">
        <v>2020</v>
      </c>
      <c r="AV538">
        <v>240</v>
      </c>
      <c r="AW538" t="s">
        <v>74</v>
      </c>
      <c r="AX538" t="s">
        <v>74</v>
      </c>
      <c r="AY538" t="s">
        <v>74</v>
      </c>
      <c r="AZ538" t="s">
        <v>74</v>
      </c>
      <c r="BA538" t="s">
        <v>74</v>
      </c>
      <c r="BB538" t="s">
        <v>74</v>
      </c>
      <c r="BC538" t="s">
        <v>74</v>
      </c>
      <c r="BD538">
        <v>124938</v>
      </c>
      <c r="BE538" t="s">
        <v>10583</v>
      </c>
      <c r="BF538" t="str">
        <f>HYPERLINK("http://dx.doi.org/10.1016/j.chemosphere.2019.124938","http://dx.doi.org/10.1016/j.chemosphere.2019.124938")</f>
        <v>http://dx.doi.org/10.1016/j.chemosphere.2019.124938</v>
      </c>
      <c r="BG538" t="s">
        <v>74</v>
      </c>
      <c r="BH538" t="s">
        <v>74</v>
      </c>
      <c r="BI538">
        <v>9</v>
      </c>
      <c r="BJ538" t="s">
        <v>1196</v>
      </c>
      <c r="BK538" t="s">
        <v>103</v>
      </c>
      <c r="BL538" t="s">
        <v>219</v>
      </c>
      <c r="BM538" t="s">
        <v>10584</v>
      </c>
      <c r="BN538">
        <v>31574444</v>
      </c>
      <c r="BO538" t="s">
        <v>694</v>
      </c>
      <c r="BP538" t="s">
        <v>74</v>
      </c>
      <c r="BQ538" t="s">
        <v>74</v>
      </c>
      <c r="BR538" t="s">
        <v>106</v>
      </c>
      <c r="BS538" t="s">
        <v>10585</v>
      </c>
      <c r="BT538" t="str">
        <f>HYPERLINK("https%3A%2F%2Fwww.webofscience.com%2Fwos%2Fwoscc%2Ffull-record%2FWOS:000497600800029","View Full Record in Web of Science")</f>
        <v>View Full Record in Web of Science</v>
      </c>
    </row>
    <row r="539" spans="1:72" x14ac:dyDescent="0.15">
      <c r="A539" t="s">
        <v>72</v>
      </c>
      <c r="B539" t="s">
        <v>10586</v>
      </c>
      <c r="C539" t="s">
        <v>74</v>
      </c>
      <c r="D539" t="s">
        <v>74</v>
      </c>
      <c r="E539" t="s">
        <v>74</v>
      </c>
      <c r="F539" t="s">
        <v>10587</v>
      </c>
      <c r="G539" t="s">
        <v>74</v>
      </c>
      <c r="H539" t="s">
        <v>74</v>
      </c>
      <c r="I539" t="s">
        <v>10588</v>
      </c>
      <c r="J539" t="s">
        <v>940</v>
      </c>
      <c r="K539" t="s">
        <v>74</v>
      </c>
      <c r="L539" t="s">
        <v>74</v>
      </c>
      <c r="M539" t="s">
        <v>78</v>
      </c>
      <c r="N539" t="s">
        <v>1226</v>
      </c>
      <c r="O539" t="s">
        <v>74</v>
      </c>
      <c r="P539" t="s">
        <v>74</v>
      </c>
      <c r="Q539" t="s">
        <v>74</v>
      </c>
      <c r="R539" t="s">
        <v>74</v>
      </c>
      <c r="S539" t="s">
        <v>74</v>
      </c>
      <c r="T539" t="s">
        <v>74</v>
      </c>
      <c r="U539" t="s">
        <v>74</v>
      </c>
      <c r="V539" t="s">
        <v>2517</v>
      </c>
      <c r="W539" t="s">
        <v>74</v>
      </c>
      <c r="X539" t="s">
        <v>74</v>
      </c>
      <c r="Y539" t="s">
        <v>74</v>
      </c>
      <c r="Z539" t="s">
        <v>10589</v>
      </c>
      <c r="AA539" t="s">
        <v>10590</v>
      </c>
      <c r="AB539" t="s">
        <v>10591</v>
      </c>
      <c r="AC539" t="s">
        <v>74</v>
      </c>
      <c r="AD539" t="s">
        <v>74</v>
      </c>
      <c r="AE539" t="s">
        <v>74</v>
      </c>
      <c r="AF539" t="s">
        <v>74</v>
      </c>
      <c r="AG539">
        <v>1</v>
      </c>
      <c r="AH539">
        <v>1</v>
      </c>
      <c r="AI539">
        <v>1</v>
      </c>
      <c r="AJ539">
        <v>4</v>
      </c>
      <c r="AK539">
        <v>12</v>
      </c>
      <c r="AL539" t="s">
        <v>753</v>
      </c>
      <c r="AM539" t="s">
        <v>545</v>
      </c>
      <c r="AN539" t="s">
        <v>1097</v>
      </c>
      <c r="AO539" t="s">
        <v>954</v>
      </c>
      <c r="AP539" t="s">
        <v>74</v>
      </c>
      <c r="AQ539" t="s">
        <v>74</v>
      </c>
      <c r="AR539" t="s">
        <v>955</v>
      </c>
      <c r="AS539" t="s">
        <v>956</v>
      </c>
      <c r="AT539" t="s">
        <v>10592</v>
      </c>
      <c r="AU539">
        <v>2020</v>
      </c>
      <c r="AV539">
        <v>10</v>
      </c>
      <c r="AW539">
        <v>1</v>
      </c>
      <c r="AX539" t="s">
        <v>74</v>
      </c>
      <c r="AY539" t="s">
        <v>74</v>
      </c>
      <c r="AZ539" t="s">
        <v>74</v>
      </c>
      <c r="BA539" t="s">
        <v>74</v>
      </c>
      <c r="BB539" t="s">
        <v>74</v>
      </c>
      <c r="BC539" t="s">
        <v>74</v>
      </c>
      <c r="BD539">
        <v>1923</v>
      </c>
      <c r="BE539" t="s">
        <v>10593</v>
      </c>
      <c r="BF539" t="str">
        <f>HYPERLINK("http://dx.doi.org/10.1038/s41598-020-58950-3","http://dx.doi.org/10.1038/s41598-020-58950-3")</f>
        <v>http://dx.doi.org/10.1038/s41598-020-58950-3</v>
      </c>
      <c r="BG539" t="s">
        <v>74</v>
      </c>
      <c r="BH539" t="s">
        <v>74</v>
      </c>
      <c r="BI539">
        <v>1</v>
      </c>
      <c r="BJ539" t="s">
        <v>322</v>
      </c>
      <c r="BK539" t="s">
        <v>103</v>
      </c>
      <c r="BL539" t="s">
        <v>323</v>
      </c>
      <c r="BM539" t="s">
        <v>10594</v>
      </c>
      <c r="BN539">
        <v>32001806</v>
      </c>
      <c r="BO539" t="s">
        <v>1359</v>
      </c>
      <c r="BP539" t="s">
        <v>74</v>
      </c>
      <c r="BQ539" t="s">
        <v>74</v>
      </c>
      <c r="BR539" t="s">
        <v>106</v>
      </c>
      <c r="BS539" t="s">
        <v>10595</v>
      </c>
      <c r="BT539" t="str">
        <f>HYPERLINK("https%3A%2F%2Fwww.webofscience.com%2Fwos%2Fwoscc%2Ffull-record%2FWOS:000560419000001","View Full Record in Web of Science")</f>
        <v>View Full Record in Web of Science</v>
      </c>
    </row>
    <row r="540" spans="1:72" x14ac:dyDescent="0.15">
      <c r="A540" t="s">
        <v>72</v>
      </c>
      <c r="B540" t="s">
        <v>10596</v>
      </c>
      <c r="C540" t="s">
        <v>74</v>
      </c>
      <c r="D540" t="s">
        <v>74</v>
      </c>
      <c r="E540" t="s">
        <v>74</v>
      </c>
      <c r="F540" t="s">
        <v>10597</v>
      </c>
      <c r="G540" t="s">
        <v>74</v>
      </c>
      <c r="H540" t="s">
        <v>74</v>
      </c>
      <c r="I540" t="s">
        <v>10598</v>
      </c>
      <c r="J540" t="s">
        <v>10599</v>
      </c>
      <c r="K540" t="s">
        <v>74</v>
      </c>
      <c r="L540" t="s">
        <v>74</v>
      </c>
      <c r="M540" t="s">
        <v>78</v>
      </c>
      <c r="N540" t="s">
        <v>79</v>
      </c>
      <c r="O540" t="s">
        <v>74</v>
      </c>
      <c r="P540" t="s">
        <v>74</v>
      </c>
      <c r="Q540" t="s">
        <v>74</v>
      </c>
      <c r="R540" t="s">
        <v>74</v>
      </c>
      <c r="S540" t="s">
        <v>74</v>
      </c>
      <c r="T540" t="s">
        <v>10600</v>
      </c>
      <c r="U540" t="s">
        <v>10601</v>
      </c>
      <c r="V540" t="s">
        <v>10602</v>
      </c>
      <c r="W540" t="s">
        <v>10603</v>
      </c>
      <c r="X540" t="s">
        <v>3019</v>
      </c>
      <c r="Y540" t="s">
        <v>10604</v>
      </c>
      <c r="Z540" t="s">
        <v>10605</v>
      </c>
      <c r="AA540" t="s">
        <v>10606</v>
      </c>
      <c r="AB540" t="s">
        <v>10607</v>
      </c>
      <c r="AC540" t="s">
        <v>74</v>
      </c>
      <c r="AD540" t="s">
        <v>74</v>
      </c>
      <c r="AE540" t="s">
        <v>74</v>
      </c>
      <c r="AF540" t="s">
        <v>74</v>
      </c>
      <c r="AG540">
        <v>51</v>
      </c>
      <c r="AH540">
        <v>3</v>
      </c>
      <c r="AI540">
        <v>3</v>
      </c>
      <c r="AJ540">
        <v>0</v>
      </c>
      <c r="AK540">
        <v>5</v>
      </c>
      <c r="AL540" t="s">
        <v>211</v>
      </c>
      <c r="AM540" t="s">
        <v>212</v>
      </c>
      <c r="AN540" t="s">
        <v>213</v>
      </c>
      <c r="AO540" t="s">
        <v>10608</v>
      </c>
      <c r="AP540" t="s">
        <v>10609</v>
      </c>
      <c r="AQ540" t="s">
        <v>74</v>
      </c>
      <c r="AR540" t="s">
        <v>10610</v>
      </c>
      <c r="AS540" t="s">
        <v>10611</v>
      </c>
      <c r="AT540" t="s">
        <v>2912</v>
      </c>
      <c r="AU540">
        <v>2020</v>
      </c>
      <c r="AV540">
        <v>281</v>
      </c>
      <c r="AW540">
        <v>3</v>
      </c>
      <c r="AX540" t="s">
        <v>74</v>
      </c>
      <c r="AY540" t="s">
        <v>74</v>
      </c>
      <c r="AZ540" t="s">
        <v>74</v>
      </c>
      <c r="BA540" t="s">
        <v>74</v>
      </c>
      <c r="BB540">
        <v>402</v>
      </c>
      <c r="BC540">
        <v>412</v>
      </c>
      <c r="BD540" t="s">
        <v>74</v>
      </c>
      <c r="BE540" t="s">
        <v>10612</v>
      </c>
      <c r="BF540" t="str">
        <f>HYPERLINK("http://dx.doi.org/10.1002/jmor.21107","http://dx.doi.org/10.1002/jmor.21107")</f>
        <v>http://dx.doi.org/10.1002/jmor.21107</v>
      </c>
      <c r="BG540" t="s">
        <v>74</v>
      </c>
      <c r="BH540" t="s">
        <v>10613</v>
      </c>
      <c r="BI540">
        <v>11</v>
      </c>
      <c r="BJ540" t="s">
        <v>10614</v>
      </c>
      <c r="BK540" t="s">
        <v>103</v>
      </c>
      <c r="BL540" t="s">
        <v>10614</v>
      </c>
      <c r="BM540" t="s">
        <v>10615</v>
      </c>
      <c r="BN540">
        <v>32003486</v>
      </c>
      <c r="BO540" t="s">
        <v>74</v>
      </c>
      <c r="BP540" t="s">
        <v>74</v>
      </c>
      <c r="BQ540" t="s">
        <v>74</v>
      </c>
      <c r="BR540" t="s">
        <v>106</v>
      </c>
      <c r="BS540" t="s">
        <v>10616</v>
      </c>
      <c r="BT540" t="str">
        <f>HYPERLINK("https%3A%2F%2Fwww.webofscience.com%2Fwos%2Fwoscc%2Ffull-record%2FWOS:000510254000001","View Full Record in Web of Science")</f>
        <v>View Full Record in Web of Science</v>
      </c>
    </row>
    <row r="541" spans="1:72" x14ac:dyDescent="0.15">
      <c r="A541" t="s">
        <v>72</v>
      </c>
      <c r="B541" t="s">
        <v>10617</v>
      </c>
      <c r="C541" t="s">
        <v>74</v>
      </c>
      <c r="D541" t="s">
        <v>74</v>
      </c>
      <c r="E541" t="s">
        <v>74</v>
      </c>
      <c r="F541" t="s">
        <v>10618</v>
      </c>
      <c r="G541" t="s">
        <v>74</v>
      </c>
      <c r="H541" t="s">
        <v>74</v>
      </c>
      <c r="I541" t="s">
        <v>10619</v>
      </c>
      <c r="J541" t="s">
        <v>940</v>
      </c>
      <c r="K541" t="s">
        <v>74</v>
      </c>
      <c r="L541" t="s">
        <v>74</v>
      </c>
      <c r="M541" t="s">
        <v>78</v>
      </c>
      <c r="N541" t="s">
        <v>79</v>
      </c>
      <c r="O541" t="s">
        <v>74</v>
      </c>
      <c r="P541" t="s">
        <v>74</v>
      </c>
      <c r="Q541" t="s">
        <v>74</v>
      </c>
      <c r="R541" t="s">
        <v>74</v>
      </c>
      <c r="S541" t="s">
        <v>74</v>
      </c>
      <c r="T541" t="s">
        <v>74</v>
      </c>
      <c r="U541" t="s">
        <v>10620</v>
      </c>
      <c r="V541" t="s">
        <v>10621</v>
      </c>
      <c r="W541" t="s">
        <v>10622</v>
      </c>
      <c r="X541" t="s">
        <v>10623</v>
      </c>
      <c r="Y541" t="s">
        <v>10624</v>
      </c>
      <c r="Z541" t="s">
        <v>10625</v>
      </c>
      <c r="AA541" t="s">
        <v>10626</v>
      </c>
      <c r="AB541" t="s">
        <v>10627</v>
      </c>
      <c r="AC541" t="s">
        <v>10628</v>
      </c>
      <c r="AD541" t="s">
        <v>10629</v>
      </c>
      <c r="AE541" t="s">
        <v>10630</v>
      </c>
      <c r="AF541" t="s">
        <v>74</v>
      </c>
      <c r="AG541">
        <v>44</v>
      </c>
      <c r="AH541">
        <v>45</v>
      </c>
      <c r="AI541">
        <v>45</v>
      </c>
      <c r="AJ541">
        <v>2</v>
      </c>
      <c r="AK541">
        <v>8</v>
      </c>
      <c r="AL541" t="s">
        <v>753</v>
      </c>
      <c r="AM541" t="s">
        <v>545</v>
      </c>
      <c r="AN541" t="s">
        <v>1097</v>
      </c>
      <c r="AO541" t="s">
        <v>954</v>
      </c>
      <c r="AP541" t="s">
        <v>74</v>
      </c>
      <c r="AQ541" t="s">
        <v>74</v>
      </c>
      <c r="AR541" t="s">
        <v>955</v>
      </c>
      <c r="AS541" t="s">
        <v>956</v>
      </c>
      <c r="AT541" t="s">
        <v>10592</v>
      </c>
      <c r="AU541">
        <v>2020</v>
      </c>
      <c r="AV541">
        <v>10</v>
      </c>
      <c r="AW541">
        <v>1</v>
      </c>
      <c r="AX541" t="s">
        <v>74</v>
      </c>
      <c r="AY541" t="s">
        <v>74</v>
      </c>
      <c r="AZ541" t="s">
        <v>74</v>
      </c>
      <c r="BA541" t="s">
        <v>74</v>
      </c>
      <c r="BB541" t="s">
        <v>74</v>
      </c>
      <c r="BC541" t="s">
        <v>74</v>
      </c>
      <c r="BD541">
        <v>1639</v>
      </c>
      <c r="BE541" t="s">
        <v>10631</v>
      </c>
      <c r="BF541" t="str">
        <f>HYPERLINK("http://dx.doi.org/10.1038/s41598-020-58561-y","http://dx.doi.org/10.1038/s41598-020-58561-y")</f>
        <v>http://dx.doi.org/10.1038/s41598-020-58561-y</v>
      </c>
      <c r="BG541" t="s">
        <v>74</v>
      </c>
      <c r="BH541" t="s">
        <v>74</v>
      </c>
      <c r="BI541">
        <v>9</v>
      </c>
      <c r="BJ541" t="s">
        <v>322</v>
      </c>
      <c r="BK541" t="s">
        <v>103</v>
      </c>
      <c r="BL541" t="s">
        <v>323</v>
      </c>
      <c r="BM541" t="s">
        <v>10632</v>
      </c>
      <c r="BN541">
        <v>32005904</v>
      </c>
      <c r="BO541" t="s">
        <v>1805</v>
      </c>
      <c r="BP541" t="s">
        <v>74</v>
      </c>
      <c r="BQ541" t="s">
        <v>74</v>
      </c>
      <c r="BR541" t="s">
        <v>106</v>
      </c>
      <c r="BS541" t="s">
        <v>10633</v>
      </c>
      <c r="BT541" t="str">
        <f>HYPERLINK("https%3A%2F%2Fwww.webofscience.com%2Fwos%2Fwoscc%2Ffull-record%2FWOS:000562879400006","View Full Record in Web of Science")</f>
        <v>View Full Record in Web of Science</v>
      </c>
    </row>
    <row r="542" spans="1:72" x14ac:dyDescent="0.15">
      <c r="A542" t="s">
        <v>72</v>
      </c>
      <c r="B542" t="s">
        <v>10634</v>
      </c>
      <c r="C542" t="s">
        <v>74</v>
      </c>
      <c r="D542" t="s">
        <v>74</v>
      </c>
      <c r="E542" t="s">
        <v>74</v>
      </c>
      <c r="F542" t="s">
        <v>10635</v>
      </c>
      <c r="G542" t="s">
        <v>74</v>
      </c>
      <c r="H542" t="s">
        <v>74</v>
      </c>
      <c r="I542" t="s">
        <v>10636</v>
      </c>
      <c r="J542" t="s">
        <v>940</v>
      </c>
      <c r="K542" t="s">
        <v>74</v>
      </c>
      <c r="L542" t="s">
        <v>74</v>
      </c>
      <c r="M542" t="s">
        <v>78</v>
      </c>
      <c r="N542" t="s">
        <v>1226</v>
      </c>
      <c r="O542" t="s">
        <v>74</v>
      </c>
      <c r="P542" t="s">
        <v>74</v>
      </c>
      <c r="Q542" t="s">
        <v>74</v>
      </c>
      <c r="R542" t="s">
        <v>74</v>
      </c>
      <c r="S542" t="s">
        <v>74</v>
      </c>
      <c r="T542" t="s">
        <v>74</v>
      </c>
      <c r="U542" t="s">
        <v>74</v>
      </c>
      <c r="V542" t="s">
        <v>74</v>
      </c>
      <c r="W542" t="s">
        <v>74</v>
      </c>
      <c r="X542" t="s">
        <v>74</v>
      </c>
      <c r="Y542" t="s">
        <v>74</v>
      </c>
      <c r="Z542" t="s">
        <v>10637</v>
      </c>
      <c r="AA542" t="s">
        <v>10638</v>
      </c>
      <c r="AB542" t="s">
        <v>10639</v>
      </c>
      <c r="AC542" t="s">
        <v>74</v>
      </c>
      <c r="AD542" t="s">
        <v>74</v>
      </c>
      <c r="AE542" t="s">
        <v>74</v>
      </c>
      <c r="AF542" t="s">
        <v>74</v>
      </c>
      <c r="AG542">
        <v>1</v>
      </c>
      <c r="AH542">
        <v>1</v>
      </c>
      <c r="AI542">
        <v>1</v>
      </c>
      <c r="AJ542">
        <v>0</v>
      </c>
      <c r="AK542">
        <v>6</v>
      </c>
      <c r="AL542" t="s">
        <v>753</v>
      </c>
      <c r="AM542" t="s">
        <v>545</v>
      </c>
      <c r="AN542" t="s">
        <v>1097</v>
      </c>
      <c r="AO542" t="s">
        <v>954</v>
      </c>
      <c r="AP542" t="s">
        <v>74</v>
      </c>
      <c r="AQ542" t="s">
        <v>74</v>
      </c>
      <c r="AR542" t="s">
        <v>955</v>
      </c>
      <c r="AS542" t="s">
        <v>956</v>
      </c>
      <c r="AT542" t="s">
        <v>10640</v>
      </c>
      <c r="AU542">
        <v>2020</v>
      </c>
      <c r="AV542">
        <v>10</v>
      </c>
      <c r="AW542">
        <v>1</v>
      </c>
      <c r="AX542" t="s">
        <v>74</v>
      </c>
      <c r="AY542" t="s">
        <v>74</v>
      </c>
      <c r="AZ542" t="s">
        <v>74</v>
      </c>
      <c r="BA542" t="s">
        <v>74</v>
      </c>
      <c r="BB542" t="s">
        <v>74</v>
      </c>
      <c r="BC542" t="s">
        <v>74</v>
      </c>
      <c r="BD542">
        <v>1831</v>
      </c>
      <c r="BE542" t="s">
        <v>10641</v>
      </c>
      <c r="BF542" t="str">
        <f>HYPERLINK("http://dx.doi.org/10.1038/s41598-020-58516-3","http://dx.doi.org/10.1038/s41598-020-58516-3")</f>
        <v>http://dx.doi.org/10.1038/s41598-020-58516-3</v>
      </c>
      <c r="BG542" t="s">
        <v>74</v>
      </c>
      <c r="BH542" t="s">
        <v>74</v>
      </c>
      <c r="BI542">
        <v>3</v>
      </c>
      <c r="BJ542" t="s">
        <v>322</v>
      </c>
      <c r="BK542" t="s">
        <v>103</v>
      </c>
      <c r="BL542" t="s">
        <v>323</v>
      </c>
      <c r="BM542" t="s">
        <v>10642</v>
      </c>
      <c r="BN542">
        <v>31996753</v>
      </c>
      <c r="BO542" t="s">
        <v>1359</v>
      </c>
      <c r="BP542" t="s">
        <v>74</v>
      </c>
      <c r="BQ542" t="s">
        <v>74</v>
      </c>
      <c r="BR542" t="s">
        <v>106</v>
      </c>
      <c r="BS542" t="s">
        <v>10643</v>
      </c>
      <c r="BT542" t="str">
        <f>HYPERLINK("https%3A%2F%2Fwww.webofscience.com%2Fwos%2Fwoscc%2Ffull-record%2FWOS:000528734000002","View Full Record in Web of Science")</f>
        <v>View Full Record in Web of Science</v>
      </c>
    </row>
    <row r="543" spans="1:72" x14ac:dyDescent="0.15">
      <c r="A543" t="s">
        <v>72</v>
      </c>
      <c r="B543" t="s">
        <v>10644</v>
      </c>
      <c r="C543" t="s">
        <v>74</v>
      </c>
      <c r="D543" t="s">
        <v>74</v>
      </c>
      <c r="E543" t="s">
        <v>74</v>
      </c>
      <c r="F543" t="s">
        <v>10645</v>
      </c>
      <c r="G543" t="s">
        <v>74</v>
      </c>
      <c r="H543" t="s">
        <v>74</v>
      </c>
      <c r="I543" t="s">
        <v>10646</v>
      </c>
      <c r="J543" t="s">
        <v>10647</v>
      </c>
      <c r="K543" t="s">
        <v>74</v>
      </c>
      <c r="L543" t="s">
        <v>74</v>
      </c>
      <c r="M543" t="s">
        <v>78</v>
      </c>
      <c r="N543" t="s">
        <v>79</v>
      </c>
      <c r="O543" t="s">
        <v>74</v>
      </c>
      <c r="P543" t="s">
        <v>74</v>
      </c>
      <c r="Q543" t="s">
        <v>74</v>
      </c>
      <c r="R543" t="s">
        <v>74</v>
      </c>
      <c r="S543" t="s">
        <v>74</v>
      </c>
      <c r="T543" t="s">
        <v>10648</v>
      </c>
      <c r="U543" t="s">
        <v>10649</v>
      </c>
      <c r="V543" t="s">
        <v>10650</v>
      </c>
      <c r="W543" t="s">
        <v>10651</v>
      </c>
      <c r="X543" t="s">
        <v>10652</v>
      </c>
      <c r="Y543" t="s">
        <v>10653</v>
      </c>
      <c r="Z543" t="s">
        <v>10654</v>
      </c>
      <c r="AA543" t="s">
        <v>10655</v>
      </c>
      <c r="AB543" t="s">
        <v>10656</v>
      </c>
      <c r="AC543" t="s">
        <v>10657</v>
      </c>
      <c r="AD543" t="s">
        <v>10658</v>
      </c>
      <c r="AE543" t="s">
        <v>10659</v>
      </c>
      <c r="AF543" t="s">
        <v>74</v>
      </c>
      <c r="AG543">
        <v>79</v>
      </c>
      <c r="AH543">
        <v>3</v>
      </c>
      <c r="AI543">
        <v>3</v>
      </c>
      <c r="AJ543">
        <v>1</v>
      </c>
      <c r="AK543">
        <v>25</v>
      </c>
      <c r="AL543" t="s">
        <v>211</v>
      </c>
      <c r="AM543" t="s">
        <v>212</v>
      </c>
      <c r="AN543" t="s">
        <v>213</v>
      </c>
      <c r="AO543" t="s">
        <v>10660</v>
      </c>
      <c r="AP543" t="s">
        <v>10661</v>
      </c>
      <c r="AQ543" t="s">
        <v>74</v>
      </c>
      <c r="AR543" t="s">
        <v>10662</v>
      </c>
      <c r="AS543" t="s">
        <v>10663</v>
      </c>
      <c r="AT543" t="s">
        <v>128</v>
      </c>
      <c r="AU543">
        <v>2020</v>
      </c>
      <c r="AV543">
        <v>30</v>
      </c>
      <c r="AW543">
        <v>3</v>
      </c>
      <c r="AX543" t="s">
        <v>74</v>
      </c>
      <c r="AY543" t="s">
        <v>74</v>
      </c>
      <c r="AZ543" t="s">
        <v>74</v>
      </c>
      <c r="BA543" t="s">
        <v>74</v>
      </c>
      <c r="BB543" t="s">
        <v>74</v>
      </c>
      <c r="BC543" t="s">
        <v>74</v>
      </c>
      <c r="BD543" t="s">
        <v>74</v>
      </c>
      <c r="BE543" t="s">
        <v>10664</v>
      </c>
      <c r="BF543" t="str">
        <f>HYPERLINK("http://dx.doi.org/10.1002/eap.2065","http://dx.doi.org/10.1002/eap.2065")</f>
        <v>http://dx.doi.org/10.1002/eap.2065</v>
      </c>
      <c r="BG543" t="s">
        <v>74</v>
      </c>
      <c r="BH543" t="s">
        <v>10613</v>
      </c>
      <c r="BI543">
        <v>16</v>
      </c>
      <c r="BJ543" t="s">
        <v>10665</v>
      </c>
      <c r="BK543" t="s">
        <v>103</v>
      </c>
      <c r="BL543" t="s">
        <v>219</v>
      </c>
      <c r="BM543" t="s">
        <v>10666</v>
      </c>
      <c r="BN543">
        <v>31872512</v>
      </c>
      <c r="BO543" t="s">
        <v>837</v>
      </c>
      <c r="BP543" t="s">
        <v>74</v>
      </c>
      <c r="BQ543" t="s">
        <v>74</v>
      </c>
      <c r="BR543" t="s">
        <v>106</v>
      </c>
      <c r="BS543" t="s">
        <v>10667</v>
      </c>
      <c r="BT543" t="str">
        <f>HYPERLINK("https%3A%2F%2Fwww.webofscience.com%2Fwos%2Fwoscc%2Ffull-record%2FWOS:000510105900001","View Full Record in Web of Science")</f>
        <v>View Full Record in Web of Science</v>
      </c>
    </row>
    <row r="544" spans="1:72" x14ac:dyDescent="0.15">
      <c r="A544" t="s">
        <v>72</v>
      </c>
      <c r="B544" t="s">
        <v>10668</v>
      </c>
      <c r="C544" t="s">
        <v>74</v>
      </c>
      <c r="D544" t="s">
        <v>74</v>
      </c>
      <c r="E544" t="s">
        <v>74</v>
      </c>
      <c r="F544" t="s">
        <v>10669</v>
      </c>
      <c r="G544" t="s">
        <v>74</v>
      </c>
      <c r="H544" t="s">
        <v>74</v>
      </c>
      <c r="I544" t="s">
        <v>10670</v>
      </c>
      <c r="J544" t="s">
        <v>6148</v>
      </c>
      <c r="K544" t="s">
        <v>74</v>
      </c>
      <c r="L544" t="s">
        <v>74</v>
      </c>
      <c r="M544" t="s">
        <v>78</v>
      </c>
      <c r="N544" t="s">
        <v>79</v>
      </c>
      <c r="O544" t="s">
        <v>74</v>
      </c>
      <c r="P544" t="s">
        <v>74</v>
      </c>
      <c r="Q544" t="s">
        <v>74</v>
      </c>
      <c r="R544" t="s">
        <v>74</v>
      </c>
      <c r="S544" t="s">
        <v>74</v>
      </c>
      <c r="T544" t="s">
        <v>10671</v>
      </c>
      <c r="U544" t="s">
        <v>10672</v>
      </c>
      <c r="V544" t="s">
        <v>10673</v>
      </c>
      <c r="W544" t="s">
        <v>10674</v>
      </c>
      <c r="X544" t="s">
        <v>10675</v>
      </c>
      <c r="Y544" t="s">
        <v>10676</v>
      </c>
      <c r="Z544" t="s">
        <v>10677</v>
      </c>
      <c r="AA544" t="s">
        <v>10678</v>
      </c>
      <c r="AB544" t="s">
        <v>10679</v>
      </c>
      <c r="AC544" t="s">
        <v>10680</v>
      </c>
      <c r="AD544" t="s">
        <v>10681</v>
      </c>
      <c r="AE544" t="s">
        <v>10682</v>
      </c>
      <c r="AF544" t="s">
        <v>74</v>
      </c>
      <c r="AG544">
        <v>55</v>
      </c>
      <c r="AH544">
        <v>21</v>
      </c>
      <c r="AI544">
        <v>21</v>
      </c>
      <c r="AJ544">
        <v>0</v>
      </c>
      <c r="AK544">
        <v>10</v>
      </c>
      <c r="AL544" t="s">
        <v>211</v>
      </c>
      <c r="AM544" t="s">
        <v>212</v>
      </c>
      <c r="AN544" t="s">
        <v>213</v>
      </c>
      <c r="AO544" t="s">
        <v>6156</v>
      </c>
      <c r="AP544" t="s">
        <v>6157</v>
      </c>
      <c r="AQ544" t="s">
        <v>74</v>
      </c>
      <c r="AR544" t="s">
        <v>6158</v>
      </c>
      <c r="AS544" t="s">
        <v>6159</v>
      </c>
      <c r="AT544" t="s">
        <v>128</v>
      </c>
      <c r="AU544">
        <v>2020</v>
      </c>
      <c r="AV544">
        <v>36</v>
      </c>
      <c r="AW544">
        <v>2</v>
      </c>
      <c r="AX544" t="s">
        <v>74</v>
      </c>
      <c r="AY544" t="s">
        <v>74</v>
      </c>
      <c r="AZ544" t="s">
        <v>74</v>
      </c>
      <c r="BA544" t="s">
        <v>74</v>
      </c>
      <c r="BB544">
        <v>658</v>
      </c>
      <c r="BC544">
        <v>675</v>
      </c>
      <c r="BD544" t="s">
        <v>74</v>
      </c>
      <c r="BE544" t="s">
        <v>10683</v>
      </c>
      <c r="BF544" t="str">
        <f>HYPERLINK("http://dx.doi.org/10.1111/mms.12669","http://dx.doi.org/10.1111/mms.12669")</f>
        <v>http://dx.doi.org/10.1111/mms.12669</v>
      </c>
      <c r="BG544" t="s">
        <v>74</v>
      </c>
      <c r="BH544" t="s">
        <v>10613</v>
      </c>
      <c r="BI544">
        <v>18</v>
      </c>
      <c r="BJ544" t="s">
        <v>6161</v>
      </c>
      <c r="BK544" t="s">
        <v>103</v>
      </c>
      <c r="BL544" t="s">
        <v>6161</v>
      </c>
      <c r="BM544" t="s">
        <v>10684</v>
      </c>
      <c r="BN544" t="s">
        <v>74</v>
      </c>
      <c r="BO544" t="s">
        <v>10685</v>
      </c>
      <c r="BP544" t="s">
        <v>74</v>
      </c>
      <c r="BQ544" t="s">
        <v>74</v>
      </c>
      <c r="BR544" t="s">
        <v>106</v>
      </c>
      <c r="BS544" t="s">
        <v>10686</v>
      </c>
      <c r="BT544" t="str">
        <f>HYPERLINK("https%3A%2F%2Fwww.webofscience.com%2Fwos%2Fwoscc%2Ffull-record%2FWOS:000510175300001","View Full Record in Web of Science")</f>
        <v>View Full Record in Web of Science</v>
      </c>
    </row>
    <row r="545" spans="1:72" x14ac:dyDescent="0.15">
      <c r="A545" t="s">
        <v>72</v>
      </c>
      <c r="B545" t="s">
        <v>10687</v>
      </c>
      <c r="C545" t="s">
        <v>74</v>
      </c>
      <c r="D545" t="s">
        <v>74</v>
      </c>
      <c r="E545" t="s">
        <v>74</v>
      </c>
      <c r="F545" t="s">
        <v>10688</v>
      </c>
      <c r="G545" t="s">
        <v>74</v>
      </c>
      <c r="H545" t="s">
        <v>74</v>
      </c>
      <c r="I545" t="s">
        <v>10689</v>
      </c>
      <c r="J545" t="s">
        <v>1850</v>
      </c>
      <c r="K545" t="s">
        <v>74</v>
      </c>
      <c r="L545" t="s">
        <v>74</v>
      </c>
      <c r="M545" t="s">
        <v>78</v>
      </c>
      <c r="N545" t="s">
        <v>79</v>
      </c>
      <c r="O545" t="s">
        <v>74</v>
      </c>
      <c r="P545" t="s">
        <v>74</v>
      </c>
      <c r="Q545" t="s">
        <v>74</v>
      </c>
      <c r="R545" t="s">
        <v>74</v>
      </c>
      <c r="S545" t="s">
        <v>74</v>
      </c>
      <c r="T545" t="s">
        <v>74</v>
      </c>
      <c r="U545" t="s">
        <v>10690</v>
      </c>
      <c r="V545" t="s">
        <v>10691</v>
      </c>
      <c r="W545" t="s">
        <v>10692</v>
      </c>
      <c r="X545" t="s">
        <v>10693</v>
      </c>
      <c r="Y545" t="s">
        <v>10694</v>
      </c>
      <c r="Z545" t="s">
        <v>10695</v>
      </c>
      <c r="AA545" t="s">
        <v>10696</v>
      </c>
      <c r="AB545" t="s">
        <v>10697</v>
      </c>
      <c r="AC545" t="s">
        <v>10698</v>
      </c>
      <c r="AD545" t="s">
        <v>10699</v>
      </c>
      <c r="AE545" t="s">
        <v>10700</v>
      </c>
      <c r="AF545" t="s">
        <v>74</v>
      </c>
      <c r="AG545">
        <v>97</v>
      </c>
      <c r="AH545">
        <v>51</v>
      </c>
      <c r="AI545">
        <v>57</v>
      </c>
      <c r="AJ545">
        <v>3</v>
      </c>
      <c r="AK545">
        <v>61</v>
      </c>
      <c r="AL545" t="s">
        <v>5289</v>
      </c>
      <c r="AM545" t="s">
        <v>952</v>
      </c>
      <c r="AN545" t="s">
        <v>953</v>
      </c>
      <c r="AO545" t="s">
        <v>1862</v>
      </c>
      <c r="AP545" t="s">
        <v>1863</v>
      </c>
      <c r="AQ545" t="s">
        <v>74</v>
      </c>
      <c r="AR545" t="s">
        <v>1850</v>
      </c>
      <c r="AS545" t="s">
        <v>1864</v>
      </c>
      <c r="AT545" t="s">
        <v>10640</v>
      </c>
      <c r="AU545">
        <v>2020</v>
      </c>
      <c r="AV545">
        <v>577</v>
      </c>
      <c r="AW545">
        <v>7792</v>
      </c>
      <c r="AX545" t="s">
        <v>74</v>
      </c>
      <c r="AY545" t="s">
        <v>74</v>
      </c>
      <c r="AZ545" t="s">
        <v>74</v>
      </c>
      <c r="BA545" t="s">
        <v>74</v>
      </c>
      <c r="BB545">
        <v>660</v>
      </c>
      <c r="BC545" t="s">
        <v>759</v>
      </c>
      <c r="BD545" t="s">
        <v>74</v>
      </c>
      <c r="BE545" t="s">
        <v>10701</v>
      </c>
      <c r="BF545" t="str">
        <f>HYPERLINK("http://dx.doi.org/10.1038/s41586-020-1931-7","http://dx.doi.org/10.1038/s41586-020-1931-7")</f>
        <v>http://dx.doi.org/10.1038/s41586-020-1931-7</v>
      </c>
      <c r="BG545" t="s">
        <v>74</v>
      </c>
      <c r="BH545" t="s">
        <v>74</v>
      </c>
      <c r="BI545">
        <v>22</v>
      </c>
      <c r="BJ545" t="s">
        <v>322</v>
      </c>
      <c r="BK545" t="s">
        <v>103</v>
      </c>
      <c r="BL545" t="s">
        <v>323</v>
      </c>
      <c r="BM545" t="s">
        <v>10702</v>
      </c>
      <c r="BN545">
        <v>31996820</v>
      </c>
      <c r="BO545" t="s">
        <v>298</v>
      </c>
      <c r="BP545" t="s">
        <v>74</v>
      </c>
      <c r="BQ545" t="s">
        <v>74</v>
      </c>
      <c r="BR545" t="s">
        <v>106</v>
      </c>
      <c r="BS545" t="s">
        <v>10703</v>
      </c>
      <c r="BT545" t="str">
        <f>HYPERLINK("https%3A%2F%2Fwww.webofscience.com%2Fwos%2Fwoscc%2Ffull-record%2FWOS:000654118600047","View Full Record in Web of Science")</f>
        <v>View Full Record in Web of Science</v>
      </c>
    </row>
    <row r="546" spans="1:72" x14ac:dyDescent="0.15">
      <c r="A546" t="s">
        <v>72</v>
      </c>
      <c r="B546" t="s">
        <v>10704</v>
      </c>
      <c r="C546" t="s">
        <v>74</v>
      </c>
      <c r="D546" t="s">
        <v>74</v>
      </c>
      <c r="E546" t="s">
        <v>74</v>
      </c>
      <c r="F546" t="s">
        <v>10705</v>
      </c>
      <c r="G546" t="s">
        <v>74</v>
      </c>
      <c r="H546" t="s">
        <v>74</v>
      </c>
      <c r="I546" t="s">
        <v>10706</v>
      </c>
      <c r="J546" t="s">
        <v>1850</v>
      </c>
      <c r="K546" t="s">
        <v>74</v>
      </c>
      <c r="L546" t="s">
        <v>74</v>
      </c>
      <c r="M546" t="s">
        <v>78</v>
      </c>
      <c r="N546" t="s">
        <v>1911</v>
      </c>
      <c r="O546" t="s">
        <v>74</v>
      </c>
      <c r="P546" t="s">
        <v>74</v>
      </c>
      <c r="Q546" t="s">
        <v>74</v>
      </c>
      <c r="R546" t="s">
        <v>74</v>
      </c>
      <c r="S546" t="s">
        <v>74</v>
      </c>
      <c r="T546" t="s">
        <v>74</v>
      </c>
      <c r="U546" t="s">
        <v>74</v>
      </c>
      <c r="V546" t="s">
        <v>74</v>
      </c>
      <c r="W546" t="s">
        <v>10707</v>
      </c>
      <c r="X546" t="s">
        <v>5094</v>
      </c>
      <c r="Y546" t="s">
        <v>10708</v>
      </c>
      <c r="Z546" t="s">
        <v>74</v>
      </c>
      <c r="AA546" t="s">
        <v>10709</v>
      </c>
      <c r="AB546" t="s">
        <v>74</v>
      </c>
      <c r="AC546" t="s">
        <v>74</v>
      </c>
      <c r="AD546" t="s">
        <v>74</v>
      </c>
      <c r="AE546" t="s">
        <v>74</v>
      </c>
      <c r="AF546" t="s">
        <v>74</v>
      </c>
      <c r="AG546">
        <v>0</v>
      </c>
      <c r="AH546">
        <v>0</v>
      </c>
      <c r="AI546">
        <v>0</v>
      </c>
      <c r="AJ546">
        <v>0</v>
      </c>
      <c r="AK546">
        <v>2</v>
      </c>
      <c r="AL546" t="s">
        <v>5289</v>
      </c>
      <c r="AM546" t="s">
        <v>952</v>
      </c>
      <c r="AN546" t="s">
        <v>953</v>
      </c>
      <c r="AO546" t="s">
        <v>1862</v>
      </c>
      <c r="AP546" t="s">
        <v>1863</v>
      </c>
      <c r="AQ546" t="s">
        <v>74</v>
      </c>
      <c r="AR546" t="s">
        <v>1850</v>
      </c>
      <c r="AS546" t="s">
        <v>1864</v>
      </c>
      <c r="AT546" t="s">
        <v>10640</v>
      </c>
      <c r="AU546">
        <v>2020</v>
      </c>
      <c r="AV546">
        <v>577</v>
      </c>
      <c r="AW546">
        <v>7792</v>
      </c>
      <c r="AX546" t="s">
        <v>74</v>
      </c>
      <c r="AY546" t="s">
        <v>74</v>
      </c>
      <c r="AZ546" t="s">
        <v>74</v>
      </c>
      <c r="BA546" t="s">
        <v>74</v>
      </c>
      <c r="BB546">
        <v>724</v>
      </c>
      <c r="BC546">
        <v>724</v>
      </c>
      <c r="BD546" t="s">
        <v>74</v>
      </c>
      <c r="BE546" t="s">
        <v>74</v>
      </c>
      <c r="BF546" t="s">
        <v>74</v>
      </c>
      <c r="BG546" t="s">
        <v>74</v>
      </c>
      <c r="BH546" t="s">
        <v>74</v>
      </c>
      <c r="BI546">
        <v>1</v>
      </c>
      <c r="BJ546" t="s">
        <v>322</v>
      </c>
      <c r="BK546" t="s">
        <v>1149</v>
      </c>
      <c r="BL546" t="s">
        <v>323</v>
      </c>
      <c r="BM546" t="s">
        <v>10702</v>
      </c>
      <c r="BN546">
        <v>31988404</v>
      </c>
      <c r="BO546" t="s">
        <v>517</v>
      </c>
      <c r="BP546" t="s">
        <v>74</v>
      </c>
      <c r="BQ546" t="s">
        <v>74</v>
      </c>
      <c r="BR546" t="s">
        <v>106</v>
      </c>
      <c r="BS546" t="s">
        <v>10710</v>
      </c>
      <c r="BT546" t="str">
        <f>HYPERLINK("https%3A%2F%2Fwww.webofscience.com%2Fwos%2Fwoscc%2Ffull-record%2FWOS:000654118600059","View Full Record in Web of Science")</f>
        <v>View Full Record in Web of Science</v>
      </c>
    </row>
    <row r="547" spans="1:72" x14ac:dyDescent="0.15">
      <c r="A547" t="s">
        <v>72</v>
      </c>
      <c r="B547" t="s">
        <v>10711</v>
      </c>
      <c r="C547" t="s">
        <v>74</v>
      </c>
      <c r="D547" t="s">
        <v>74</v>
      </c>
      <c r="E547" t="s">
        <v>74</v>
      </c>
      <c r="F547" t="s">
        <v>10711</v>
      </c>
      <c r="G547" t="s">
        <v>74</v>
      </c>
      <c r="H547" t="s">
        <v>74</v>
      </c>
      <c r="I547" t="s">
        <v>10712</v>
      </c>
      <c r="J547" t="s">
        <v>1850</v>
      </c>
      <c r="K547" t="s">
        <v>74</v>
      </c>
      <c r="L547" t="s">
        <v>74</v>
      </c>
      <c r="M547" t="s">
        <v>78</v>
      </c>
      <c r="N547" t="s">
        <v>1911</v>
      </c>
      <c r="O547" t="s">
        <v>74</v>
      </c>
      <c r="P547" t="s">
        <v>74</v>
      </c>
      <c r="Q547" t="s">
        <v>74</v>
      </c>
      <c r="R547" t="s">
        <v>74</v>
      </c>
      <c r="S547" t="s">
        <v>74</v>
      </c>
      <c r="T547" t="s">
        <v>74</v>
      </c>
      <c r="U547" t="s">
        <v>74</v>
      </c>
      <c r="V547" t="s">
        <v>74</v>
      </c>
      <c r="W547" t="s">
        <v>74</v>
      </c>
      <c r="X547" t="s">
        <v>74</v>
      </c>
      <c r="Y547" t="s">
        <v>74</v>
      </c>
      <c r="Z547" t="s">
        <v>74</v>
      </c>
      <c r="AA547" t="s">
        <v>74</v>
      </c>
      <c r="AB547" t="s">
        <v>74</v>
      </c>
      <c r="AC547" t="s">
        <v>74</v>
      </c>
      <c r="AD547" t="s">
        <v>74</v>
      </c>
      <c r="AE547" t="s">
        <v>74</v>
      </c>
      <c r="AF547" t="s">
        <v>74</v>
      </c>
      <c r="AG547">
        <v>0</v>
      </c>
      <c r="AH547">
        <v>0</v>
      </c>
      <c r="AI547">
        <v>0</v>
      </c>
      <c r="AJ547">
        <v>0</v>
      </c>
      <c r="AK547">
        <v>2</v>
      </c>
      <c r="AL547" t="s">
        <v>5289</v>
      </c>
      <c r="AM547" t="s">
        <v>952</v>
      </c>
      <c r="AN547" t="s">
        <v>953</v>
      </c>
      <c r="AO547" t="s">
        <v>1862</v>
      </c>
      <c r="AP547" t="s">
        <v>1863</v>
      </c>
      <c r="AQ547" t="s">
        <v>74</v>
      </c>
      <c r="AR547" t="s">
        <v>1850</v>
      </c>
      <c r="AS547" t="s">
        <v>1864</v>
      </c>
      <c r="AT547" t="s">
        <v>10640</v>
      </c>
      <c r="AU547">
        <v>2020</v>
      </c>
      <c r="AV547">
        <v>577</v>
      </c>
      <c r="AW547">
        <v>7792</v>
      </c>
      <c r="AX547" t="s">
        <v>74</v>
      </c>
      <c r="AY547" t="s">
        <v>74</v>
      </c>
      <c r="AZ547" t="s">
        <v>74</v>
      </c>
      <c r="BA547" t="s">
        <v>74</v>
      </c>
      <c r="BB547" t="s">
        <v>74</v>
      </c>
      <c r="BC547" t="s">
        <v>74</v>
      </c>
      <c r="BD547" t="s">
        <v>74</v>
      </c>
      <c r="BE547" t="s">
        <v>74</v>
      </c>
      <c r="BF547" t="s">
        <v>74</v>
      </c>
      <c r="BG547" t="s">
        <v>74</v>
      </c>
      <c r="BH547" t="s">
        <v>74</v>
      </c>
      <c r="BI547">
        <v>2</v>
      </c>
      <c r="BJ547" t="s">
        <v>322</v>
      </c>
      <c r="BK547" t="s">
        <v>1149</v>
      </c>
      <c r="BL547" t="s">
        <v>323</v>
      </c>
      <c r="BM547" t="s">
        <v>10702</v>
      </c>
      <c r="BN547" t="s">
        <v>74</v>
      </c>
      <c r="BO547" t="s">
        <v>74</v>
      </c>
      <c r="BP547" t="s">
        <v>74</v>
      </c>
      <c r="BQ547" t="s">
        <v>74</v>
      </c>
      <c r="BR547" t="s">
        <v>106</v>
      </c>
      <c r="BS547" t="s">
        <v>10713</v>
      </c>
      <c r="BT547" t="str">
        <f>HYPERLINK("https%3A%2F%2Fwww.webofscience.com%2Fwos%2Fwoscc%2Ffull-record%2FWOS:000654118600002","View Full Record in Web of Science")</f>
        <v>View Full Record in Web of Science</v>
      </c>
    </row>
    <row r="548" spans="1:72" x14ac:dyDescent="0.15">
      <c r="A548" t="s">
        <v>72</v>
      </c>
      <c r="B548" t="s">
        <v>10714</v>
      </c>
      <c r="C548" t="s">
        <v>74</v>
      </c>
      <c r="D548" t="s">
        <v>74</v>
      </c>
      <c r="E548" t="s">
        <v>74</v>
      </c>
      <c r="F548" t="s">
        <v>10715</v>
      </c>
      <c r="G548" t="s">
        <v>74</v>
      </c>
      <c r="H548" t="s">
        <v>74</v>
      </c>
      <c r="I548" t="s">
        <v>10716</v>
      </c>
      <c r="J548" t="s">
        <v>1390</v>
      </c>
      <c r="K548" t="s">
        <v>74</v>
      </c>
      <c r="L548" t="s">
        <v>74</v>
      </c>
      <c r="M548" t="s">
        <v>78</v>
      </c>
      <c r="N548" t="s">
        <v>79</v>
      </c>
      <c r="O548" t="s">
        <v>74</v>
      </c>
      <c r="P548" t="s">
        <v>74</v>
      </c>
      <c r="Q548" t="s">
        <v>74</v>
      </c>
      <c r="R548" t="s">
        <v>74</v>
      </c>
      <c r="S548" t="s">
        <v>74</v>
      </c>
      <c r="T548" t="s">
        <v>74</v>
      </c>
      <c r="U548" t="s">
        <v>10717</v>
      </c>
      <c r="V548" t="s">
        <v>10718</v>
      </c>
      <c r="W548" t="s">
        <v>10719</v>
      </c>
      <c r="X548" t="s">
        <v>10720</v>
      </c>
      <c r="Y548" t="s">
        <v>10721</v>
      </c>
      <c r="Z548" t="s">
        <v>10722</v>
      </c>
      <c r="AA548" t="s">
        <v>10723</v>
      </c>
      <c r="AB548" t="s">
        <v>10724</v>
      </c>
      <c r="AC548" t="s">
        <v>10725</v>
      </c>
      <c r="AD548" t="s">
        <v>10726</v>
      </c>
      <c r="AE548" t="s">
        <v>10727</v>
      </c>
      <c r="AF548" t="s">
        <v>74</v>
      </c>
      <c r="AG548">
        <v>61</v>
      </c>
      <c r="AH548">
        <v>4</v>
      </c>
      <c r="AI548">
        <v>5</v>
      </c>
      <c r="AJ548">
        <v>4</v>
      </c>
      <c r="AK548">
        <v>10</v>
      </c>
      <c r="AL548" t="s">
        <v>976</v>
      </c>
      <c r="AM548" t="s">
        <v>977</v>
      </c>
      <c r="AN548" t="s">
        <v>978</v>
      </c>
      <c r="AO548" t="s">
        <v>1399</v>
      </c>
      <c r="AP548" t="s">
        <v>1400</v>
      </c>
      <c r="AQ548" t="s">
        <v>74</v>
      </c>
      <c r="AR548" t="s">
        <v>1390</v>
      </c>
      <c r="AS548" t="s">
        <v>1401</v>
      </c>
      <c r="AT548" t="s">
        <v>10728</v>
      </c>
      <c r="AU548">
        <v>2020</v>
      </c>
      <c r="AV548">
        <v>17</v>
      </c>
      <c r="AW548">
        <v>2</v>
      </c>
      <c r="AX548" t="s">
        <v>74</v>
      </c>
      <c r="AY548" t="s">
        <v>74</v>
      </c>
      <c r="AZ548" t="s">
        <v>74</v>
      </c>
      <c r="BA548" t="s">
        <v>74</v>
      </c>
      <c r="BB548">
        <v>423</v>
      </c>
      <c r="BC548">
        <v>439</v>
      </c>
      <c r="BD548" t="s">
        <v>74</v>
      </c>
      <c r="BE548" t="s">
        <v>10729</v>
      </c>
      <c r="BF548" t="str">
        <f>HYPERLINK("http://dx.doi.org/10.5194/bg-17-423-2020","http://dx.doi.org/10.5194/bg-17-423-2020")</f>
        <v>http://dx.doi.org/10.5194/bg-17-423-2020</v>
      </c>
      <c r="BG548" t="s">
        <v>74</v>
      </c>
      <c r="BH548" t="s">
        <v>74</v>
      </c>
      <c r="BI548">
        <v>17</v>
      </c>
      <c r="BJ548" t="s">
        <v>1404</v>
      </c>
      <c r="BK548" t="s">
        <v>103</v>
      </c>
      <c r="BL548" t="s">
        <v>1405</v>
      </c>
      <c r="BM548" t="s">
        <v>10730</v>
      </c>
      <c r="BN548" t="s">
        <v>74</v>
      </c>
      <c r="BO548" t="s">
        <v>987</v>
      </c>
      <c r="BP548" t="s">
        <v>74</v>
      </c>
      <c r="BQ548" t="s">
        <v>74</v>
      </c>
      <c r="BR548" t="s">
        <v>106</v>
      </c>
      <c r="BS548" t="s">
        <v>10731</v>
      </c>
      <c r="BT548" t="str">
        <f>HYPERLINK("https%3A%2F%2Fwww.webofscience.com%2Fwos%2Fwoscc%2Ffull-record%2FWOS:000510389400002","View Full Record in Web of Science")</f>
        <v>View Full Record in Web of Science</v>
      </c>
    </row>
    <row r="549" spans="1:72" x14ac:dyDescent="0.15">
      <c r="A549" t="s">
        <v>72</v>
      </c>
      <c r="B549" t="s">
        <v>10732</v>
      </c>
      <c r="C549" t="s">
        <v>74</v>
      </c>
      <c r="D549" t="s">
        <v>74</v>
      </c>
      <c r="E549" t="s">
        <v>74</v>
      </c>
      <c r="F549" t="s">
        <v>10733</v>
      </c>
      <c r="G549" t="s">
        <v>74</v>
      </c>
      <c r="H549" t="s">
        <v>74</v>
      </c>
      <c r="I549" t="s">
        <v>10734</v>
      </c>
      <c r="J549" t="s">
        <v>1339</v>
      </c>
      <c r="K549" t="s">
        <v>74</v>
      </c>
      <c r="L549" t="s">
        <v>74</v>
      </c>
      <c r="M549" t="s">
        <v>78</v>
      </c>
      <c r="N549" t="s">
        <v>1226</v>
      </c>
      <c r="O549" t="s">
        <v>74</v>
      </c>
      <c r="P549" t="s">
        <v>74</v>
      </c>
      <c r="Q549" t="s">
        <v>74</v>
      </c>
      <c r="R549" t="s">
        <v>74</v>
      </c>
      <c r="S549" t="s">
        <v>74</v>
      </c>
      <c r="T549" t="s">
        <v>10735</v>
      </c>
      <c r="U549" t="s">
        <v>74</v>
      </c>
      <c r="V549" t="s">
        <v>74</v>
      </c>
      <c r="W549" t="s">
        <v>10736</v>
      </c>
      <c r="X549" t="s">
        <v>10737</v>
      </c>
      <c r="Y549" t="s">
        <v>10738</v>
      </c>
      <c r="Z549" t="s">
        <v>10739</v>
      </c>
      <c r="AA549" t="s">
        <v>10740</v>
      </c>
      <c r="AB549" t="s">
        <v>10741</v>
      </c>
      <c r="AC549" t="s">
        <v>74</v>
      </c>
      <c r="AD549" t="s">
        <v>74</v>
      </c>
      <c r="AE549" t="s">
        <v>74</v>
      </c>
      <c r="AF549" t="s">
        <v>74</v>
      </c>
      <c r="AG549">
        <v>2</v>
      </c>
      <c r="AH549">
        <v>1</v>
      </c>
      <c r="AI549">
        <v>1</v>
      </c>
      <c r="AJ549">
        <v>0</v>
      </c>
      <c r="AK549">
        <v>2</v>
      </c>
      <c r="AL549" t="s">
        <v>658</v>
      </c>
      <c r="AM549" t="s">
        <v>659</v>
      </c>
      <c r="AN549" t="s">
        <v>660</v>
      </c>
      <c r="AO549" t="s">
        <v>74</v>
      </c>
      <c r="AP549" t="s">
        <v>1352</v>
      </c>
      <c r="AQ549" t="s">
        <v>74</v>
      </c>
      <c r="AR549" t="s">
        <v>1353</v>
      </c>
      <c r="AS549" t="s">
        <v>1354</v>
      </c>
      <c r="AT549" t="s">
        <v>10728</v>
      </c>
      <c r="AU549">
        <v>2020</v>
      </c>
      <c r="AV549">
        <v>6</v>
      </c>
      <c r="AW549" t="s">
        <v>74</v>
      </c>
      <c r="AX549" t="s">
        <v>74</v>
      </c>
      <c r="AY549" t="s">
        <v>74</v>
      </c>
      <c r="AZ549" t="s">
        <v>74</v>
      </c>
      <c r="BA549" t="s">
        <v>74</v>
      </c>
      <c r="BB549" t="s">
        <v>74</v>
      </c>
      <c r="BC549" t="s">
        <v>74</v>
      </c>
      <c r="BD549">
        <v>819</v>
      </c>
      <c r="BE549" t="s">
        <v>10742</v>
      </c>
      <c r="BF549" t="str">
        <f>HYPERLINK("http://dx.doi.org/10.3389/fmars.2019.00819","http://dx.doi.org/10.3389/fmars.2019.00819")</f>
        <v>http://dx.doi.org/10.3389/fmars.2019.00819</v>
      </c>
      <c r="BG549" t="s">
        <v>74</v>
      </c>
      <c r="BH549" t="s">
        <v>74</v>
      </c>
      <c r="BI549">
        <v>3</v>
      </c>
      <c r="BJ549" t="s">
        <v>1356</v>
      </c>
      <c r="BK549" t="s">
        <v>103</v>
      </c>
      <c r="BL549" t="s">
        <v>1357</v>
      </c>
      <c r="BM549" t="s">
        <v>10743</v>
      </c>
      <c r="BN549" t="s">
        <v>74</v>
      </c>
      <c r="BO549" t="s">
        <v>276</v>
      </c>
      <c r="BP549" t="s">
        <v>74</v>
      </c>
      <c r="BQ549" t="s">
        <v>74</v>
      </c>
      <c r="BR549" t="s">
        <v>106</v>
      </c>
      <c r="BS549" t="s">
        <v>10744</v>
      </c>
      <c r="BT549" t="str">
        <f>HYPERLINK("https%3A%2F%2Fwww.webofscience.com%2Fwos%2Fwoscc%2Ffull-record%2FWOS:000510205400001","View Full Record in Web of Science")</f>
        <v>View Full Record in Web of Science</v>
      </c>
    </row>
    <row r="550" spans="1:72" x14ac:dyDescent="0.15">
      <c r="A550" t="s">
        <v>72</v>
      </c>
      <c r="B550" t="s">
        <v>10745</v>
      </c>
      <c r="C550" t="s">
        <v>74</v>
      </c>
      <c r="D550" t="s">
        <v>74</v>
      </c>
      <c r="E550" t="s">
        <v>74</v>
      </c>
      <c r="F550" t="s">
        <v>10746</v>
      </c>
      <c r="G550" t="s">
        <v>74</v>
      </c>
      <c r="H550" t="s">
        <v>74</v>
      </c>
      <c r="I550" t="s">
        <v>10747</v>
      </c>
      <c r="J550" t="s">
        <v>10748</v>
      </c>
      <c r="K550" t="s">
        <v>74</v>
      </c>
      <c r="L550" t="s">
        <v>74</v>
      </c>
      <c r="M550" t="s">
        <v>78</v>
      </c>
      <c r="N550" t="s">
        <v>79</v>
      </c>
      <c r="O550" t="s">
        <v>74</v>
      </c>
      <c r="P550" t="s">
        <v>74</v>
      </c>
      <c r="Q550" t="s">
        <v>74</v>
      </c>
      <c r="R550" t="s">
        <v>74</v>
      </c>
      <c r="S550" t="s">
        <v>74</v>
      </c>
      <c r="T550" t="s">
        <v>10749</v>
      </c>
      <c r="U550" t="s">
        <v>10750</v>
      </c>
      <c r="V550" t="s">
        <v>10751</v>
      </c>
      <c r="W550" t="s">
        <v>10752</v>
      </c>
      <c r="X550" t="s">
        <v>74</v>
      </c>
      <c r="Y550" t="s">
        <v>10753</v>
      </c>
      <c r="Z550" t="s">
        <v>10754</v>
      </c>
      <c r="AA550" t="s">
        <v>10755</v>
      </c>
      <c r="AB550" t="s">
        <v>10756</v>
      </c>
      <c r="AC550" t="s">
        <v>74</v>
      </c>
      <c r="AD550" t="s">
        <v>74</v>
      </c>
      <c r="AE550" t="s">
        <v>74</v>
      </c>
      <c r="AF550" t="s">
        <v>74</v>
      </c>
      <c r="AG550">
        <v>47</v>
      </c>
      <c r="AH550">
        <v>6</v>
      </c>
      <c r="AI550">
        <v>6</v>
      </c>
      <c r="AJ550">
        <v>0</v>
      </c>
      <c r="AK550">
        <v>4</v>
      </c>
      <c r="AL550" t="s">
        <v>211</v>
      </c>
      <c r="AM550" t="s">
        <v>212</v>
      </c>
      <c r="AN550" t="s">
        <v>213</v>
      </c>
      <c r="AO550" t="s">
        <v>10757</v>
      </c>
      <c r="AP550" t="s">
        <v>10758</v>
      </c>
      <c r="AQ550" t="s">
        <v>74</v>
      </c>
      <c r="AR550" t="s">
        <v>10759</v>
      </c>
      <c r="AS550" t="s">
        <v>10760</v>
      </c>
      <c r="AT550" t="s">
        <v>2912</v>
      </c>
      <c r="AU550">
        <v>2020</v>
      </c>
      <c r="AV550">
        <v>139</v>
      </c>
      <c r="AW550">
        <v>1</v>
      </c>
      <c r="AX550" t="s">
        <v>74</v>
      </c>
      <c r="AY550" t="s">
        <v>74</v>
      </c>
      <c r="AZ550" t="s">
        <v>74</v>
      </c>
      <c r="BA550" t="s">
        <v>74</v>
      </c>
      <c r="BB550" t="s">
        <v>74</v>
      </c>
      <c r="BC550" t="s">
        <v>74</v>
      </c>
      <c r="BD550" t="s">
        <v>10761</v>
      </c>
      <c r="BE550" t="s">
        <v>10762</v>
      </c>
      <c r="BF550" t="str">
        <f>HYPERLINK("http://dx.doi.org/10.1111/ivb.12278","http://dx.doi.org/10.1111/ivb.12278")</f>
        <v>http://dx.doi.org/10.1111/ivb.12278</v>
      </c>
      <c r="BG550" t="s">
        <v>74</v>
      </c>
      <c r="BH550" t="s">
        <v>10613</v>
      </c>
      <c r="BI550">
        <v>8</v>
      </c>
      <c r="BJ550" t="s">
        <v>6161</v>
      </c>
      <c r="BK550" t="s">
        <v>103</v>
      </c>
      <c r="BL550" t="s">
        <v>6161</v>
      </c>
      <c r="BM550" t="s">
        <v>10763</v>
      </c>
      <c r="BN550" t="s">
        <v>74</v>
      </c>
      <c r="BO550" t="s">
        <v>74</v>
      </c>
      <c r="BP550" t="s">
        <v>74</v>
      </c>
      <c r="BQ550" t="s">
        <v>74</v>
      </c>
      <c r="BR550" t="s">
        <v>106</v>
      </c>
      <c r="BS550" t="s">
        <v>10764</v>
      </c>
      <c r="BT550" t="str">
        <f>HYPERLINK("https%3A%2F%2Fwww.webofscience.com%2Fwos%2Fwoscc%2Ffull-record%2FWOS:000509797800001","View Full Record in Web of Science")</f>
        <v>View Full Record in Web of Science</v>
      </c>
    </row>
    <row r="551" spans="1:72" x14ac:dyDescent="0.15">
      <c r="A551" t="s">
        <v>72</v>
      </c>
      <c r="B551" t="s">
        <v>10765</v>
      </c>
      <c r="C551" t="s">
        <v>74</v>
      </c>
      <c r="D551" t="s">
        <v>74</v>
      </c>
      <c r="E551" t="s">
        <v>74</v>
      </c>
      <c r="F551" t="s">
        <v>10766</v>
      </c>
      <c r="G551" t="s">
        <v>74</v>
      </c>
      <c r="H551" t="s">
        <v>74</v>
      </c>
      <c r="I551" t="s">
        <v>10767</v>
      </c>
      <c r="J551" t="s">
        <v>5033</v>
      </c>
      <c r="K551" t="s">
        <v>74</v>
      </c>
      <c r="L551" t="s">
        <v>74</v>
      </c>
      <c r="M551" t="s">
        <v>78</v>
      </c>
      <c r="N551" t="s">
        <v>79</v>
      </c>
      <c r="O551" t="s">
        <v>74</v>
      </c>
      <c r="P551" t="s">
        <v>74</v>
      </c>
      <c r="Q551" t="s">
        <v>74</v>
      </c>
      <c r="R551" t="s">
        <v>74</v>
      </c>
      <c r="S551" t="s">
        <v>74</v>
      </c>
      <c r="T551" t="s">
        <v>10768</v>
      </c>
      <c r="U551" t="s">
        <v>10769</v>
      </c>
      <c r="V551" t="s">
        <v>10770</v>
      </c>
      <c r="W551" t="s">
        <v>10771</v>
      </c>
      <c r="X551" t="s">
        <v>10772</v>
      </c>
      <c r="Y551" t="s">
        <v>10773</v>
      </c>
      <c r="Z551" t="s">
        <v>10774</v>
      </c>
      <c r="AA551" t="s">
        <v>74</v>
      </c>
      <c r="AB551" t="s">
        <v>10775</v>
      </c>
      <c r="AC551" t="s">
        <v>74</v>
      </c>
      <c r="AD551" t="s">
        <v>74</v>
      </c>
      <c r="AE551" t="s">
        <v>74</v>
      </c>
      <c r="AF551" t="s">
        <v>74</v>
      </c>
      <c r="AG551">
        <v>39</v>
      </c>
      <c r="AH551">
        <v>20</v>
      </c>
      <c r="AI551">
        <v>21</v>
      </c>
      <c r="AJ551">
        <v>14</v>
      </c>
      <c r="AK551">
        <v>58</v>
      </c>
      <c r="AL551" t="s">
        <v>121</v>
      </c>
      <c r="AM551" t="s">
        <v>122</v>
      </c>
      <c r="AN551" t="s">
        <v>123</v>
      </c>
      <c r="AO551" t="s">
        <v>5044</v>
      </c>
      <c r="AP551" t="s">
        <v>5045</v>
      </c>
      <c r="AQ551" t="s">
        <v>74</v>
      </c>
      <c r="AR551" t="s">
        <v>5033</v>
      </c>
      <c r="AS551" t="s">
        <v>5046</v>
      </c>
      <c r="AT551" t="s">
        <v>1147</v>
      </c>
      <c r="AU551">
        <v>2020</v>
      </c>
      <c r="AV551">
        <v>49</v>
      </c>
      <c r="AW551">
        <v>10</v>
      </c>
      <c r="AX551" t="s">
        <v>74</v>
      </c>
      <c r="AY551" t="s">
        <v>74</v>
      </c>
      <c r="AZ551" t="s">
        <v>74</v>
      </c>
      <c r="BA551" t="s">
        <v>74</v>
      </c>
      <c r="BB551">
        <v>1587</v>
      </c>
      <c r="BC551">
        <v>1600</v>
      </c>
      <c r="BD551" t="s">
        <v>74</v>
      </c>
      <c r="BE551" t="s">
        <v>10776</v>
      </c>
      <c r="BF551" t="str">
        <f>HYPERLINK("http://dx.doi.org/10.1007/s13280-019-01313-8","http://dx.doi.org/10.1007/s13280-019-01313-8")</f>
        <v>http://dx.doi.org/10.1007/s13280-019-01313-8</v>
      </c>
      <c r="BG551" t="s">
        <v>74</v>
      </c>
      <c r="BH551" t="s">
        <v>10613</v>
      </c>
      <c r="BI551">
        <v>14</v>
      </c>
      <c r="BJ551" t="s">
        <v>2843</v>
      </c>
      <c r="BK551" t="s">
        <v>103</v>
      </c>
      <c r="BL551" t="s">
        <v>2844</v>
      </c>
      <c r="BM551" t="s">
        <v>10777</v>
      </c>
      <c r="BN551">
        <v>31994026</v>
      </c>
      <c r="BO551" t="s">
        <v>133</v>
      </c>
      <c r="BP551" t="s">
        <v>74</v>
      </c>
      <c r="BQ551" t="s">
        <v>74</v>
      </c>
      <c r="BR551" t="s">
        <v>106</v>
      </c>
      <c r="BS551" t="s">
        <v>10778</v>
      </c>
      <c r="BT551" t="str">
        <f>HYPERLINK("https%3A%2F%2Fwww.webofscience.com%2Fwos%2Fwoscc%2Ffull-record%2FWOS:000515700700002","View Full Record in Web of Science")</f>
        <v>View Full Record in Web of Science</v>
      </c>
    </row>
    <row r="552" spans="1:72" x14ac:dyDescent="0.15">
      <c r="A552" t="s">
        <v>72</v>
      </c>
      <c r="B552" t="s">
        <v>10779</v>
      </c>
      <c r="C552" t="s">
        <v>74</v>
      </c>
      <c r="D552" t="s">
        <v>74</v>
      </c>
      <c r="E552" t="s">
        <v>74</v>
      </c>
      <c r="F552" t="s">
        <v>10780</v>
      </c>
      <c r="G552" t="s">
        <v>74</v>
      </c>
      <c r="H552" t="s">
        <v>74</v>
      </c>
      <c r="I552" t="s">
        <v>10781</v>
      </c>
      <c r="J552" t="s">
        <v>1291</v>
      </c>
      <c r="K552" t="s">
        <v>74</v>
      </c>
      <c r="L552" t="s">
        <v>74</v>
      </c>
      <c r="M552" t="s">
        <v>78</v>
      </c>
      <c r="N552" t="s">
        <v>79</v>
      </c>
      <c r="O552" t="s">
        <v>74</v>
      </c>
      <c r="P552" t="s">
        <v>74</v>
      </c>
      <c r="Q552" t="s">
        <v>74</v>
      </c>
      <c r="R552" t="s">
        <v>74</v>
      </c>
      <c r="S552" t="s">
        <v>74</v>
      </c>
      <c r="T552" t="s">
        <v>74</v>
      </c>
      <c r="U552" t="s">
        <v>10782</v>
      </c>
      <c r="V552" t="s">
        <v>10783</v>
      </c>
      <c r="W552" t="s">
        <v>10784</v>
      </c>
      <c r="X552" t="s">
        <v>10785</v>
      </c>
      <c r="Y552" t="s">
        <v>10786</v>
      </c>
      <c r="Z552" t="s">
        <v>10787</v>
      </c>
      <c r="AA552" t="s">
        <v>10788</v>
      </c>
      <c r="AB552" t="s">
        <v>10789</v>
      </c>
      <c r="AC552" t="s">
        <v>10790</v>
      </c>
      <c r="AD552" t="s">
        <v>10791</v>
      </c>
      <c r="AE552" t="s">
        <v>10792</v>
      </c>
      <c r="AF552" t="s">
        <v>74</v>
      </c>
      <c r="AG552">
        <v>120</v>
      </c>
      <c r="AH552">
        <v>15</v>
      </c>
      <c r="AI552">
        <v>17</v>
      </c>
      <c r="AJ552">
        <v>0</v>
      </c>
      <c r="AK552">
        <v>11</v>
      </c>
      <c r="AL552" t="s">
        <v>976</v>
      </c>
      <c r="AM552" t="s">
        <v>977</v>
      </c>
      <c r="AN552" t="s">
        <v>978</v>
      </c>
      <c r="AO552" t="s">
        <v>1303</v>
      </c>
      <c r="AP552" t="s">
        <v>1304</v>
      </c>
      <c r="AQ552" t="s">
        <v>74</v>
      </c>
      <c r="AR552" t="s">
        <v>1291</v>
      </c>
      <c r="AS552" t="s">
        <v>1305</v>
      </c>
      <c r="AT552" t="s">
        <v>10793</v>
      </c>
      <c r="AU552">
        <v>2020</v>
      </c>
      <c r="AV552">
        <v>14</v>
      </c>
      <c r="AW552">
        <v>1</v>
      </c>
      <c r="AX552" t="s">
        <v>74</v>
      </c>
      <c r="AY552" t="s">
        <v>74</v>
      </c>
      <c r="AZ552" t="s">
        <v>74</v>
      </c>
      <c r="BA552" t="s">
        <v>74</v>
      </c>
      <c r="BB552">
        <v>261</v>
      </c>
      <c r="BC552">
        <v>286</v>
      </c>
      <c r="BD552" t="s">
        <v>74</v>
      </c>
      <c r="BE552" t="s">
        <v>10794</v>
      </c>
      <c r="BF552" t="str">
        <f>HYPERLINK("http://dx.doi.org/10.5194/tc-14-261-2020","http://dx.doi.org/10.5194/tc-14-261-2020")</f>
        <v>http://dx.doi.org/10.5194/tc-14-261-2020</v>
      </c>
      <c r="BG552" t="s">
        <v>74</v>
      </c>
      <c r="BH552" t="s">
        <v>74</v>
      </c>
      <c r="BI552">
        <v>26</v>
      </c>
      <c r="BJ552" t="s">
        <v>1307</v>
      </c>
      <c r="BK552" t="s">
        <v>103</v>
      </c>
      <c r="BL552" t="s">
        <v>1308</v>
      </c>
      <c r="BM552" t="s">
        <v>10795</v>
      </c>
      <c r="BN552" t="s">
        <v>74</v>
      </c>
      <c r="BO552" t="s">
        <v>6143</v>
      </c>
      <c r="BP552" t="s">
        <v>74</v>
      </c>
      <c r="BQ552" t="s">
        <v>74</v>
      </c>
      <c r="BR552" t="s">
        <v>106</v>
      </c>
      <c r="BS552" t="s">
        <v>10796</v>
      </c>
      <c r="BT552" t="str">
        <f>HYPERLINK("https%3A%2F%2Fwww.webofscience.com%2Fwos%2Fwoscc%2Ffull-record%2FWOS:000509720400001","View Full Record in Web of Science")</f>
        <v>View Full Record in Web of Science</v>
      </c>
    </row>
    <row r="553" spans="1:72" x14ac:dyDescent="0.15">
      <c r="A553" t="s">
        <v>72</v>
      </c>
      <c r="B553" t="s">
        <v>10797</v>
      </c>
      <c r="C553" t="s">
        <v>74</v>
      </c>
      <c r="D553" t="s">
        <v>74</v>
      </c>
      <c r="E553" t="s">
        <v>74</v>
      </c>
      <c r="F553" t="s">
        <v>10798</v>
      </c>
      <c r="G553" t="s">
        <v>74</v>
      </c>
      <c r="H553" t="s">
        <v>74</v>
      </c>
      <c r="I553" t="s">
        <v>10799</v>
      </c>
      <c r="J553" t="s">
        <v>10800</v>
      </c>
      <c r="K553" t="s">
        <v>74</v>
      </c>
      <c r="L553" t="s">
        <v>74</v>
      </c>
      <c r="M553" t="s">
        <v>78</v>
      </c>
      <c r="N553" t="s">
        <v>79</v>
      </c>
      <c r="O553" t="s">
        <v>74</v>
      </c>
      <c r="P553" t="s">
        <v>74</v>
      </c>
      <c r="Q553" t="s">
        <v>74</v>
      </c>
      <c r="R553" t="s">
        <v>74</v>
      </c>
      <c r="S553" t="s">
        <v>74</v>
      </c>
      <c r="T553" t="s">
        <v>10801</v>
      </c>
      <c r="U553" t="s">
        <v>10802</v>
      </c>
      <c r="V553" t="s">
        <v>10803</v>
      </c>
      <c r="W553" t="s">
        <v>10804</v>
      </c>
      <c r="X553" t="s">
        <v>10805</v>
      </c>
      <c r="Y553" t="s">
        <v>10806</v>
      </c>
      <c r="Z553" t="s">
        <v>10807</v>
      </c>
      <c r="AA553" t="s">
        <v>10808</v>
      </c>
      <c r="AB553" t="s">
        <v>10809</v>
      </c>
      <c r="AC553" t="s">
        <v>10810</v>
      </c>
      <c r="AD553" t="s">
        <v>10811</v>
      </c>
      <c r="AE553" t="s">
        <v>10810</v>
      </c>
      <c r="AF553" t="s">
        <v>74</v>
      </c>
      <c r="AG553">
        <v>62</v>
      </c>
      <c r="AH553">
        <v>8</v>
      </c>
      <c r="AI553">
        <v>9</v>
      </c>
      <c r="AJ553">
        <v>2</v>
      </c>
      <c r="AK553">
        <v>15</v>
      </c>
      <c r="AL553" t="s">
        <v>211</v>
      </c>
      <c r="AM553" t="s">
        <v>212</v>
      </c>
      <c r="AN553" t="s">
        <v>213</v>
      </c>
      <c r="AO553" t="s">
        <v>10812</v>
      </c>
      <c r="AP553" t="s">
        <v>10813</v>
      </c>
      <c r="AQ553" t="s">
        <v>74</v>
      </c>
      <c r="AR553" t="s">
        <v>10814</v>
      </c>
      <c r="AS553" t="s">
        <v>10815</v>
      </c>
      <c r="AT553" t="s">
        <v>128</v>
      </c>
      <c r="AU553">
        <v>2020</v>
      </c>
      <c r="AV553">
        <v>26</v>
      </c>
      <c r="AW553">
        <v>4</v>
      </c>
      <c r="AX553" t="s">
        <v>74</v>
      </c>
      <c r="AY553" t="s">
        <v>74</v>
      </c>
      <c r="AZ553" t="s">
        <v>74</v>
      </c>
      <c r="BA553" t="s">
        <v>74</v>
      </c>
      <c r="BB553">
        <v>479</v>
      </c>
      <c r="BC553">
        <v>494</v>
      </c>
      <c r="BD553" t="s">
        <v>74</v>
      </c>
      <c r="BE553" t="s">
        <v>10816</v>
      </c>
      <c r="BF553" t="str">
        <f>HYPERLINK("http://dx.doi.org/10.1111/ddi.13034","http://dx.doi.org/10.1111/ddi.13034")</f>
        <v>http://dx.doi.org/10.1111/ddi.13034</v>
      </c>
      <c r="BG553" t="s">
        <v>74</v>
      </c>
      <c r="BH553" t="s">
        <v>10613</v>
      </c>
      <c r="BI553">
        <v>16</v>
      </c>
      <c r="BJ553" t="s">
        <v>130</v>
      </c>
      <c r="BK553" t="s">
        <v>103</v>
      </c>
      <c r="BL553" t="s">
        <v>131</v>
      </c>
      <c r="BM553" t="s">
        <v>10817</v>
      </c>
      <c r="BN553" t="s">
        <v>74</v>
      </c>
      <c r="BO553" t="s">
        <v>1359</v>
      </c>
      <c r="BP553" t="s">
        <v>74</v>
      </c>
      <c r="BQ553" t="s">
        <v>74</v>
      </c>
      <c r="BR553" t="s">
        <v>106</v>
      </c>
      <c r="BS553" t="s">
        <v>10818</v>
      </c>
      <c r="BT553" t="str">
        <f>HYPERLINK("https%3A%2F%2Fwww.webofscience.com%2Fwos%2Fwoscc%2Ffull-record%2FWOS:000509637300001","View Full Record in Web of Science")</f>
        <v>View Full Record in Web of Science</v>
      </c>
    </row>
    <row r="554" spans="1:72" x14ac:dyDescent="0.15">
      <c r="A554" t="s">
        <v>72</v>
      </c>
      <c r="B554" t="s">
        <v>10819</v>
      </c>
      <c r="C554" t="s">
        <v>74</v>
      </c>
      <c r="D554" t="s">
        <v>74</v>
      </c>
      <c r="E554" t="s">
        <v>74</v>
      </c>
      <c r="F554" t="s">
        <v>10820</v>
      </c>
      <c r="G554" t="s">
        <v>74</v>
      </c>
      <c r="H554" t="s">
        <v>74</v>
      </c>
      <c r="I554" t="s">
        <v>10821</v>
      </c>
      <c r="J554" t="s">
        <v>940</v>
      </c>
      <c r="K554" t="s">
        <v>74</v>
      </c>
      <c r="L554" t="s">
        <v>74</v>
      </c>
      <c r="M554" t="s">
        <v>78</v>
      </c>
      <c r="N554" t="s">
        <v>79</v>
      </c>
      <c r="O554" t="s">
        <v>74</v>
      </c>
      <c r="P554" t="s">
        <v>74</v>
      </c>
      <c r="Q554" t="s">
        <v>74</v>
      </c>
      <c r="R554" t="s">
        <v>74</v>
      </c>
      <c r="S554" t="s">
        <v>74</v>
      </c>
      <c r="T554" t="s">
        <v>74</v>
      </c>
      <c r="U554" t="s">
        <v>10822</v>
      </c>
      <c r="V554" t="s">
        <v>10823</v>
      </c>
      <c r="W554" t="s">
        <v>10824</v>
      </c>
      <c r="X554" t="s">
        <v>10825</v>
      </c>
      <c r="Y554" t="s">
        <v>10826</v>
      </c>
      <c r="Z554" t="s">
        <v>10827</v>
      </c>
      <c r="AA554" t="s">
        <v>74</v>
      </c>
      <c r="AB554" t="s">
        <v>10828</v>
      </c>
      <c r="AC554" t="s">
        <v>10829</v>
      </c>
      <c r="AD554" t="s">
        <v>10830</v>
      </c>
      <c r="AE554" t="s">
        <v>10831</v>
      </c>
      <c r="AF554" t="s">
        <v>74</v>
      </c>
      <c r="AG554">
        <v>62</v>
      </c>
      <c r="AH554">
        <v>6</v>
      </c>
      <c r="AI554">
        <v>6</v>
      </c>
      <c r="AJ554">
        <v>0</v>
      </c>
      <c r="AK554">
        <v>12</v>
      </c>
      <c r="AL554" t="s">
        <v>951</v>
      </c>
      <c r="AM554" t="s">
        <v>952</v>
      </c>
      <c r="AN554" t="s">
        <v>953</v>
      </c>
      <c r="AO554" t="s">
        <v>954</v>
      </c>
      <c r="AP554" t="s">
        <v>74</v>
      </c>
      <c r="AQ554" t="s">
        <v>74</v>
      </c>
      <c r="AR554" t="s">
        <v>955</v>
      </c>
      <c r="AS554" t="s">
        <v>956</v>
      </c>
      <c r="AT554" t="s">
        <v>10832</v>
      </c>
      <c r="AU554">
        <v>2020</v>
      </c>
      <c r="AV554">
        <v>10</v>
      </c>
      <c r="AW554">
        <v>1</v>
      </c>
      <c r="AX554" t="s">
        <v>74</v>
      </c>
      <c r="AY554" t="s">
        <v>74</v>
      </c>
      <c r="AZ554" t="s">
        <v>74</v>
      </c>
      <c r="BA554" t="s">
        <v>74</v>
      </c>
      <c r="BB554" t="s">
        <v>74</v>
      </c>
      <c r="BC554" t="s">
        <v>74</v>
      </c>
      <c r="BD554">
        <v>1234</v>
      </c>
      <c r="BE554" t="s">
        <v>10833</v>
      </c>
      <c r="BF554" t="str">
        <f>HYPERLINK("http://dx.doi.org/10.1038/s41598-020-57868-0","http://dx.doi.org/10.1038/s41598-020-57868-0")</f>
        <v>http://dx.doi.org/10.1038/s41598-020-57868-0</v>
      </c>
      <c r="BG554" t="s">
        <v>74</v>
      </c>
      <c r="BH554" t="s">
        <v>74</v>
      </c>
      <c r="BI554">
        <v>12</v>
      </c>
      <c r="BJ554" t="s">
        <v>322</v>
      </c>
      <c r="BK554" t="s">
        <v>103</v>
      </c>
      <c r="BL554" t="s">
        <v>323</v>
      </c>
      <c r="BM554" t="s">
        <v>10834</v>
      </c>
      <c r="BN554">
        <v>31988370</v>
      </c>
      <c r="BO554" t="s">
        <v>1518</v>
      </c>
      <c r="BP554" t="s">
        <v>74</v>
      </c>
      <c r="BQ554" t="s">
        <v>74</v>
      </c>
      <c r="BR554" t="s">
        <v>106</v>
      </c>
      <c r="BS554" t="s">
        <v>10835</v>
      </c>
      <c r="BT554" t="str">
        <f>HYPERLINK("https%3A%2F%2Fwww.webofscience.com%2Fwos%2Fwoscc%2Ffull-record%2FWOS:000559997100011","View Full Record in Web of Science")</f>
        <v>View Full Record in Web of Science</v>
      </c>
    </row>
    <row r="555" spans="1:72" x14ac:dyDescent="0.15">
      <c r="A555" t="s">
        <v>72</v>
      </c>
      <c r="B555" t="s">
        <v>10836</v>
      </c>
      <c r="C555" t="s">
        <v>74</v>
      </c>
      <c r="D555" t="s">
        <v>74</v>
      </c>
      <c r="E555" t="s">
        <v>74</v>
      </c>
      <c r="F555" t="s">
        <v>10837</v>
      </c>
      <c r="G555" t="s">
        <v>74</v>
      </c>
      <c r="H555" t="s">
        <v>74</v>
      </c>
      <c r="I555" t="s">
        <v>10838</v>
      </c>
      <c r="J555" t="s">
        <v>2874</v>
      </c>
      <c r="K555" t="s">
        <v>74</v>
      </c>
      <c r="L555" t="s">
        <v>74</v>
      </c>
      <c r="M555" t="s">
        <v>78</v>
      </c>
      <c r="N555" t="s">
        <v>79</v>
      </c>
      <c r="O555" t="s">
        <v>74</v>
      </c>
      <c r="P555" t="s">
        <v>74</v>
      </c>
      <c r="Q555" t="s">
        <v>74</v>
      </c>
      <c r="R555" t="s">
        <v>74</v>
      </c>
      <c r="S555" t="s">
        <v>74</v>
      </c>
      <c r="T555" t="s">
        <v>10839</v>
      </c>
      <c r="U555" t="s">
        <v>10840</v>
      </c>
      <c r="V555" t="s">
        <v>10841</v>
      </c>
      <c r="W555" t="s">
        <v>10842</v>
      </c>
      <c r="X555" t="s">
        <v>10843</v>
      </c>
      <c r="Y555" t="s">
        <v>10844</v>
      </c>
      <c r="Z555" t="s">
        <v>10845</v>
      </c>
      <c r="AA555" t="s">
        <v>10846</v>
      </c>
      <c r="AB555" t="s">
        <v>10847</v>
      </c>
      <c r="AC555" t="s">
        <v>10848</v>
      </c>
      <c r="AD555" t="s">
        <v>10849</v>
      </c>
      <c r="AE555" t="s">
        <v>10850</v>
      </c>
      <c r="AF555" t="s">
        <v>74</v>
      </c>
      <c r="AG555">
        <v>21</v>
      </c>
      <c r="AH555">
        <v>6</v>
      </c>
      <c r="AI555">
        <v>6</v>
      </c>
      <c r="AJ555">
        <v>0</v>
      </c>
      <c r="AK555">
        <v>19</v>
      </c>
      <c r="AL555" t="s">
        <v>211</v>
      </c>
      <c r="AM555" t="s">
        <v>212</v>
      </c>
      <c r="AN555" t="s">
        <v>213</v>
      </c>
      <c r="AO555" t="s">
        <v>2887</v>
      </c>
      <c r="AP555" t="s">
        <v>2888</v>
      </c>
      <c r="AQ555" t="s">
        <v>74</v>
      </c>
      <c r="AR555" t="s">
        <v>2889</v>
      </c>
      <c r="AS555" t="s">
        <v>2890</v>
      </c>
      <c r="AT555" t="s">
        <v>690</v>
      </c>
      <c r="AU555">
        <v>2020</v>
      </c>
      <c r="AV555">
        <v>45</v>
      </c>
      <c r="AW555">
        <v>3</v>
      </c>
      <c r="AX555" t="s">
        <v>74</v>
      </c>
      <c r="AY555" t="s">
        <v>74</v>
      </c>
      <c r="AZ555" t="s">
        <v>74</v>
      </c>
      <c r="BA555" t="s">
        <v>74</v>
      </c>
      <c r="BB555">
        <v>399</v>
      </c>
      <c r="BC555">
        <v>403</v>
      </c>
      <c r="BD555" t="s">
        <v>74</v>
      </c>
      <c r="BE555" t="s">
        <v>10851</v>
      </c>
      <c r="BF555" t="str">
        <f>HYPERLINK("http://dx.doi.org/10.1111/aec.12858","http://dx.doi.org/10.1111/aec.12858")</f>
        <v>http://dx.doi.org/10.1111/aec.12858</v>
      </c>
      <c r="BG555" t="s">
        <v>74</v>
      </c>
      <c r="BH555" t="s">
        <v>10613</v>
      </c>
      <c r="BI555">
        <v>5</v>
      </c>
      <c r="BJ555" t="s">
        <v>216</v>
      </c>
      <c r="BK555" t="s">
        <v>103</v>
      </c>
      <c r="BL555" t="s">
        <v>219</v>
      </c>
      <c r="BM555" t="s">
        <v>10852</v>
      </c>
      <c r="BN555" t="s">
        <v>74</v>
      </c>
      <c r="BO555" t="s">
        <v>74</v>
      </c>
      <c r="BP555" t="s">
        <v>74</v>
      </c>
      <c r="BQ555" t="s">
        <v>74</v>
      </c>
      <c r="BR555" t="s">
        <v>106</v>
      </c>
      <c r="BS555" t="s">
        <v>10853</v>
      </c>
      <c r="BT555" t="str">
        <f>HYPERLINK("https%3A%2F%2Fwww.webofscience.com%2Fwos%2Fwoscc%2Ffull-record%2FWOS:000509486500001","View Full Record in Web of Science")</f>
        <v>View Full Record in Web of Science</v>
      </c>
    </row>
    <row r="556" spans="1:72" x14ac:dyDescent="0.15">
      <c r="A556" t="s">
        <v>72</v>
      </c>
      <c r="B556" t="s">
        <v>10854</v>
      </c>
      <c r="C556" t="s">
        <v>74</v>
      </c>
      <c r="D556" t="s">
        <v>74</v>
      </c>
      <c r="E556" t="s">
        <v>74</v>
      </c>
      <c r="F556" t="s">
        <v>10855</v>
      </c>
      <c r="G556" t="s">
        <v>74</v>
      </c>
      <c r="H556" t="s">
        <v>74</v>
      </c>
      <c r="I556" t="s">
        <v>10856</v>
      </c>
      <c r="J556" t="s">
        <v>888</v>
      </c>
      <c r="K556" t="s">
        <v>74</v>
      </c>
      <c r="L556" t="s">
        <v>74</v>
      </c>
      <c r="M556" t="s">
        <v>78</v>
      </c>
      <c r="N556" t="s">
        <v>79</v>
      </c>
      <c r="O556" t="s">
        <v>74</v>
      </c>
      <c r="P556" t="s">
        <v>74</v>
      </c>
      <c r="Q556" t="s">
        <v>74</v>
      </c>
      <c r="R556" t="s">
        <v>74</v>
      </c>
      <c r="S556" t="s">
        <v>74</v>
      </c>
      <c r="T556" t="s">
        <v>74</v>
      </c>
      <c r="U556" t="s">
        <v>10857</v>
      </c>
      <c r="V556" t="s">
        <v>10858</v>
      </c>
      <c r="W556" t="s">
        <v>10859</v>
      </c>
      <c r="X556" t="s">
        <v>10860</v>
      </c>
      <c r="Y556" t="s">
        <v>10861</v>
      </c>
      <c r="Z556" t="s">
        <v>10862</v>
      </c>
      <c r="AA556" t="s">
        <v>10863</v>
      </c>
      <c r="AB556" t="s">
        <v>10864</v>
      </c>
      <c r="AC556" t="s">
        <v>10865</v>
      </c>
      <c r="AD556" t="s">
        <v>10866</v>
      </c>
      <c r="AE556" t="s">
        <v>10867</v>
      </c>
      <c r="AF556" t="s">
        <v>74</v>
      </c>
      <c r="AG556">
        <v>87</v>
      </c>
      <c r="AH556">
        <v>101</v>
      </c>
      <c r="AI556">
        <v>108</v>
      </c>
      <c r="AJ556">
        <v>2</v>
      </c>
      <c r="AK556">
        <v>2</v>
      </c>
      <c r="AL556" t="s">
        <v>855</v>
      </c>
      <c r="AM556" t="s">
        <v>266</v>
      </c>
      <c r="AN556" t="s">
        <v>856</v>
      </c>
      <c r="AO556" t="s">
        <v>900</v>
      </c>
      <c r="AP556" t="s">
        <v>901</v>
      </c>
      <c r="AQ556" t="s">
        <v>74</v>
      </c>
      <c r="AR556" t="s">
        <v>902</v>
      </c>
      <c r="AS556" t="s">
        <v>903</v>
      </c>
      <c r="AT556" t="s">
        <v>10832</v>
      </c>
      <c r="AU556">
        <v>2020</v>
      </c>
      <c r="AV556">
        <v>125</v>
      </c>
      <c r="AW556">
        <v>2</v>
      </c>
      <c r="AX556" t="s">
        <v>74</v>
      </c>
      <c r="AY556" t="s">
        <v>74</v>
      </c>
      <c r="AZ556" t="s">
        <v>74</v>
      </c>
      <c r="BA556" t="s">
        <v>74</v>
      </c>
      <c r="BB556" t="s">
        <v>74</v>
      </c>
      <c r="BC556" t="s">
        <v>74</v>
      </c>
      <c r="BD556" t="s">
        <v>10868</v>
      </c>
      <c r="BE556" t="s">
        <v>10869</v>
      </c>
      <c r="BF556" t="str">
        <f>HYPERLINK("http://dx.doi.org/10.1029/2019JD030920","http://dx.doi.org/10.1029/2019JD030920")</f>
        <v>http://dx.doi.org/10.1029/2019JD030920</v>
      </c>
      <c r="BG556" t="s">
        <v>74</v>
      </c>
      <c r="BH556" t="s">
        <v>74</v>
      </c>
      <c r="BI556">
        <v>17</v>
      </c>
      <c r="BJ556" t="s">
        <v>907</v>
      </c>
      <c r="BK556" t="s">
        <v>103</v>
      </c>
      <c r="BL556" t="s">
        <v>907</v>
      </c>
      <c r="BM556" t="s">
        <v>10870</v>
      </c>
      <c r="BN556" t="s">
        <v>74</v>
      </c>
      <c r="BO556" t="s">
        <v>10871</v>
      </c>
      <c r="BP556" t="s">
        <v>1869</v>
      </c>
      <c r="BQ556" t="s">
        <v>1870</v>
      </c>
      <c r="BR556" t="s">
        <v>106</v>
      </c>
      <c r="BS556" t="s">
        <v>10872</v>
      </c>
      <c r="BT556" t="str">
        <f>HYPERLINK("https%3A%2F%2Fwww.webofscience.com%2Fwos%2Fwoscc%2Ffull-record%2FWOS:000521080000002","View Full Record in Web of Science")</f>
        <v>View Full Record in Web of Science</v>
      </c>
    </row>
    <row r="557" spans="1:72" x14ac:dyDescent="0.15">
      <c r="A557" t="s">
        <v>72</v>
      </c>
      <c r="B557" t="s">
        <v>10873</v>
      </c>
      <c r="C557" t="s">
        <v>74</v>
      </c>
      <c r="D557" t="s">
        <v>74</v>
      </c>
      <c r="E557" t="s">
        <v>74</v>
      </c>
      <c r="F557" t="s">
        <v>10874</v>
      </c>
      <c r="G557" t="s">
        <v>74</v>
      </c>
      <c r="H557" t="s">
        <v>74</v>
      </c>
      <c r="I557" t="s">
        <v>10875</v>
      </c>
      <c r="J557" t="s">
        <v>888</v>
      </c>
      <c r="K557" t="s">
        <v>74</v>
      </c>
      <c r="L557" t="s">
        <v>74</v>
      </c>
      <c r="M557" t="s">
        <v>78</v>
      </c>
      <c r="N557" t="s">
        <v>79</v>
      </c>
      <c r="O557" t="s">
        <v>74</v>
      </c>
      <c r="P557" t="s">
        <v>74</v>
      </c>
      <c r="Q557" t="s">
        <v>74</v>
      </c>
      <c r="R557" t="s">
        <v>74</v>
      </c>
      <c r="S557" t="s">
        <v>74</v>
      </c>
      <c r="T557" t="s">
        <v>74</v>
      </c>
      <c r="U557" t="s">
        <v>10876</v>
      </c>
      <c r="V557" t="s">
        <v>10877</v>
      </c>
      <c r="W557" t="s">
        <v>10878</v>
      </c>
      <c r="X557" t="s">
        <v>10879</v>
      </c>
      <c r="Y557" t="s">
        <v>10880</v>
      </c>
      <c r="Z557" t="s">
        <v>10881</v>
      </c>
      <c r="AA557" t="s">
        <v>10882</v>
      </c>
      <c r="AB557" t="s">
        <v>10883</v>
      </c>
      <c r="AC557" t="s">
        <v>10884</v>
      </c>
      <c r="AD557" t="s">
        <v>10885</v>
      </c>
      <c r="AE557" t="s">
        <v>10886</v>
      </c>
      <c r="AF557" t="s">
        <v>74</v>
      </c>
      <c r="AG557">
        <v>41</v>
      </c>
      <c r="AH557">
        <v>8</v>
      </c>
      <c r="AI557">
        <v>8</v>
      </c>
      <c r="AJ557">
        <v>0</v>
      </c>
      <c r="AK557">
        <v>0</v>
      </c>
      <c r="AL557" t="s">
        <v>855</v>
      </c>
      <c r="AM557" t="s">
        <v>266</v>
      </c>
      <c r="AN557" t="s">
        <v>856</v>
      </c>
      <c r="AO557" t="s">
        <v>900</v>
      </c>
      <c r="AP557" t="s">
        <v>901</v>
      </c>
      <c r="AQ557" t="s">
        <v>74</v>
      </c>
      <c r="AR557" t="s">
        <v>902</v>
      </c>
      <c r="AS557" t="s">
        <v>903</v>
      </c>
      <c r="AT557" t="s">
        <v>10832</v>
      </c>
      <c r="AU557">
        <v>2020</v>
      </c>
      <c r="AV557">
        <v>125</v>
      </c>
      <c r="AW557">
        <v>2</v>
      </c>
      <c r="AX557" t="s">
        <v>74</v>
      </c>
      <c r="AY557" t="s">
        <v>74</v>
      </c>
      <c r="AZ557" t="s">
        <v>74</v>
      </c>
      <c r="BA557" t="s">
        <v>74</v>
      </c>
      <c r="BB557" t="s">
        <v>74</v>
      </c>
      <c r="BC557" t="s">
        <v>74</v>
      </c>
      <c r="BD557" t="s">
        <v>10887</v>
      </c>
      <c r="BE557" t="s">
        <v>10888</v>
      </c>
      <c r="BF557" t="str">
        <f>HYPERLINK("http://dx.doi.org/10.1029/2019JD031399","http://dx.doi.org/10.1029/2019JD031399")</f>
        <v>http://dx.doi.org/10.1029/2019JD031399</v>
      </c>
      <c r="BG557" t="s">
        <v>74</v>
      </c>
      <c r="BH557" t="s">
        <v>74</v>
      </c>
      <c r="BI557">
        <v>20</v>
      </c>
      <c r="BJ557" t="s">
        <v>907</v>
      </c>
      <c r="BK557" t="s">
        <v>103</v>
      </c>
      <c r="BL557" t="s">
        <v>907</v>
      </c>
      <c r="BM557" t="s">
        <v>10870</v>
      </c>
      <c r="BN557" t="s">
        <v>74</v>
      </c>
      <c r="BO557" t="s">
        <v>1542</v>
      </c>
      <c r="BP557" t="s">
        <v>74</v>
      </c>
      <c r="BQ557" t="s">
        <v>74</v>
      </c>
      <c r="BR557" t="s">
        <v>106</v>
      </c>
      <c r="BS557" t="s">
        <v>10889</v>
      </c>
      <c r="BT557" t="str">
        <f>HYPERLINK("https%3A%2F%2Fwww.webofscience.com%2Fwos%2Fwoscc%2Ffull-record%2FWOS:000521080000009","View Full Record in Web of Science")</f>
        <v>View Full Record in Web of Science</v>
      </c>
    </row>
    <row r="558" spans="1:72" x14ac:dyDescent="0.15">
      <c r="A558" t="s">
        <v>72</v>
      </c>
      <c r="B558" t="s">
        <v>10890</v>
      </c>
      <c r="C558" t="s">
        <v>74</v>
      </c>
      <c r="D558" t="s">
        <v>74</v>
      </c>
      <c r="E558" t="s">
        <v>74</v>
      </c>
      <c r="F558" t="s">
        <v>10891</v>
      </c>
      <c r="G558" t="s">
        <v>74</v>
      </c>
      <c r="H558" t="s">
        <v>74</v>
      </c>
      <c r="I558" t="s">
        <v>10892</v>
      </c>
      <c r="J558" t="s">
        <v>10893</v>
      </c>
      <c r="K558" t="s">
        <v>74</v>
      </c>
      <c r="L558" t="s">
        <v>74</v>
      </c>
      <c r="M558" t="s">
        <v>78</v>
      </c>
      <c r="N558" t="s">
        <v>79</v>
      </c>
      <c r="O558" t="s">
        <v>74</v>
      </c>
      <c r="P558" t="s">
        <v>74</v>
      </c>
      <c r="Q558" t="s">
        <v>74</v>
      </c>
      <c r="R558" t="s">
        <v>74</v>
      </c>
      <c r="S558" t="s">
        <v>74</v>
      </c>
      <c r="T558" t="s">
        <v>74</v>
      </c>
      <c r="U558" t="s">
        <v>10894</v>
      </c>
      <c r="V558" t="s">
        <v>10895</v>
      </c>
      <c r="W558" t="s">
        <v>10896</v>
      </c>
      <c r="X558" t="s">
        <v>10897</v>
      </c>
      <c r="Y558" t="s">
        <v>10898</v>
      </c>
      <c r="Z558" t="s">
        <v>10899</v>
      </c>
      <c r="AA558" t="s">
        <v>10900</v>
      </c>
      <c r="AB558" t="s">
        <v>10901</v>
      </c>
      <c r="AC558" t="s">
        <v>10902</v>
      </c>
      <c r="AD558" t="s">
        <v>10903</v>
      </c>
      <c r="AE558" t="s">
        <v>10904</v>
      </c>
      <c r="AF558" t="s">
        <v>74</v>
      </c>
      <c r="AG558">
        <v>47</v>
      </c>
      <c r="AH558">
        <v>2</v>
      </c>
      <c r="AI558">
        <v>2</v>
      </c>
      <c r="AJ558">
        <v>0</v>
      </c>
      <c r="AK558">
        <v>6</v>
      </c>
      <c r="AL558" t="s">
        <v>211</v>
      </c>
      <c r="AM558" t="s">
        <v>212</v>
      </c>
      <c r="AN558" t="s">
        <v>213</v>
      </c>
      <c r="AO558" t="s">
        <v>10905</v>
      </c>
      <c r="AP558" t="s">
        <v>10906</v>
      </c>
      <c r="AQ558" t="s">
        <v>74</v>
      </c>
      <c r="AR558" t="s">
        <v>10893</v>
      </c>
      <c r="AS558" t="s">
        <v>10907</v>
      </c>
      <c r="AT558" t="s">
        <v>128</v>
      </c>
      <c r="AU558">
        <v>2020</v>
      </c>
      <c r="AV558">
        <v>49</v>
      </c>
      <c r="AW558">
        <v>2</v>
      </c>
      <c r="AX558" t="s">
        <v>74</v>
      </c>
      <c r="AY558" t="s">
        <v>74</v>
      </c>
      <c r="AZ558" t="s">
        <v>74</v>
      </c>
      <c r="BA558" t="s">
        <v>74</v>
      </c>
      <c r="BB558">
        <v>375</v>
      </c>
      <c r="BC558">
        <v>388</v>
      </c>
      <c r="BD558" t="s">
        <v>74</v>
      </c>
      <c r="BE558" t="s">
        <v>10908</v>
      </c>
      <c r="BF558" t="str">
        <f>HYPERLINK("http://dx.doi.org/10.1111/bor.12428","http://dx.doi.org/10.1111/bor.12428")</f>
        <v>http://dx.doi.org/10.1111/bor.12428</v>
      </c>
      <c r="BG558" t="s">
        <v>74</v>
      </c>
      <c r="BH558" t="s">
        <v>10613</v>
      </c>
      <c r="BI558">
        <v>14</v>
      </c>
      <c r="BJ558" t="s">
        <v>1307</v>
      </c>
      <c r="BK558" t="s">
        <v>103</v>
      </c>
      <c r="BL558" t="s">
        <v>1308</v>
      </c>
      <c r="BM558" t="s">
        <v>10909</v>
      </c>
      <c r="BN558" t="s">
        <v>74</v>
      </c>
      <c r="BO558" t="s">
        <v>74</v>
      </c>
      <c r="BP558" t="s">
        <v>74</v>
      </c>
      <c r="BQ558" t="s">
        <v>74</v>
      </c>
      <c r="BR558" t="s">
        <v>106</v>
      </c>
      <c r="BS558" t="s">
        <v>10910</v>
      </c>
      <c r="BT558" t="str">
        <f>HYPERLINK("https%3A%2F%2Fwww.webofscience.com%2Fwos%2Fwoscc%2Ffull-record%2FWOS:000508991400001","View Full Record in Web of Science")</f>
        <v>View Full Record in Web of Science</v>
      </c>
    </row>
    <row r="559" spans="1:72" x14ac:dyDescent="0.15">
      <c r="A559" t="s">
        <v>72</v>
      </c>
      <c r="B559" t="s">
        <v>10911</v>
      </c>
      <c r="C559" t="s">
        <v>74</v>
      </c>
      <c r="D559" t="s">
        <v>74</v>
      </c>
      <c r="E559" t="s">
        <v>74</v>
      </c>
      <c r="F559" t="s">
        <v>10912</v>
      </c>
      <c r="G559" t="s">
        <v>74</v>
      </c>
      <c r="H559" t="s">
        <v>74</v>
      </c>
      <c r="I559" t="s">
        <v>10913</v>
      </c>
      <c r="J559" t="s">
        <v>10914</v>
      </c>
      <c r="K559" t="s">
        <v>74</v>
      </c>
      <c r="L559" t="s">
        <v>74</v>
      </c>
      <c r="M559" t="s">
        <v>78</v>
      </c>
      <c r="N559" t="s">
        <v>79</v>
      </c>
      <c r="O559" t="s">
        <v>74</v>
      </c>
      <c r="P559" t="s">
        <v>74</v>
      </c>
      <c r="Q559" t="s">
        <v>74</v>
      </c>
      <c r="R559" t="s">
        <v>74</v>
      </c>
      <c r="S559" t="s">
        <v>74</v>
      </c>
      <c r="T559" t="s">
        <v>10915</v>
      </c>
      <c r="U559" t="s">
        <v>10916</v>
      </c>
      <c r="V559" t="s">
        <v>10917</v>
      </c>
      <c r="W559" t="s">
        <v>10918</v>
      </c>
      <c r="X559" t="s">
        <v>10919</v>
      </c>
      <c r="Y559" t="s">
        <v>10920</v>
      </c>
      <c r="Z559" t="s">
        <v>10921</v>
      </c>
      <c r="AA559" t="s">
        <v>10922</v>
      </c>
      <c r="AB559" t="s">
        <v>10923</v>
      </c>
      <c r="AC559" t="s">
        <v>10924</v>
      </c>
      <c r="AD559" t="s">
        <v>10925</v>
      </c>
      <c r="AE559" t="s">
        <v>10926</v>
      </c>
      <c r="AF559" t="s">
        <v>74</v>
      </c>
      <c r="AG559">
        <v>22</v>
      </c>
      <c r="AH559">
        <v>1</v>
      </c>
      <c r="AI559">
        <v>1</v>
      </c>
      <c r="AJ559">
        <v>0</v>
      </c>
      <c r="AK559">
        <v>4</v>
      </c>
      <c r="AL559" t="s">
        <v>121</v>
      </c>
      <c r="AM559" t="s">
        <v>166</v>
      </c>
      <c r="AN559" t="s">
        <v>685</v>
      </c>
      <c r="AO559" t="s">
        <v>10927</v>
      </c>
      <c r="AP559" t="s">
        <v>10928</v>
      </c>
      <c r="AQ559" t="s">
        <v>74</v>
      </c>
      <c r="AR559" t="s">
        <v>10929</v>
      </c>
      <c r="AS559" t="s">
        <v>10930</v>
      </c>
      <c r="AT559" t="s">
        <v>2912</v>
      </c>
      <c r="AU559">
        <v>2020</v>
      </c>
      <c r="AV559">
        <v>119</v>
      </c>
      <c r="AW559">
        <v>3</v>
      </c>
      <c r="AX559" t="s">
        <v>74</v>
      </c>
      <c r="AY559" t="s">
        <v>74</v>
      </c>
      <c r="AZ559" t="s">
        <v>74</v>
      </c>
      <c r="BA559" t="s">
        <v>74</v>
      </c>
      <c r="BB559">
        <v>1155</v>
      </c>
      <c r="BC559">
        <v>1160</v>
      </c>
      <c r="BD559" t="s">
        <v>74</v>
      </c>
      <c r="BE559" t="s">
        <v>10931</v>
      </c>
      <c r="BF559" t="str">
        <f>HYPERLINK("http://dx.doi.org/10.1007/s00436-019-06549-7","http://dx.doi.org/10.1007/s00436-019-06549-7")</f>
        <v>http://dx.doi.org/10.1007/s00436-019-06549-7</v>
      </c>
      <c r="BG559" t="s">
        <v>74</v>
      </c>
      <c r="BH559" t="s">
        <v>10613</v>
      </c>
      <c r="BI559">
        <v>6</v>
      </c>
      <c r="BJ559" t="s">
        <v>9489</v>
      </c>
      <c r="BK559" t="s">
        <v>103</v>
      </c>
      <c r="BL559" t="s">
        <v>9489</v>
      </c>
      <c r="BM559" t="s">
        <v>10932</v>
      </c>
      <c r="BN559">
        <v>31980952</v>
      </c>
      <c r="BO559" t="s">
        <v>74</v>
      </c>
      <c r="BP559" t="s">
        <v>74</v>
      </c>
      <c r="BQ559" t="s">
        <v>74</v>
      </c>
      <c r="BR559" t="s">
        <v>106</v>
      </c>
      <c r="BS559" t="s">
        <v>10933</v>
      </c>
      <c r="BT559" t="str">
        <f>HYPERLINK("https%3A%2F%2Fwww.webofscience.com%2Fwos%2Fwoscc%2Ffull-record%2FWOS:000509133600001","View Full Record in Web of Science")</f>
        <v>View Full Record in Web of Science</v>
      </c>
    </row>
    <row r="560" spans="1:72" x14ac:dyDescent="0.15">
      <c r="A560" t="s">
        <v>72</v>
      </c>
      <c r="B560" t="s">
        <v>10934</v>
      </c>
      <c r="C560" t="s">
        <v>74</v>
      </c>
      <c r="D560" t="s">
        <v>74</v>
      </c>
      <c r="E560" t="s">
        <v>74</v>
      </c>
      <c r="F560" t="s">
        <v>10935</v>
      </c>
      <c r="G560" t="s">
        <v>74</v>
      </c>
      <c r="H560" t="s">
        <v>74</v>
      </c>
      <c r="I560" t="s">
        <v>10936</v>
      </c>
      <c r="J560" t="s">
        <v>6167</v>
      </c>
      <c r="K560" t="s">
        <v>74</v>
      </c>
      <c r="L560" t="s">
        <v>74</v>
      </c>
      <c r="M560" t="s">
        <v>78</v>
      </c>
      <c r="N560" t="s">
        <v>79</v>
      </c>
      <c r="O560" t="s">
        <v>74</v>
      </c>
      <c r="P560" t="s">
        <v>74</v>
      </c>
      <c r="Q560" t="s">
        <v>74</v>
      </c>
      <c r="R560" t="s">
        <v>74</v>
      </c>
      <c r="S560" t="s">
        <v>74</v>
      </c>
      <c r="T560" t="s">
        <v>74</v>
      </c>
      <c r="U560" t="s">
        <v>10937</v>
      </c>
      <c r="V560" t="s">
        <v>10938</v>
      </c>
      <c r="W560" t="s">
        <v>10939</v>
      </c>
      <c r="X560" t="s">
        <v>10940</v>
      </c>
      <c r="Y560" t="s">
        <v>10941</v>
      </c>
      <c r="Z560" t="s">
        <v>10942</v>
      </c>
      <c r="AA560" t="s">
        <v>10943</v>
      </c>
      <c r="AB560" t="s">
        <v>10944</v>
      </c>
      <c r="AC560" t="s">
        <v>10945</v>
      </c>
      <c r="AD560" t="s">
        <v>10945</v>
      </c>
      <c r="AE560" t="s">
        <v>10946</v>
      </c>
      <c r="AF560" t="s">
        <v>74</v>
      </c>
      <c r="AG560">
        <v>42</v>
      </c>
      <c r="AH560">
        <v>146</v>
      </c>
      <c r="AI560">
        <v>149</v>
      </c>
      <c r="AJ560">
        <v>9</v>
      </c>
      <c r="AK560">
        <v>52</v>
      </c>
      <c r="AL560" t="s">
        <v>6179</v>
      </c>
      <c r="AM560" t="s">
        <v>3234</v>
      </c>
      <c r="AN560" t="s">
        <v>6180</v>
      </c>
      <c r="AO560" t="s">
        <v>6181</v>
      </c>
      <c r="AP560" t="s">
        <v>6182</v>
      </c>
      <c r="AQ560" t="s">
        <v>74</v>
      </c>
      <c r="AR560" t="s">
        <v>6167</v>
      </c>
      <c r="AS560" t="s">
        <v>6183</v>
      </c>
      <c r="AT560" t="s">
        <v>10947</v>
      </c>
      <c r="AU560">
        <v>2020</v>
      </c>
      <c r="AV560">
        <v>2</v>
      </c>
      <c r="AW560">
        <v>1</v>
      </c>
      <c r="AX560" t="s">
        <v>74</v>
      </c>
      <c r="AY560" t="s">
        <v>74</v>
      </c>
      <c r="AZ560" t="s">
        <v>74</v>
      </c>
      <c r="BA560" t="s">
        <v>74</v>
      </c>
      <c r="BB560">
        <v>34</v>
      </c>
      <c r="BC560">
        <v>42</v>
      </c>
      <c r="BD560" t="s">
        <v>74</v>
      </c>
      <c r="BE560" t="s">
        <v>10948</v>
      </c>
      <c r="BF560" t="str">
        <f>HYPERLINK("http://dx.doi.org/10.1016/j.oneear.2019.10.012","http://dx.doi.org/10.1016/j.oneear.2019.10.012")</f>
        <v>http://dx.doi.org/10.1016/j.oneear.2019.10.012</v>
      </c>
      <c r="BG560" t="s">
        <v>74</v>
      </c>
      <c r="BH560" t="s">
        <v>74</v>
      </c>
      <c r="BI560">
        <v>9</v>
      </c>
      <c r="BJ560" t="s">
        <v>6185</v>
      </c>
      <c r="BK560" t="s">
        <v>1149</v>
      </c>
      <c r="BL560" t="s">
        <v>6186</v>
      </c>
      <c r="BM560" t="s">
        <v>10949</v>
      </c>
      <c r="BN560" t="s">
        <v>74</v>
      </c>
      <c r="BO560" t="s">
        <v>3243</v>
      </c>
      <c r="BP560" t="s">
        <v>1869</v>
      </c>
      <c r="BQ560" t="s">
        <v>1870</v>
      </c>
      <c r="BR560" t="s">
        <v>106</v>
      </c>
      <c r="BS560" t="s">
        <v>10950</v>
      </c>
      <c r="BT560" t="str">
        <f>HYPERLINK("https%3A%2F%2Fwww.webofscience.com%2Fwos%2Fwoscc%2Ffull-record%2FWOS:000645242000010","View Full Record in Web of Science")</f>
        <v>View Full Record in Web of Science</v>
      </c>
    </row>
    <row r="561" spans="1:72" x14ac:dyDescent="0.15">
      <c r="A561" t="s">
        <v>72</v>
      </c>
      <c r="B561" t="s">
        <v>10951</v>
      </c>
      <c r="C561" t="s">
        <v>74</v>
      </c>
      <c r="D561" t="s">
        <v>74</v>
      </c>
      <c r="E561" t="s">
        <v>74</v>
      </c>
      <c r="F561" t="s">
        <v>10952</v>
      </c>
      <c r="G561" t="s">
        <v>74</v>
      </c>
      <c r="H561" t="s">
        <v>74</v>
      </c>
      <c r="I561" t="s">
        <v>10953</v>
      </c>
      <c r="J561" t="s">
        <v>1240</v>
      </c>
      <c r="K561" t="s">
        <v>74</v>
      </c>
      <c r="L561" t="s">
        <v>74</v>
      </c>
      <c r="M561" t="s">
        <v>78</v>
      </c>
      <c r="N561" t="s">
        <v>79</v>
      </c>
      <c r="O561" t="s">
        <v>74</v>
      </c>
      <c r="P561" t="s">
        <v>74</v>
      </c>
      <c r="Q561" t="s">
        <v>74</v>
      </c>
      <c r="R561" t="s">
        <v>74</v>
      </c>
      <c r="S561" t="s">
        <v>74</v>
      </c>
      <c r="T561" t="s">
        <v>74</v>
      </c>
      <c r="U561" t="s">
        <v>10954</v>
      </c>
      <c r="V561" t="s">
        <v>10955</v>
      </c>
      <c r="W561" t="s">
        <v>10956</v>
      </c>
      <c r="X561" t="s">
        <v>10957</v>
      </c>
      <c r="Y561" t="s">
        <v>10958</v>
      </c>
      <c r="Z561" t="s">
        <v>10959</v>
      </c>
      <c r="AA561" t="s">
        <v>10960</v>
      </c>
      <c r="AB561" t="s">
        <v>10961</v>
      </c>
      <c r="AC561" t="s">
        <v>10962</v>
      </c>
      <c r="AD561" t="s">
        <v>10963</v>
      </c>
      <c r="AE561" t="s">
        <v>10964</v>
      </c>
      <c r="AF561" t="s">
        <v>74</v>
      </c>
      <c r="AG561">
        <v>75</v>
      </c>
      <c r="AH561">
        <v>30</v>
      </c>
      <c r="AI561">
        <v>32</v>
      </c>
      <c r="AJ561">
        <v>1</v>
      </c>
      <c r="AK561">
        <v>15</v>
      </c>
      <c r="AL561" t="s">
        <v>951</v>
      </c>
      <c r="AM561" t="s">
        <v>952</v>
      </c>
      <c r="AN561" t="s">
        <v>953</v>
      </c>
      <c r="AO561" t="s">
        <v>74</v>
      </c>
      <c r="AP561" t="s">
        <v>1252</v>
      </c>
      <c r="AQ561" t="s">
        <v>74</v>
      </c>
      <c r="AR561" t="s">
        <v>1253</v>
      </c>
      <c r="AS561" t="s">
        <v>1254</v>
      </c>
      <c r="AT561" t="s">
        <v>10965</v>
      </c>
      <c r="AU561">
        <v>2020</v>
      </c>
      <c r="AV561">
        <v>11</v>
      </c>
      <c r="AW561">
        <v>1</v>
      </c>
      <c r="AX561" t="s">
        <v>74</v>
      </c>
      <c r="AY561" t="s">
        <v>74</v>
      </c>
      <c r="AZ561" t="s">
        <v>74</v>
      </c>
      <c r="BA561" t="s">
        <v>74</v>
      </c>
      <c r="BB561" t="s">
        <v>74</v>
      </c>
      <c r="BC561" t="s">
        <v>74</v>
      </c>
      <c r="BD561">
        <v>424</v>
      </c>
      <c r="BE561" t="s">
        <v>10966</v>
      </c>
      <c r="BF561" t="str">
        <f>HYPERLINK("http://dx.doi.org/10.1038/s41467-020-14302-3","http://dx.doi.org/10.1038/s41467-020-14302-3")</f>
        <v>http://dx.doi.org/10.1038/s41467-020-14302-3</v>
      </c>
      <c r="BG561" t="s">
        <v>74</v>
      </c>
      <c r="BH561" t="s">
        <v>74</v>
      </c>
      <c r="BI561">
        <v>10</v>
      </c>
      <c r="BJ561" t="s">
        <v>322</v>
      </c>
      <c r="BK561" t="s">
        <v>103</v>
      </c>
      <c r="BL561" t="s">
        <v>323</v>
      </c>
      <c r="BM561" t="s">
        <v>10967</v>
      </c>
      <c r="BN561">
        <v>31969564</v>
      </c>
      <c r="BO561" t="s">
        <v>1518</v>
      </c>
      <c r="BP561" t="s">
        <v>74</v>
      </c>
      <c r="BQ561" t="s">
        <v>74</v>
      </c>
      <c r="BR561" t="s">
        <v>106</v>
      </c>
      <c r="BS561" t="s">
        <v>10968</v>
      </c>
      <c r="BT561" t="str">
        <f>HYPERLINK("https%3A%2F%2Fwww.webofscience.com%2Fwos%2Fwoscc%2Ffull-record%2FWOS:000511464000003","View Full Record in Web of Science")</f>
        <v>View Full Record in Web of Science</v>
      </c>
    </row>
    <row r="562" spans="1:72" x14ac:dyDescent="0.15">
      <c r="A562" t="s">
        <v>72</v>
      </c>
      <c r="B562" t="s">
        <v>10969</v>
      </c>
      <c r="C562" t="s">
        <v>74</v>
      </c>
      <c r="D562" t="s">
        <v>74</v>
      </c>
      <c r="E562" t="s">
        <v>74</v>
      </c>
      <c r="F562" t="s">
        <v>10970</v>
      </c>
      <c r="G562" t="s">
        <v>74</v>
      </c>
      <c r="H562" t="s">
        <v>74</v>
      </c>
      <c r="I562" t="s">
        <v>10971</v>
      </c>
      <c r="J562" t="s">
        <v>10972</v>
      </c>
      <c r="K562" t="s">
        <v>74</v>
      </c>
      <c r="L562" t="s">
        <v>74</v>
      </c>
      <c r="M562" t="s">
        <v>78</v>
      </c>
      <c r="N562" t="s">
        <v>79</v>
      </c>
      <c r="O562" t="s">
        <v>74</v>
      </c>
      <c r="P562" t="s">
        <v>74</v>
      </c>
      <c r="Q562" t="s">
        <v>74</v>
      </c>
      <c r="R562" t="s">
        <v>74</v>
      </c>
      <c r="S562" t="s">
        <v>74</v>
      </c>
      <c r="T562" t="s">
        <v>10973</v>
      </c>
      <c r="U562" t="s">
        <v>10974</v>
      </c>
      <c r="V562" t="s">
        <v>10975</v>
      </c>
      <c r="W562" t="s">
        <v>10976</v>
      </c>
      <c r="X562" t="s">
        <v>10977</v>
      </c>
      <c r="Y562" t="s">
        <v>10978</v>
      </c>
      <c r="Z562" t="s">
        <v>10979</v>
      </c>
      <c r="AA562" t="s">
        <v>10980</v>
      </c>
      <c r="AB562" t="s">
        <v>10981</v>
      </c>
      <c r="AC562" t="s">
        <v>74</v>
      </c>
      <c r="AD562" t="s">
        <v>74</v>
      </c>
      <c r="AE562" t="s">
        <v>74</v>
      </c>
      <c r="AF562" t="s">
        <v>74</v>
      </c>
      <c r="AG562">
        <v>47</v>
      </c>
      <c r="AH562">
        <v>14</v>
      </c>
      <c r="AI562">
        <v>15</v>
      </c>
      <c r="AJ562">
        <v>1</v>
      </c>
      <c r="AK562">
        <v>17</v>
      </c>
      <c r="AL562" t="s">
        <v>211</v>
      </c>
      <c r="AM562" t="s">
        <v>212</v>
      </c>
      <c r="AN562" t="s">
        <v>213</v>
      </c>
      <c r="AO562" t="s">
        <v>10982</v>
      </c>
      <c r="AP562" t="s">
        <v>10983</v>
      </c>
      <c r="AQ562" t="s">
        <v>74</v>
      </c>
      <c r="AR562" t="s">
        <v>10984</v>
      </c>
      <c r="AS562" t="s">
        <v>10985</v>
      </c>
      <c r="AT562" t="s">
        <v>690</v>
      </c>
      <c r="AU562">
        <v>2020</v>
      </c>
      <c r="AV562">
        <v>95</v>
      </c>
      <c r="AW562">
        <v>5</v>
      </c>
      <c r="AX562" t="s">
        <v>74</v>
      </c>
      <c r="AY562" t="s">
        <v>74</v>
      </c>
      <c r="AZ562" t="s">
        <v>74</v>
      </c>
      <c r="BA562" t="s">
        <v>74</v>
      </c>
      <c r="BB562">
        <v>1372</v>
      </c>
      <c r="BC562">
        <v>1379</v>
      </c>
      <c r="BD562" t="s">
        <v>74</v>
      </c>
      <c r="BE562" t="s">
        <v>10986</v>
      </c>
      <c r="BF562" t="str">
        <f>HYPERLINK("http://dx.doi.org/10.1002/jctb.6321","http://dx.doi.org/10.1002/jctb.6321")</f>
        <v>http://dx.doi.org/10.1002/jctb.6321</v>
      </c>
      <c r="BG562" t="s">
        <v>74</v>
      </c>
      <c r="BH562" t="s">
        <v>10613</v>
      </c>
      <c r="BI562">
        <v>8</v>
      </c>
      <c r="BJ562" t="s">
        <v>10987</v>
      </c>
      <c r="BK562" t="s">
        <v>103</v>
      </c>
      <c r="BL562" t="s">
        <v>10988</v>
      </c>
      <c r="BM562" t="s">
        <v>10989</v>
      </c>
      <c r="BN562" t="s">
        <v>74</v>
      </c>
      <c r="BO562" t="s">
        <v>74</v>
      </c>
      <c r="BP562" t="s">
        <v>74</v>
      </c>
      <c r="BQ562" t="s">
        <v>74</v>
      </c>
      <c r="BR562" t="s">
        <v>106</v>
      </c>
      <c r="BS562" t="s">
        <v>10990</v>
      </c>
      <c r="BT562" t="str">
        <f>HYPERLINK("https%3A%2F%2Fwww.webofscience.com%2Fwos%2Fwoscc%2Ffull-record%2FWOS:000508486800001","View Full Record in Web of Science")</f>
        <v>View Full Record in Web of Science</v>
      </c>
    </row>
    <row r="563" spans="1:72" x14ac:dyDescent="0.15">
      <c r="A563" t="s">
        <v>72</v>
      </c>
      <c r="B563" t="s">
        <v>10991</v>
      </c>
      <c r="C563" t="s">
        <v>74</v>
      </c>
      <c r="D563" t="s">
        <v>74</v>
      </c>
      <c r="E563" t="s">
        <v>74</v>
      </c>
      <c r="F563" t="s">
        <v>10992</v>
      </c>
      <c r="G563" t="s">
        <v>74</v>
      </c>
      <c r="H563" t="s">
        <v>74</v>
      </c>
      <c r="I563" t="s">
        <v>10993</v>
      </c>
      <c r="J563" t="s">
        <v>1339</v>
      </c>
      <c r="K563" t="s">
        <v>74</v>
      </c>
      <c r="L563" t="s">
        <v>74</v>
      </c>
      <c r="M563" t="s">
        <v>78</v>
      </c>
      <c r="N563" t="s">
        <v>79</v>
      </c>
      <c r="O563" t="s">
        <v>74</v>
      </c>
      <c r="P563" t="s">
        <v>74</v>
      </c>
      <c r="Q563" t="s">
        <v>74</v>
      </c>
      <c r="R563" t="s">
        <v>74</v>
      </c>
      <c r="S563" t="s">
        <v>74</v>
      </c>
      <c r="T563" t="s">
        <v>10994</v>
      </c>
      <c r="U563" t="s">
        <v>10995</v>
      </c>
      <c r="V563" t="s">
        <v>10996</v>
      </c>
      <c r="W563" t="s">
        <v>10997</v>
      </c>
      <c r="X563" t="s">
        <v>10998</v>
      </c>
      <c r="Y563" t="s">
        <v>1048</v>
      </c>
      <c r="Z563" t="s">
        <v>10999</v>
      </c>
      <c r="AA563" t="s">
        <v>11000</v>
      </c>
      <c r="AB563" t="s">
        <v>11001</v>
      </c>
      <c r="AC563" t="s">
        <v>11002</v>
      </c>
      <c r="AD563" t="s">
        <v>11003</v>
      </c>
      <c r="AE563" t="s">
        <v>11004</v>
      </c>
      <c r="AF563" t="s">
        <v>74</v>
      </c>
      <c r="AG563">
        <v>127</v>
      </c>
      <c r="AH563">
        <v>19</v>
      </c>
      <c r="AI563">
        <v>21</v>
      </c>
      <c r="AJ563">
        <v>1</v>
      </c>
      <c r="AK563">
        <v>33</v>
      </c>
      <c r="AL563" t="s">
        <v>658</v>
      </c>
      <c r="AM563" t="s">
        <v>659</v>
      </c>
      <c r="AN563" t="s">
        <v>660</v>
      </c>
      <c r="AO563" t="s">
        <v>74</v>
      </c>
      <c r="AP563" t="s">
        <v>1352</v>
      </c>
      <c r="AQ563" t="s">
        <v>74</v>
      </c>
      <c r="AR563" t="s">
        <v>1353</v>
      </c>
      <c r="AS563" t="s">
        <v>1354</v>
      </c>
      <c r="AT563" t="s">
        <v>10965</v>
      </c>
      <c r="AU563">
        <v>2020</v>
      </c>
      <c r="AV563">
        <v>6</v>
      </c>
      <c r="AW563" t="s">
        <v>74</v>
      </c>
      <c r="AX563" t="s">
        <v>74</v>
      </c>
      <c r="AY563" t="s">
        <v>74</v>
      </c>
      <c r="AZ563" t="s">
        <v>74</v>
      </c>
      <c r="BA563" t="s">
        <v>74</v>
      </c>
      <c r="BB563" t="s">
        <v>74</v>
      </c>
      <c r="BC563" t="s">
        <v>74</v>
      </c>
      <c r="BD563">
        <v>788</v>
      </c>
      <c r="BE563" t="s">
        <v>11005</v>
      </c>
      <c r="BF563" t="str">
        <f>HYPERLINK("http://dx.doi.org/10.3389/fmars.2019.00788","http://dx.doi.org/10.3389/fmars.2019.00788")</f>
        <v>http://dx.doi.org/10.3389/fmars.2019.00788</v>
      </c>
      <c r="BG563" t="s">
        <v>74</v>
      </c>
      <c r="BH563" t="s">
        <v>74</v>
      </c>
      <c r="BI563">
        <v>13</v>
      </c>
      <c r="BJ563" t="s">
        <v>1356</v>
      </c>
      <c r="BK563" t="s">
        <v>103</v>
      </c>
      <c r="BL563" t="s">
        <v>1357</v>
      </c>
      <c r="BM563" t="s">
        <v>11006</v>
      </c>
      <c r="BN563" t="s">
        <v>74</v>
      </c>
      <c r="BO563" t="s">
        <v>2592</v>
      </c>
      <c r="BP563" t="s">
        <v>74</v>
      </c>
      <c r="BQ563" t="s">
        <v>74</v>
      </c>
      <c r="BR563" t="s">
        <v>106</v>
      </c>
      <c r="BS563" t="s">
        <v>11007</v>
      </c>
      <c r="BT563" t="str">
        <f>HYPERLINK("https%3A%2F%2Fwww.webofscience.com%2Fwos%2Fwoscc%2Ffull-record%2FWOS:000508611000001","View Full Record in Web of Science")</f>
        <v>View Full Record in Web of Science</v>
      </c>
    </row>
    <row r="564" spans="1:72" x14ac:dyDescent="0.15">
      <c r="A564" t="s">
        <v>72</v>
      </c>
      <c r="B564" t="s">
        <v>11008</v>
      </c>
      <c r="C564" t="s">
        <v>74</v>
      </c>
      <c r="D564" t="s">
        <v>74</v>
      </c>
      <c r="E564" t="s">
        <v>74</v>
      </c>
      <c r="F564" t="s">
        <v>11009</v>
      </c>
      <c r="G564" t="s">
        <v>74</v>
      </c>
      <c r="H564" t="s">
        <v>74</v>
      </c>
      <c r="I564" t="s">
        <v>11010</v>
      </c>
      <c r="J564" t="s">
        <v>672</v>
      </c>
      <c r="K564" t="s">
        <v>74</v>
      </c>
      <c r="L564" t="s">
        <v>74</v>
      </c>
      <c r="M564" t="s">
        <v>78</v>
      </c>
      <c r="N564" t="s">
        <v>79</v>
      </c>
      <c r="O564" t="s">
        <v>74</v>
      </c>
      <c r="P564" t="s">
        <v>74</v>
      </c>
      <c r="Q564" t="s">
        <v>74</v>
      </c>
      <c r="R564" t="s">
        <v>74</v>
      </c>
      <c r="S564" t="s">
        <v>74</v>
      </c>
      <c r="T564" t="s">
        <v>11011</v>
      </c>
      <c r="U564" t="s">
        <v>11012</v>
      </c>
      <c r="V564" t="s">
        <v>11013</v>
      </c>
      <c r="W564" t="s">
        <v>11014</v>
      </c>
      <c r="X564" t="s">
        <v>11015</v>
      </c>
      <c r="Y564" t="s">
        <v>11016</v>
      </c>
      <c r="Z564" t="s">
        <v>11017</v>
      </c>
      <c r="AA564" t="s">
        <v>74</v>
      </c>
      <c r="AB564" t="s">
        <v>11018</v>
      </c>
      <c r="AC564" t="s">
        <v>11019</v>
      </c>
      <c r="AD564" t="s">
        <v>11020</v>
      </c>
      <c r="AE564" t="s">
        <v>11021</v>
      </c>
      <c r="AF564" t="s">
        <v>74</v>
      </c>
      <c r="AG564">
        <v>87</v>
      </c>
      <c r="AH564">
        <v>6</v>
      </c>
      <c r="AI564">
        <v>6</v>
      </c>
      <c r="AJ564">
        <v>0</v>
      </c>
      <c r="AK564">
        <v>7</v>
      </c>
      <c r="AL564" t="s">
        <v>121</v>
      </c>
      <c r="AM564" t="s">
        <v>166</v>
      </c>
      <c r="AN564" t="s">
        <v>685</v>
      </c>
      <c r="AO564" t="s">
        <v>686</v>
      </c>
      <c r="AP564" t="s">
        <v>687</v>
      </c>
      <c r="AQ564" t="s">
        <v>74</v>
      </c>
      <c r="AR564" t="s">
        <v>688</v>
      </c>
      <c r="AS564" t="s">
        <v>689</v>
      </c>
      <c r="AT564" t="s">
        <v>803</v>
      </c>
      <c r="AU564">
        <v>2020</v>
      </c>
      <c r="AV564">
        <v>43</v>
      </c>
      <c r="AW564">
        <v>2</v>
      </c>
      <c r="AX564" t="s">
        <v>74</v>
      </c>
      <c r="AY564" t="s">
        <v>74</v>
      </c>
      <c r="AZ564" t="s">
        <v>74</v>
      </c>
      <c r="BA564" t="s">
        <v>74</v>
      </c>
      <c r="BB564">
        <v>175</v>
      </c>
      <c r="BC564">
        <v>186</v>
      </c>
      <c r="BD564" t="s">
        <v>74</v>
      </c>
      <c r="BE564" t="s">
        <v>11022</v>
      </c>
      <c r="BF564" t="str">
        <f>HYPERLINK("http://dx.doi.org/10.1007/s00300-020-02621-6","http://dx.doi.org/10.1007/s00300-020-02621-6")</f>
        <v>http://dx.doi.org/10.1007/s00300-020-02621-6</v>
      </c>
      <c r="BG564" t="s">
        <v>74</v>
      </c>
      <c r="BH564" t="s">
        <v>10613</v>
      </c>
      <c r="BI564">
        <v>12</v>
      </c>
      <c r="BJ564" t="s">
        <v>130</v>
      </c>
      <c r="BK564" t="s">
        <v>103</v>
      </c>
      <c r="BL564" t="s">
        <v>131</v>
      </c>
      <c r="BM564" t="s">
        <v>8638</v>
      </c>
      <c r="BN564" t="s">
        <v>74</v>
      </c>
      <c r="BO564" t="s">
        <v>694</v>
      </c>
      <c r="BP564" t="s">
        <v>74</v>
      </c>
      <c r="BQ564" t="s">
        <v>74</v>
      </c>
      <c r="BR564" t="s">
        <v>106</v>
      </c>
      <c r="BS564" t="s">
        <v>11023</v>
      </c>
      <c r="BT564" t="str">
        <f>HYPERLINK("https%3A%2F%2Fwww.webofscience.com%2Fwos%2Fwoscc%2Ffull-record%2FWOS:000508709300001","View Full Record in Web of Science")</f>
        <v>View Full Record in Web of Science</v>
      </c>
    </row>
    <row r="565" spans="1:72" x14ac:dyDescent="0.15">
      <c r="A565" t="s">
        <v>72</v>
      </c>
      <c r="B565" t="s">
        <v>11024</v>
      </c>
      <c r="C565" t="s">
        <v>74</v>
      </c>
      <c r="D565" t="s">
        <v>74</v>
      </c>
      <c r="E565" t="s">
        <v>74</v>
      </c>
      <c r="F565" t="s">
        <v>11025</v>
      </c>
      <c r="G565" t="s">
        <v>74</v>
      </c>
      <c r="H565" t="s">
        <v>74</v>
      </c>
      <c r="I565" t="s">
        <v>11026</v>
      </c>
      <c r="J565" t="s">
        <v>940</v>
      </c>
      <c r="K565" t="s">
        <v>74</v>
      </c>
      <c r="L565" t="s">
        <v>74</v>
      </c>
      <c r="M565" t="s">
        <v>78</v>
      </c>
      <c r="N565" t="s">
        <v>79</v>
      </c>
      <c r="O565" t="s">
        <v>74</v>
      </c>
      <c r="P565" t="s">
        <v>74</v>
      </c>
      <c r="Q565" t="s">
        <v>74</v>
      </c>
      <c r="R565" t="s">
        <v>74</v>
      </c>
      <c r="S565" t="s">
        <v>74</v>
      </c>
      <c r="T565" t="s">
        <v>74</v>
      </c>
      <c r="U565" t="s">
        <v>11027</v>
      </c>
      <c r="V565" t="s">
        <v>11028</v>
      </c>
      <c r="W565" t="s">
        <v>11029</v>
      </c>
      <c r="X565" t="s">
        <v>11030</v>
      </c>
      <c r="Y565" t="s">
        <v>11031</v>
      </c>
      <c r="Z565" t="s">
        <v>11032</v>
      </c>
      <c r="AA565" t="s">
        <v>11033</v>
      </c>
      <c r="AB565" t="s">
        <v>11034</v>
      </c>
      <c r="AC565" t="s">
        <v>11035</v>
      </c>
      <c r="AD565" t="s">
        <v>11036</v>
      </c>
      <c r="AE565" t="s">
        <v>11037</v>
      </c>
      <c r="AF565" t="s">
        <v>74</v>
      </c>
      <c r="AG565">
        <v>86</v>
      </c>
      <c r="AH565">
        <v>14</v>
      </c>
      <c r="AI565">
        <v>14</v>
      </c>
      <c r="AJ565">
        <v>1</v>
      </c>
      <c r="AK565">
        <v>12</v>
      </c>
      <c r="AL565" t="s">
        <v>5289</v>
      </c>
      <c r="AM565" t="s">
        <v>952</v>
      </c>
      <c r="AN565" t="s">
        <v>953</v>
      </c>
      <c r="AO565" t="s">
        <v>954</v>
      </c>
      <c r="AP565" t="s">
        <v>74</v>
      </c>
      <c r="AQ565" t="s">
        <v>74</v>
      </c>
      <c r="AR565" t="s">
        <v>955</v>
      </c>
      <c r="AS565" t="s">
        <v>956</v>
      </c>
      <c r="AT565" t="s">
        <v>11038</v>
      </c>
      <c r="AU565">
        <v>2020</v>
      </c>
      <c r="AV565">
        <v>10</v>
      </c>
      <c r="AW565">
        <v>1</v>
      </c>
      <c r="AX565" t="s">
        <v>74</v>
      </c>
      <c r="AY565" t="s">
        <v>74</v>
      </c>
      <c r="AZ565" t="s">
        <v>74</v>
      </c>
      <c r="BA565" t="s">
        <v>74</v>
      </c>
      <c r="BB565" t="s">
        <v>74</v>
      </c>
      <c r="BC565" t="s">
        <v>74</v>
      </c>
      <c r="BD565">
        <v>844</v>
      </c>
      <c r="BE565" t="s">
        <v>11039</v>
      </c>
      <c r="BF565" t="str">
        <f>HYPERLINK("http://dx.doi.org/10.1038/s41598-020-57543-4","http://dx.doi.org/10.1038/s41598-020-57543-4")</f>
        <v>http://dx.doi.org/10.1038/s41598-020-57543-4</v>
      </c>
      <c r="BG565" t="s">
        <v>74</v>
      </c>
      <c r="BH565" t="s">
        <v>74</v>
      </c>
      <c r="BI565">
        <v>15</v>
      </c>
      <c r="BJ565" t="s">
        <v>322</v>
      </c>
      <c r="BK565" t="s">
        <v>103</v>
      </c>
      <c r="BL565" t="s">
        <v>323</v>
      </c>
      <c r="BM565" t="s">
        <v>11040</v>
      </c>
      <c r="BN565">
        <v>31964967</v>
      </c>
      <c r="BO565" t="s">
        <v>276</v>
      </c>
      <c r="BP565" t="s">
        <v>74</v>
      </c>
      <c r="BQ565" t="s">
        <v>74</v>
      </c>
      <c r="BR565" t="s">
        <v>106</v>
      </c>
      <c r="BS565" t="s">
        <v>11041</v>
      </c>
      <c r="BT565" t="str">
        <f>HYPERLINK("https%3A%2F%2Fwww.webofscience.com%2Fwos%2Fwoscc%2Ffull-record%2FWOS:000512142100082","View Full Record in Web of Science")</f>
        <v>View Full Record in Web of Science</v>
      </c>
    </row>
    <row r="566" spans="1:72" x14ac:dyDescent="0.15">
      <c r="A566" t="s">
        <v>72</v>
      </c>
      <c r="B566" t="s">
        <v>11042</v>
      </c>
      <c r="C566" t="s">
        <v>74</v>
      </c>
      <c r="D566" t="s">
        <v>74</v>
      </c>
      <c r="E566" t="s">
        <v>74</v>
      </c>
      <c r="F566" t="s">
        <v>11043</v>
      </c>
      <c r="G566" t="s">
        <v>74</v>
      </c>
      <c r="H566" t="s">
        <v>74</v>
      </c>
      <c r="I566" t="s">
        <v>11044</v>
      </c>
      <c r="J566" t="s">
        <v>2493</v>
      </c>
      <c r="K566" t="s">
        <v>74</v>
      </c>
      <c r="L566" t="s">
        <v>74</v>
      </c>
      <c r="M566" t="s">
        <v>78</v>
      </c>
      <c r="N566" t="s">
        <v>79</v>
      </c>
      <c r="O566" t="s">
        <v>74</v>
      </c>
      <c r="P566" t="s">
        <v>74</v>
      </c>
      <c r="Q566" t="s">
        <v>74</v>
      </c>
      <c r="R566" t="s">
        <v>74</v>
      </c>
      <c r="S566" t="s">
        <v>74</v>
      </c>
      <c r="T566" t="s">
        <v>11045</v>
      </c>
      <c r="U566" t="s">
        <v>11046</v>
      </c>
      <c r="V566" t="s">
        <v>11047</v>
      </c>
      <c r="W566" t="s">
        <v>11048</v>
      </c>
      <c r="X566" t="s">
        <v>11049</v>
      </c>
      <c r="Y566" t="s">
        <v>11050</v>
      </c>
      <c r="Z566" t="s">
        <v>11051</v>
      </c>
      <c r="AA566" t="s">
        <v>11052</v>
      </c>
      <c r="AB566" t="s">
        <v>11053</v>
      </c>
      <c r="AC566" t="s">
        <v>11054</v>
      </c>
      <c r="AD566" t="s">
        <v>11055</v>
      </c>
      <c r="AE566" t="s">
        <v>11056</v>
      </c>
      <c r="AF566" t="s">
        <v>74</v>
      </c>
      <c r="AG566">
        <v>97</v>
      </c>
      <c r="AH566">
        <v>4</v>
      </c>
      <c r="AI566">
        <v>4</v>
      </c>
      <c r="AJ566">
        <v>0</v>
      </c>
      <c r="AK566">
        <v>5</v>
      </c>
      <c r="AL566" t="s">
        <v>2503</v>
      </c>
      <c r="AM566" t="s">
        <v>2504</v>
      </c>
      <c r="AN566" t="s">
        <v>2505</v>
      </c>
      <c r="AO566" t="s">
        <v>2506</v>
      </c>
      <c r="AP566" t="s">
        <v>2507</v>
      </c>
      <c r="AQ566" t="s">
        <v>74</v>
      </c>
      <c r="AR566" t="s">
        <v>2493</v>
      </c>
      <c r="AS566" t="s">
        <v>2508</v>
      </c>
      <c r="AT566" t="s">
        <v>11038</v>
      </c>
      <c r="AU566">
        <v>2020</v>
      </c>
      <c r="AV566">
        <v>4728</v>
      </c>
      <c r="AW566">
        <v>1</v>
      </c>
      <c r="AX566" t="s">
        <v>74</v>
      </c>
      <c r="AY566" t="s">
        <v>74</v>
      </c>
      <c r="AZ566" t="s">
        <v>74</v>
      </c>
      <c r="BA566" t="s">
        <v>74</v>
      </c>
      <c r="BB566">
        <v>77</v>
      </c>
      <c r="BC566">
        <v>109</v>
      </c>
      <c r="BD566" t="s">
        <v>74</v>
      </c>
      <c r="BE566" t="s">
        <v>11057</v>
      </c>
      <c r="BF566" t="str">
        <f>HYPERLINK("http://dx.doi.org/10.11646/zootaxa.4728.1.4","http://dx.doi.org/10.11646/zootaxa.4728.1.4")</f>
        <v>http://dx.doi.org/10.11646/zootaxa.4728.1.4</v>
      </c>
      <c r="BG566" t="s">
        <v>74</v>
      </c>
      <c r="BH566" t="s">
        <v>74</v>
      </c>
      <c r="BI566">
        <v>33</v>
      </c>
      <c r="BJ566" t="s">
        <v>2510</v>
      </c>
      <c r="BK566" t="s">
        <v>103</v>
      </c>
      <c r="BL566" t="s">
        <v>2510</v>
      </c>
      <c r="BM566" t="s">
        <v>11058</v>
      </c>
      <c r="BN566">
        <v>32230585</v>
      </c>
      <c r="BO566" t="s">
        <v>74</v>
      </c>
      <c r="BP566" t="s">
        <v>74</v>
      </c>
      <c r="BQ566" t="s">
        <v>74</v>
      </c>
      <c r="BR566" t="s">
        <v>106</v>
      </c>
      <c r="BS566" t="s">
        <v>11059</v>
      </c>
      <c r="BT566" t="str">
        <f>HYPERLINK("https%3A%2F%2Fwww.webofscience.com%2Fwos%2Fwoscc%2Ffull-record%2FWOS:000508888000004","View Full Record in Web of Science")</f>
        <v>View Full Record in Web of Science</v>
      </c>
    </row>
    <row r="567" spans="1:72" x14ac:dyDescent="0.15">
      <c r="A567" t="s">
        <v>72</v>
      </c>
      <c r="B567" t="s">
        <v>11060</v>
      </c>
      <c r="C567" t="s">
        <v>74</v>
      </c>
      <c r="D567" t="s">
        <v>74</v>
      </c>
      <c r="E567" t="s">
        <v>74</v>
      </c>
      <c r="F567" t="s">
        <v>11061</v>
      </c>
      <c r="G567" t="s">
        <v>74</v>
      </c>
      <c r="H567" t="s">
        <v>74</v>
      </c>
      <c r="I567" t="s">
        <v>11062</v>
      </c>
      <c r="J567" t="s">
        <v>11063</v>
      </c>
      <c r="K567" t="s">
        <v>74</v>
      </c>
      <c r="L567" t="s">
        <v>74</v>
      </c>
      <c r="M567" t="s">
        <v>78</v>
      </c>
      <c r="N567" t="s">
        <v>79</v>
      </c>
      <c r="O567" t="s">
        <v>74</v>
      </c>
      <c r="P567" t="s">
        <v>74</v>
      </c>
      <c r="Q567" t="s">
        <v>74</v>
      </c>
      <c r="R567" t="s">
        <v>74</v>
      </c>
      <c r="S567" t="s">
        <v>74</v>
      </c>
      <c r="T567" t="s">
        <v>74</v>
      </c>
      <c r="U567" t="s">
        <v>11064</v>
      </c>
      <c r="V567" t="s">
        <v>11065</v>
      </c>
      <c r="W567" t="s">
        <v>11066</v>
      </c>
      <c r="X567" t="s">
        <v>7314</v>
      </c>
      <c r="Y567" t="s">
        <v>11067</v>
      </c>
      <c r="Z567" t="s">
        <v>11068</v>
      </c>
      <c r="AA567" t="s">
        <v>11069</v>
      </c>
      <c r="AB567" t="s">
        <v>11070</v>
      </c>
      <c r="AC567" t="s">
        <v>11071</v>
      </c>
      <c r="AD567" t="s">
        <v>11072</v>
      </c>
      <c r="AE567" t="s">
        <v>11073</v>
      </c>
      <c r="AF567" t="s">
        <v>74</v>
      </c>
      <c r="AG567">
        <v>23</v>
      </c>
      <c r="AH567">
        <v>9</v>
      </c>
      <c r="AI567">
        <v>10</v>
      </c>
      <c r="AJ567">
        <v>6</v>
      </c>
      <c r="AK567">
        <v>24</v>
      </c>
      <c r="AL567" t="s">
        <v>11074</v>
      </c>
      <c r="AM567" t="s">
        <v>3234</v>
      </c>
      <c r="AN567" t="s">
        <v>11075</v>
      </c>
      <c r="AO567" t="s">
        <v>11076</v>
      </c>
      <c r="AP567" t="s">
        <v>74</v>
      </c>
      <c r="AQ567" t="s">
        <v>74</v>
      </c>
      <c r="AR567" t="s">
        <v>11077</v>
      </c>
      <c r="AS567" t="s">
        <v>11078</v>
      </c>
      <c r="AT567" t="s">
        <v>11038</v>
      </c>
      <c r="AU567">
        <v>2020</v>
      </c>
      <c r="AV567">
        <v>7</v>
      </c>
      <c r="AW567">
        <v>2</v>
      </c>
      <c r="AX567" t="s">
        <v>74</v>
      </c>
      <c r="AY567" t="s">
        <v>74</v>
      </c>
      <c r="AZ567" t="s">
        <v>74</v>
      </c>
      <c r="BA567" t="s">
        <v>74</v>
      </c>
      <c r="BB567">
        <v>310</v>
      </c>
      <c r="BC567">
        <v>317</v>
      </c>
      <c r="BD567" t="s">
        <v>74</v>
      </c>
      <c r="BE567" t="s">
        <v>11079</v>
      </c>
      <c r="BF567" t="str">
        <f>HYPERLINK("http://dx.doi.org/10.1039/c9qo01215j","http://dx.doi.org/10.1039/c9qo01215j")</f>
        <v>http://dx.doi.org/10.1039/c9qo01215j</v>
      </c>
      <c r="BG567" t="s">
        <v>74</v>
      </c>
      <c r="BH567" t="s">
        <v>74</v>
      </c>
      <c r="BI567">
        <v>8</v>
      </c>
      <c r="BJ567" t="s">
        <v>11080</v>
      </c>
      <c r="BK567" t="s">
        <v>933</v>
      </c>
      <c r="BL567" t="s">
        <v>10540</v>
      </c>
      <c r="BM567" t="s">
        <v>11081</v>
      </c>
      <c r="BN567" t="s">
        <v>74</v>
      </c>
      <c r="BO567" t="s">
        <v>74</v>
      </c>
      <c r="BP567" t="s">
        <v>74</v>
      </c>
      <c r="BQ567" t="s">
        <v>74</v>
      </c>
      <c r="BR567" t="s">
        <v>106</v>
      </c>
      <c r="BS567" t="s">
        <v>11082</v>
      </c>
      <c r="BT567" t="str">
        <f>HYPERLINK("https%3A%2F%2Fwww.webofscience.com%2Fwos%2Fwoscc%2Ffull-record%2FWOS:000508568000009","View Full Record in Web of Science")</f>
        <v>View Full Record in Web of Science</v>
      </c>
    </row>
    <row r="568" spans="1:72" x14ac:dyDescent="0.15">
      <c r="A568" t="s">
        <v>72</v>
      </c>
      <c r="B568" t="s">
        <v>11083</v>
      </c>
      <c r="C568" t="s">
        <v>74</v>
      </c>
      <c r="D568" t="s">
        <v>74</v>
      </c>
      <c r="E568" t="s">
        <v>74</v>
      </c>
      <c r="F568" t="s">
        <v>11084</v>
      </c>
      <c r="G568" t="s">
        <v>74</v>
      </c>
      <c r="H568" t="s">
        <v>74</v>
      </c>
      <c r="I568" t="s">
        <v>11085</v>
      </c>
      <c r="J568" t="s">
        <v>11086</v>
      </c>
      <c r="K568" t="s">
        <v>74</v>
      </c>
      <c r="L568" t="s">
        <v>74</v>
      </c>
      <c r="M568" t="s">
        <v>78</v>
      </c>
      <c r="N568" t="s">
        <v>79</v>
      </c>
      <c r="O568" t="s">
        <v>74</v>
      </c>
      <c r="P568" t="s">
        <v>74</v>
      </c>
      <c r="Q568" t="s">
        <v>74</v>
      </c>
      <c r="R568" t="s">
        <v>74</v>
      </c>
      <c r="S568" t="s">
        <v>74</v>
      </c>
      <c r="T568" t="s">
        <v>74</v>
      </c>
      <c r="U568" t="s">
        <v>11087</v>
      </c>
      <c r="V568" t="s">
        <v>11088</v>
      </c>
      <c r="W568" t="s">
        <v>11089</v>
      </c>
      <c r="X568" t="s">
        <v>11090</v>
      </c>
      <c r="Y568" t="s">
        <v>11091</v>
      </c>
      <c r="Z568" t="s">
        <v>11092</v>
      </c>
      <c r="AA568" t="s">
        <v>11093</v>
      </c>
      <c r="AB568" t="s">
        <v>11094</v>
      </c>
      <c r="AC568" t="s">
        <v>11095</v>
      </c>
      <c r="AD568" t="s">
        <v>11096</v>
      </c>
      <c r="AE568" t="s">
        <v>11097</v>
      </c>
      <c r="AF568" t="s">
        <v>74</v>
      </c>
      <c r="AG568">
        <v>28</v>
      </c>
      <c r="AH568">
        <v>5</v>
      </c>
      <c r="AI568">
        <v>5</v>
      </c>
      <c r="AJ568">
        <v>0</v>
      </c>
      <c r="AK568">
        <v>5</v>
      </c>
      <c r="AL568" t="s">
        <v>11098</v>
      </c>
      <c r="AM568" t="s">
        <v>11099</v>
      </c>
      <c r="AN568" t="s">
        <v>11100</v>
      </c>
      <c r="AO568" t="s">
        <v>11101</v>
      </c>
      <c r="AP568" t="s">
        <v>74</v>
      </c>
      <c r="AQ568" t="s">
        <v>74</v>
      </c>
      <c r="AR568" t="s">
        <v>11102</v>
      </c>
      <c r="AS568" t="s">
        <v>11103</v>
      </c>
      <c r="AT568" t="s">
        <v>11038</v>
      </c>
      <c r="AU568">
        <v>2020</v>
      </c>
      <c r="AV568">
        <v>5</v>
      </c>
      <c r="AW568">
        <v>1</v>
      </c>
      <c r="AX568" t="s">
        <v>74</v>
      </c>
      <c r="AY568" t="s">
        <v>74</v>
      </c>
      <c r="AZ568" t="s">
        <v>74</v>
      </c>
      <c r="BA568" t="s">
        <v>74</v>
      </c>
      <c r="BB568" t="s">
        <v>74</v>
      </c>
      <c r="BC568" t="s">
        <v>74</v>
      </c>
      <c r="BD568">
        <v>13802</v>
      </c>
      <c r="BE568" t="s">
        <v>11104</v>
      </c>
      <c r="BF568" t="str">
        <f>HYPERLINK("http://dx.doi.org/10.1103/PhysRevFluids.5.013802","http://dx.doi.org/10.1103/PhysRevFluids.5.013802")</f>
        <v>http://dx.doi.org/10.1103/PhysRevFluids.5.013802</v>
      </c>
      <c r="BG568" t="s">
        <v>74</v>
      </c>
      <c r="BH568" t="s">
        <v>74</v>
      </c>
      <c r="BI568">
        <v>20</v>
      </c>
      <c r="BJ568" t="s">
        <v>11105</v>
      </c>
      <c r="BK568" t="s">
        <v>103</v>
      </c>
      <c r="BL568" t="s">
        <v>5927</v>
      </c>
      <c r="BM568" t="s">
        <v>11106</v>
      </c>
      <c r="BN568" t="s">
        <v>74</v>
      </c>
      <c r="BO568" t="s">
        <v>74</v>
      </c>
      <c r="BP568" t="s">
        <v>74</v>
      </c>
      <c r="BQ568" t="s">
        <v>74</v>
      </c>
      <c r="BR568" t="s">
        <v>106</v>
      </c>
      <c r="BS568" t="s">
        <v>11107</v>
      </c>
      <c r="BT568" t="str">
        <f>HYPERLINK("https%3A%2F%2Fwww.webofscience.com%2Fwos%2Fwoscc%2Ffull-record%2FWOS:000508458100001","View Full Record in Web of Science")</f>
        <v>View Full Record in Web of Science</v>
      </c>
    </row>
    <row r="569" spans="1:72" x14ac:dyDescent="0.15">
      <c r="A569" t="s">
        <v>72</v>
      </c>
      <c r="B569" t="s">
        <v>11108</v>
      </c>
      <c r="C569" t="s">
        <v>74</v>
      </c>
      <c r="D569" t="s">
        <v>74</v>
      </c>
      <c r="E569" t="s">
        <v>74</v>
      </c>
      <c r="F569" t="s">
        <v>11109</v>
      </c>
      <c r="G569" t="s">
        <v>74</v>
      </c>
      <c r="H569" t="s">
        <v>74</v>
      </c>
      <c r="I569" t="s">
        <v>11110</v>
      </c>
      <c r="J569" t="s">
        <v>11111</v>
      </c>
      <c r="K569" t="s">
        <v>74</v>
      </c>
      <c r="L569" t="s">
        <v>74</v>
      </c>
      <c r="M569" t="s">
        <v>78</v>
      </c>
      <c r="N569" t="s">
        <v>79</v>
      </c>
      <c r="O569" t="s">
        <v>74</v>
      </c>
      <c r="P569" t="s">
        <v>74</v>
      </c>
      <c r="Q569" t="s">
        <v>74</v>
      </c>
      <c r="R569" t="s">
        <v>74</v>
      </c>
      <c r="S569" t="s">
        <v>74</v>
      </c>
      <c r="T569" t="s">
        <v>11112</v>
      </c>
      <c r="U569" t="s">
        <v>11113</v>
      </c>
      <c r="V569" t="s">
        <v>11114</v>
      </c>
      <c r="W569" t="s">
        <v>11115</v>
      </c>
      <c r="X569" t="s">
        <v>11116</v>
      </c>
      <c r="Y569" t="s">
        <v>11117</v>
      </c>
      <c r="Z569" t="s">
        <v>11118</v>
      </c>
      <c r="AA569" t="s">
        <v>11119</v>
      </c>
      <c r="AB569" t="s">
        <v>74</v>
      </c>
      <c r="AC569" t="s">
        <v>11120</v>
      </c>
      <c r="AD569" t="s">
        <v>11120</v>
      </c>
      <c r="AE569" t="s">
        <v>11121</v>
      </c>
      <c r="AF569" t="s">
        <v>74</v>
      </c>
      <c r="AG569">
        <v>47</v>
      </c>
      <c r="AH569">
        <v>3</v>
      </c>
      <c r="AI569">
        <v>3</v>
      </c>
      <c r="AJ569">
        <v>0</v>
      </c>
      <c r="AK569">
        <v>5</v>
      </c>
      <c r="AL569" t="s">
        <v>289</v>
      </c>
      <c r="AM569" t="s">
        <v>290</v>
      </c>
      <c r="AN569" t="s">
        <v>291</v>
      </c>
      <c r="AO569" t="s">
        <v>11122</v>
      </c>
      <c r="AP569" t="s">
        <v>11123</v>
      </c>
      <c r="AQ569" t="s">
        <v>74</v>
      </c>
      <c r="AR569" t="s">
        <v>11124</v>
      </c>
      <c r="AS569" t="s">
        <v>11125</v>
      </c>
      <c r="AT569" t="s">
        <v>11126</v>
      </c>
      <c r="AU569">
        <v>2020</v>
      </c>
      <c r="AV569">
        <v>532</v>
      </c>
      <c r="AW569" t="s">
        <v>74</v>
      </c>
      <c r="AX569" t="s">
        <v>74</v>
      </c>
      <c r="AY569" t="s">
        <v>74</v>
      </c>
      <c r="AZ569" t="s">
        <v>74</v>
      </c>
      <c r="BA569" t="s">
        <v>74</v>
      </c>
      <c r="BB569" t="s">
        <v>74</v>
      </c>
      <c r="BC569" t="s">
        <v>74</v>
      </c>
      <c r="BD569">
        <v>119355</v>
      </c>
      <c r="BE569" t="s">
        <v>11127</v>
      </c>
      <c r="BF569" t="str">
        <f>HYPERLINK("http://dx.doi.org/10.1016/j.chemgeo.2019.119355","http://dx.doi.org/10.1016/j.chemgeo.2019.119355")</f>
        <v>http://dx.doi.org/10.1016/j.chemgeo.2019.119355</v>
      </c>
      <c r="BG569" t="s">
        <v>74</v>
      </c>
      <c r="BH569" t="s">
        <v>74</v>
      </c>
      <c r="BI569">
        <v>6</v>
      </c>
      <c r="BJ569" t="s">
        <v>442</v>
      </c>
      <c r="BK569" t="s">
        <v>103</v>
      </c>
      <c r="BL569" t="s">
        <v>442</v>
      </c>
      <c r="BM569" t="s">
        <v>11128</v>
      </c>
      <c r="BN569" t="s">
        <v>74</v>
      </c>
      <c r="BO569" t="s">
        <v>74</v>
      </c>
      <c r="BP569" t="s">
        <v>74</v>
      </c>
      <c r="BQ569" t="s">
        <v>74</v>
      </c>
      <c r="BR569" t="s">
        <v>106</v>
      </c>
      <c r="BS569" t="s">
        <v>11129</v>
      </c>
      <c r="BT569" t="str">
        <f>HYPERLINK("https%3A%2F%2Fwww.webofscience.com%2Fwos%2Fwoscc%2Ffull-record%2FWOS:000513868400006","View Full Record in Web of Science")</f>
        <v>View Full Record in Web of Science</v>
      </c>
    </row>
    <row r="570" spans="1:72" x14ac:dyDescent="0.15">
      <c r="A570" t="s">
        <v>72</v>
      </c>
      <c r="B570" t="s">
        <v>11130</v>
      </c>
      <c r="C570" t="s">
        <v>74</v>
      </c>
      <c r="D570" t="s">
        <v>74</v>
      </c>
      <c r="E570" t="s">
        <v>74</v>
      </c>
      <c r="F570" t="s">
        <v>11131</v>
      </c>
      <c r="G570" t="s">
        <v>74</v>
      </c>
      <c r="H570" t="s">
        <v>74</v>
      </c>
      <c r="I570" t="s">
        <v>11132</v>
      </c>
      <c r="J570" t="s">
        <v>11111</v>
      </c>
      <c r="K570" t="s">
        <v>74</v>
      </c>
      <c r="L570" t="s">
        <v>74</v>
      </c>
      <c r="M570" t="s">
        <v>78</v>
      </c>
      <c r="N570" t="s">
        <v>79</v>
      </c>
      <c r="O570" t="s">
        <v>74</v>
      </c>
      <c r="P570" t="s">
        <v>74</v>
      </c>
      <c r="Q570" t="s">
        <v>74</v>
      </c>
      <c r="R570" t="s">
        <v>74</v>
      </c>
      <c r="S570" t="s">
        <v>74</v>
      </c>
      <c r="T570" t="s">
        <v>11133</v>
      </c>
      <c r="U570" t="s">
        <v>11134</v>
      </c>
      <c r="V570" t="s">
        <v>11135</v>
      </c>
      <c r="W570" t="s">
        <v>11136</v>
      </c>
      <c r="X570" t="s">
        <v>11137</v>
      </c>
      <c r="Y570" t="s">
        <v>11138</v>
      </c>
      <c r="Z570" t="s">
        <v>11139</v>
      </c>
      <c r="AA570" t="s">
        <v>11140</v>
      </c>
      <c r="AB570" t="s">
        <v>11141</v>
      </c>
      <c r="AC570" t="s">
        <v>11142</v>
      </c>
      <c r="AD570" t="s">
        <v>11143</v>
      </c>
      <c r="AE570" t="s">
        <v>11144</v>
      </c>
      <c r="AF570" t="s">
        <v>74</v>
      </c>
      <c r="AG570">
        <v>60</v>
      </c>
      <c r="AH570">
        <v>7</v>
      </c>
      <c r="AI570">
        <v>7</v>
      </c>
      <c r="AJ570">
        <v>1</v>
      </c>
      <c r="AK570">
        <v>35</v>
      </c>
      <c r="AL570" t="s">
        <v>289</v>
      </c>
      <c r="AM570" t="s">
        <v>290</v>
      </c>
      <c r="AN570" t="s">
        <v>291</v>
      </c>
      <c r="AO570" t="s">
        <v>11122</v>
      </c>
      <c r="AP570" t="s">
        <v>11123</v>
      </c>
      <c r="AQ570" t="s">
        <v>74</v>
      </c>
      <c r="AR570" t="s">
        <v>11124</v>
      </c>
      <c r="AS570" t="s">
        <v>11125</v>
      </c>
      <c r="AT570" t="s">
        <v>11126</v>
      </c>
      <c r="AU570">
        <v>2020</v>
      </c>
      <c r="AV570">
        <v>532</v>
      </c>
      <c r="AW570" t="s">
        <v>74</v>
      </c>
      <c r="AX570" t="s">
        <v>74</v>
      </c>
      <c r="AY570" t="s">
        <v>74</v>
      </c>
      <c r="AZ570" t="s">
        <v>74</v>
      </c>
      <c r="BA570" t="s">
        <v>74</v>
      </c>
      <c r="BB570" t="s">
        <v>74</v>
      </c>
      <c r="BC570" t="s">
        <v>74</v>
      </c>
      <c r="BD570">
        <v>119359</v>
      </c>
      <c r="BE570" t="s">
        <v>11145</v>
      </c>
      <c r="BF570" t="str">
        <f>HYPERLINK("http://dx.doi.org/10.1016/j.chemgeo.2019.119359","http://dx.doi.org/10.1016/j.chemgeo.2019.119359")</f>
        <v>http://dx.doi.org/10.1016/j.chemgeo.2019.119359</v>
      </c>
      <c r="BG570" t="s">
        <v>74</v>
      </c>
      <c r="BH570" t="s">
        <v>74</v>
      </c>
      <c r="BI570">
        <v>11</v>
      </c>
      <c r="BJ570" t="s">
        <v>442</v>
      </c>
      <c r="BK570" t="s">
        <v>103</v>
      </c>
      <c r="BL570" t="s">
        <v>442</v>
      </c>
      <c r="BM570" t="s">
        <v>11128</v>
      </c>
      <c r="BN570" t="s">
        <v>74</v>
      </c>
      <c r="BO570" t="s">
        <v>694</v>
      </c>
      <c r="BP570" t="s">
        <v>74</v>
      </c>
      <c r="BQ570" t="s">
        <v>74</v>
      </c>
      <c r="BR570" t="s">
        <v>106</v>
      </c>
      <c r="BS570" t="s">
        <v>11146</v>
      </c>
      <c r="BT570" t="str">
        <f>HYPERLINK("https%3A%2F%2Fwww.webofscience.com%2Fwos%2Fwoscc%2Ffull-record%2FWOS:000513868400013","View Full Record in Web of Science")</f>
        <v>View Full Record in Web of Science</v>
      </c>
    </row>
    <row r="571" spans="1:72" x14ac:dyDescent="0.15">
      <c r="A571" t="s">
        <v>72</v>
      </c>
      <c r="B571" t="s">
        <v>11147</v>
      </c>
      <c r="C571" t="s">
        <v>74</v>
      </c>
      <c r="D571" t="s">
        <v>74</v>
      </c>
      <c r="E571" t="s">
        <v>74</v>
      </c>
      <c r="F571" t="s">
        <v>11148</v>
      </c>
      <c r="G571" t="s">
        <v>74</v>
      </c>
      <c r="H571" t="s">
        <v>74</v>
      </c>
      <c r="I571" t="s">
        <v>11149</v>
      </c>
      <c r="J571" t="s">
        <v>1240</v>
      </c>
      <c r="K571" t="s">
        <v>74</v>
      </c>
      <c r="L571" t="s">
        <v>74</v>
      </c>
      <c r="M571" t="s">
        <v>78</v>
      </c>
      <c r="N571" t="s">
        <v>79</v>
      </c>
      <c r="O571" t="s">
        <v>74</v>
      </c>
      <c r="P571" t="s">
        <v>74</v>
      </c>
      <c r="Q571" t="s">
        <v>74</v>
      </c>
      <c r="R571" t="s">
        <v>74</v>
      </c>
      <c r="S571" t="s">
        <v>74</v>
      </c>
      <c r="T571" t="s">
        <v>74</v>
      </c>
      <c r="U571" t="s">
        <v>11150</v>
      </c>
      <c r="V571" t="s">
        <v>11151</v>
      </c>
      <c r="W571" t="s">
        <v>11152</v>
      </c>
      <c r="X571" t="s">
        <v>11153</v>
      </c>
      <c r="Y571" t="s">
        <v>11154</v>
      </c>
      <c r="Z571" t="s">
        <v>11155</v>
      </c>
      <c r="AA571" t="s">
        <v>11156</v>
      </c>
      <c r="AB571" t="s">
        <v>11157</v>
      </c>
      <c r="AC571" t="s">
        <v>11158</v>
      </c>
      <c r="AD571" t="s">
        <v>11159</v>
      </c>
      <c r="AE571" t="s">
        <v>11160</v>
      </c>
      <c r="AF571" t="s">
        <v>74</v>
      </c>
      <c r="AG571">
        <v>48</v>
      </c>
      <c r="AH571">
        <v>29</v>
      </c>
      <c r="AI571">
        <v>31</v>
      </c>
      <c r="AJ571">
        <v>1</v>
      </c>
      <c r="AK571">
        <v>15</v>
      </c>
      <c r="AL571" t="s">
        <v>5289</v>
      </c>
      <c r="AM571" t="s">
        <v>952</v>
      </c>
      <c r="AN571" t="s">
        <v>953</v>
      </c>
      <c r="AO571" t="s">
        <v>1252</v>
      </c>
      <c r="AP571" t="s">
        <v>74</v>
      </c>
      <c r="AQ571" t="s">
        <v>74</v>
      </c>
      <c r="AR571" t="s">
        <v>1253</v>
      </c>
      <c r="AS571" t="s">
        <v>1254</v>
      </c>
      <c r="AT571" t="s">
        <v>11126</v>
      </c>
      <c r="AU571">
        <v>2020</v>
      </c>
      <c r="AV571">
        <v>11</v>
      </c>
      <c r="AW571">
        <v>1</v>
      </c>
      <c r="AX571" t="s">
        <v>74</v>
      </c>
      <c r="AY571" t="s">
        <v>74</v>
      </c>
      <c r="AZ571" t="s">
        <v>74</v>
      </c>
      <c r="BA571" t="s">
        <v>74</v>
      </c>
      <c r="BB571" t="s">
        <v>74</v>
      </c>
      <c r="BC571" t="s">
        <v>74</v>
      </c>
      <c r="BD571">
        <v>390</v>
      </c>
      <c r="BE571" t="s">
        <v>11161</v>
      </c>
      <c r="BF571" t="str">
        <f>HYPERLINK("http://dx.doi.org/10.1038/s41467-019-14049-6","http://dx.doi.org/10.1038/s41467-019-14049-6")</f>
        <v>http://dx.doi.org/10.1038/s41467-019-14049-6</v>
      </c>
      <c r="BG571" t="s">
        <v>74</v>
      </c>
      <c r="BH571" t="s">
        <v>74</v>
      </c>
      <c r="BI571">
        <v>11</v>
      </c>
      <c r="BJ571" t="s">
        <v>322</v>
      </c>
      <c r="BK571" t="s">
        <v>103</v>
      </c>
      <c r="BL571" t="s">
        <v>323</v>
      </c>
      <c r="BM571" t="s">
        <v>11162</v>
      </c>
      <c r="BN571">
        <v>31959769</v>
      </c>
      <c r="BO571" t="s">
        <v>1101</v>
      </c>
      <c r="BP571" t="s">
        <v>74</v>
      </c>
      <c r="BQ571" t="s">
        <v>74</v>
      </c>
      <c r="BR571" t="s">
        <v>106</v>
      </c>
      <c r="BS571" t="s">
        <v>11163</v>
      </c>
      <c r="BT571" t="str">
        <f>HYPERLINK("https%3A%2F%2Fwww.webofscience.com%2Fwos%2Fwoscc%2Ffull-record%2FWOS:000512537400011","View Full Record in Web of Science")</f>
        <v>View Full Record in Web of Science</v>
      </c>
    </row>
    <row r="572" spans="1:72" x14ac:dyDescent="0.15">
      <c r="A572" t="s">
        <v>72</v>
      </c>
      <c r="B572" t="s">
        <v>11164</v>
      </c>
      <c r="C572" t="s">
        <v>74</v>
      </c>
      <c r="D572" t="s">
        <v>74</v>
      </c>
      <c r="E572" t="s">
        <v>74</v>
      </c>
      <c r="F572" t="s">
        <v>11165</v>
      </c>
      <c r="G572" t="s">
        <v>74</v>
      </c>
      <c r="H572" t="s">
        <v>74</v>
      </c>
      <c r="I572" t="s">
        <v>11166</v>
      </c>
      <c r="J572" t="s">
        <v>6344</v>
      </c>
      <c r="K572" t="s">
        <v>74</v>
      </c>
      <c r="L572" t="s">
        <v>74</v>
      </c>
      <c r="M572" t="s">
        <v>78</v>
      </c>
      <c r="N572" t="s">
        <v>79</v>
      </c>
      <c r="O572" t="s">
        <v>74</v>
      </c>
      <c r="P572" t="s">
        <v>74</v>
      </c>
      <c r="Q572" t="s">
        <v>74</v>
      </c>
      <c r="R572" t="s">
        <v>74</v>
      </c>
      <c r="S572" t="s">
        <v>74</v>
      </c>
      <c r="T572" t="s">
        <v>11167</v>
      </c>
      <c r="U572" t="s">
        <v>11168</v>
      </c>
      <c r="V572" t="s">
        <v>11169</v>
      </c>
      <c r="W572" t="s">
        <v>11170</v>
      </c>
      <c r="X572" t="s">
        <v>11171</v>
      </c>
      <c r="Y572" t="s">
        <v>11172</v>
      </c>
      <c r="Z572" t="s">
        <v>11173</v>
      </c>
      <c r="AA572" t="s">
        <v>11174</v>
      </c>
      <c r="AB572" t="s">
        <v>11175</v>
      </c>
      <c r="AC572" t="s">
        <v>11176</v>
      </c>
      <c r="AD572" t="s">
        <v>11177</v>
      </c>
      <c r="AE572" t="s">
        <v>11178</v>
      </c>
      <c r="AF572" t="s">
        <v>74</v>
      </c>
      <c r="AG572">
        <v>53</v>
      </c>
      <c r="AH572">
        <v>29</v>
      </c>
      <c r="AI572">
        <v>34</v>
      </c>
      <c r="AJ572">
        <v>9</v>
      </c>
      <c r="AK572">
        <v>53</v>
      </c>
      <c r="AL572" t="s">
        <v>289</v>
      </c>
      <c r="AM572" t="s">
        <v>290</v>
      </c>
      <c r="AN572" t="s">
        <v>291</v>
      </c>
      <c r="AO572" t="s">
        <v>6357</v>
      </c>
      <c r="AP572" t="s">
        <v>6358</v>
      </c>
      <c r="AQ572" t="s">
        <v>74</v>
      </c>
      <c r="AR572" t="s">
        <v>6359</v>
      </c>
      <c r="AS572" t="s">
        <v>6360</v>
      </c>
      <c r="AT572" t="s">
        <v>11126</v>
      </c>
      <c r="AU572">
        <v>2020</v>
      </c>
      <c r="AV572">
        <v>218</v>
      </c>
      <c r="AW572" t="s">
        <v>74</v>
      </c>
      <c r="AX572" t="s">
        <v>74</v>
      </c>
      <c r="AY572" t="s">
        <v>74</v>
      </c>
      <c r="AZ572" t="s">
        <v>74</v>
      </c>
      <c r="BA572" t="s">
        <v>74</v>
      </c>
      <c r="BB572" t="s">
        <v>74</v>
      </c>
      <c r="BC572" t="s">
        <v>74</v>
      </c>
      <c r="BD572">
        <v>103720</v>
      </c>
      <c r="BE572" t="s">
        <v>11179</v>
      </c>
      <c r="BF572" t="str">
        <f>HYPERLINK("http://dx.doi.org/10.1016/j.marchem.2019.103720","http://dx.doi.org/10.1016/j.marchem.2019.103720")</f>
        <v>http://dx.doi.org/10.1016/j.marchem.2019.103720</v>
      </c>
      <c r="BG572" t="s">
        <v>74</v>
      </c>
      <c r="BH572" t="s">
        <v>74</v>
      </c>
      <c r="BI572">
        <v>9</v>
      </c>
      <c r="BJ572" t="s">
        <v>6362</v>
      </c>
      <c r="BK572" t="s">
        <v>103</v>
      </c>
      <c r="BL572" t="s">
        <v>6363</v>
      </c>
      <c r="BM572" t="s">
        <v>11180</v>
      </c>
      <c r="BN572" t="s">
        <v>74</v>
      </c>
      <c r="BO572" t="s">
        <v>74</v>
      </c>
      <c r="BP572" t="s">
        <v>74</v>
      </c>
      <c r="BQ572" t="s">
        <v>74</v>
      </c>
      <c r="BR572" t="s">
        <v>106</v>
      </c>
      <c r="BS572" t="s">
        <v>11181</v>
      </c>
      <c r="BT572" t="str">
        <f>HYPERLINK("https%3A%2F%2Fwww.webofscience.com%2Fwos%2Fwoscc%2Ffull-record%2FWOS:000508752800001","View Full Record in Web of Science")</f>
        <v>View Full Record in Web of Science</v>
      </c>
    </row>
    <row r="573" spans="1:72" x14ac:dyDescent="0.15">
      <c r="A573" t="s">
        <v>72</v>
      </c>
      <c r="B573" t="s">
        <v>11182</v>
      </c>
      <c r="C573" t="s">
        <v>74</v>
      </c>
      <c r="D573" t="s">
        <v>74</v>
      </c>
      <c r="E573" t="s">
        <v>74</v>
      </c>
      <c r="F573" t="s">
        <v>11183</v>
      </c>
      <c r="G573" t="s">
        <v>74</v>
      </c>
      <c r="H573" t="s">
        <v>74</v>
      </c>
      <c r="I573" t="s">
        <v>11184</v>
      </c>
      <c r="J573" t="s">
        <v>6521</v>
      </c>
      <c r="K573" t="s">
        <v>74</v>
      </c>
      <c r="L573" t="s">
        <v>74</v>
      </c>
      <c r="M573" t="s">
        <v>78</v>
      </c>
      <c r="N573" t="s">
        <v>79</v>
      </c>
      <c r="O573" t="s">
        <v>74</v>
      </c>
      <c r="P573" t="s">
        <v>74</v>
      </c>
      <c r="Q573" t="s">
        <v>74</v>
      </c>
      <c r="R573" t="s">
        <v>74</v>
      </c>
      <c r="S573" t="s">
        <v>74</v>
      </c>
      <c r="T573" t="s">
        <v>11185</v>
      </c>
      <c r="U573" t="s">
        <v>11186</v>
      </c>
      <c r="V573" t="s">
        <v>11187</v>
      </c>
      <c r="W573" t="s">
        <v>11188</v>
      </c>
      <c r="X573" t="s">
        <v>11189</v>
      </c>
      <c r="Y573" t="s">
        <v>11190</v>
      </c>
      <c r="Z573" t="s">
        <v>11191</v>
      </c>
      <c r="AA573" t="s">
        <v>11192</v>
      </c>
      <c r="AB573" t="s">
        <v>11193</v>
      </c>
      <c r="AC573" t="s">
        <v>11194</v>
      </c>
      <c r="AD573" t="s">
        <v>11195</v>
      </c>
      <c r="AE573" t="s">
        <v>11196</v>
      </c>
      <c r="AF573" t="s">
        <v>74</v>
      </c>
      <c r="AG573">
        <v>93</v>
      </c>
      <c r="AH573">
        <v>7</v>
      </c>
      <c r="AI573">
        <v>7</v>
      </c>
      <c r="AJ573">
        <v>3</v>
      </c>
      <c r="AK573">
        <v>24</v>
      </c>
      <c r="AL573" t="s">
        <v>211</v>
      </c>
      <c r="AM573" t="s">
        <v>212</v>
      </c>
      <c r="AN573" t="s">
        <v>213</v>
      </c>
      <c r="AO573" t="s">
        <v>6532</v>
      </c>
      <c r="AP573" t="s">
        <v>6533</v>
      </c>
      <c r="AQ573" t="s">
        <v>74</v>
      </c>
      <c r="AR573" t="s">
        <v>6534</v>
      </c>
      <c r="AS573" t="s">
        <v>6535</v>
      </c>
      <c r="AT573" t="s">
        <v>2912</v>
      </c>
      <c r="AU573">
        <v>2020</v>
      </c>
      <c r="AV573">
        <v>30</v>
      </c>
      <c r="AW573">
        <v>3</v>
      </c>
      <c r="AX573" t="s">
        <v>74</v>
      </c>
      <c r="AY573" t="s">
        <v>74</v>
      </c>
      <c r="AZ573" t="s">
        <v>74</v>
      </c>
      <c r="BA573" t="s">
        <v>74</v>
      </c>
      <c r="BB573">
        <v>412</v>
      </c>
      <c r="BC573">
        <v>425</v>
      </c>
      <c r="BD573" t="s">
        <v>74</v>
      </c>
      <c r="BE573" t="s">
        <v>11197</v>
      </c>
      <c r="BF573" t="str">
        <f>HYPERLINK("http://dx.doi.org/10.1002/aqc.3271","http://dx.doi.org/10.1002/aqc.3271")</f>
        <v>http://dx.doi.org/10.1002/aqc.3271</v>
      </c>
      <c r="BG573" t="s">
        <v>74</v>
      </c>
      <c r="BH573" t="s">
        <v>10613</v>
      </c>
      <c r="BI573">
        <v>14</v>
      </c>
      <c r="BJ573" t="s">
        <v>6537</v>
      </c>
      <c r="BK573" t="s">
        <v>103</v>
      </c>
      <c r="BL573" t="s">
        <v>6538</v>
      </c>
      <c r="BM573" t="s">
        <v>6539</v>
      </c>
      <c r="BN573" t="s">
        <v>74</v>
      </c>
      <c r="BO573" t="s">
        <v>74</v>
      </c>
      <c r="BP573" t="s">
        <v>74</v>
      </c>
      <c r="BQ573" t="s">
        <v>74</v>
      </c>
      <c r="BR573" t="s">
        <v>106</v>
      </c>
      <c r="BS573" t="s">
        <v>11198</v>
      </c>
      <c r="BT573" t="str">
        <f>HYPERLINK("https%3A%2F%2Fwww.webofscience.com%2Fwos%2Fwoscc%2Ffull-record%2FWOS:000508189600001","View Full Record in Web of Science")</f>
        <v>View Full Record in Web of Science</v>
      </c>
    </row>
    <row r="574" spans="1:72" x14ac:dyDescent="0.15">
      <c r="A574" t="s">
        <v>72</v>
      </c>
      <c r="B574" t="s">
        <v>11199</v>
      </c>
      <c r="C574" t="s">
        <v>74</v>
      </c>
      <c r="D574" t="s">
        <v>74</v>
      </c>
      <c r="E574" t="s">
        <v>74</v>
      </c>
      <c r="F574" t="s">
        <v>11200</v>
      </c>
      <c r="G574" t="s">
        <v>74</v>
      </c>
      <c r="H574" t="s">
        <v>74</v>
      </c>
      <c r="I574" t="s">
        <v>11201</v>
      </c>
      <c r="J574" t="s">
        <v>940</v>
      </c>
      <c r="K574" t="s">
        <v>74</v>
      </c>
      <c r="L574" t="s">
        <v>74</v>
      </c>
      <c r="M574" t="s">
        <v>78</v>
      </c>
      <c r="N574" t="s">
        <v>79</v>
      </c>
      <c r="O574" t="s">
        <v>74</v>
      </c>
      <c r="P574" t="s">
        <v>74</v>
      </c>
      <c r="Q574" t="s">
        <v>74</v>
      </c>
      <c r="R574" t="s">
        <v>74</v>
      </c>
      <c r="S574" t="s">
        <v>74</v>
      </c>
      <c r="T574" t="s">
        <v>74</v>
      </c>
      <c r="U574" t="s">
        <v>11202</v>
      </c>
      <c r="V574" t="s">
        <v>11203</v>
      </c>
      <c r="W574" t="s">
        <v>11204</v>
      </c>
      <c r="X574" t="s">
        <v>11205</v>
      </c>
      <c r="Y574" t="s">
        <v>11206</v>
      </c>
      <c r="Z574" t="s">
        <v>11207</v>
      </c>
      <c r="AA574" t="s">
        <v>11208</v>
      </c>
      <c r="AB574" t="s">
        <v>11209</v>
      </c>
      <c r="AC574" t="s">
        <v>11210</v>
      </c>
      <c r="AD574" t="s">
        <v>11211</v>
      </c>
      <c r="AE574" t="s">
        <v>11212</v>
      </c>
      <c r="AF574" t="s">
        <v>74</v>
      </c>
      <c r="AG574">
        <v>45</v>
      </c>
      <c r="AH574">
        <v>13</v>
      </c>
      <c r="AI574">
        <v>15</v>
      </c>
      <c r="AJ574">
        <v>0</v>
      </c>
      <c r="AK574">
        <v>13</v>
      </c>
      <c r="AL574" t="s">
        <v>951</v>
      </c>
      <c r="AM574" t="s">
        <v>952</v>
      </c>
      <c r="AN574" t="s">
        <v>953</v>
      </c>
      <c r="AO574" t="s">
        <v>954</v>
      </c>
      <c r="AP574" t="s">
        <v>74</v>
      </c>
      <c r="AQ574" t="s">
        <v>74</v>
      </c>
      <c r="AR574" t="s">
        <v>955</v>
      </c>
      <c r="AS574" t="s">
        <v>956</v>
      </c>
      <c r="AT574" t="s">
        <v>11126</v>
      </c>
      <c r="AU574">
        <v>2020</v>
      </c>
      <c r="AV574">
        <v>10</v>
      </c>
      <c r="AW574">
        <v>1</v>
      </c>
      <c r="AX574" t="s">
        <v>74</v>
      </c>
      <c r="AY574" t="s">
        <v>74</v>
      </c>
      <c r="AZ574" t="s">
        <v>74</v>
      </c>
      <c r="BA574" t="s">
        <v>74</v>
      </c>
      <c r="BB574" t="s">
        <v>74</v>
      </c>
      <c r="BC574" t="s">
        <v>74</v>
      </c>
      <c r="BD574">
        <v>688</v>
      </c>
      <c r="BE574" t="s">
        <v>11213</v>
      </c>
      <c r="BF574" t="str">
        <f>HYPERLINK("http://dx.doi.org/10.1038/s41598-020-57472-2","http://dx.doi.org/10.1038/s41598-020-57472-2")</f>
        <v>http://dx.doi.org/10.1038/s41598-020-57472-2</v>
      </c>
      <c r="BG574" t="s">
        <v>74</v>
      </c>
      <c r="BH574" t="s">
        <v>74</v>
      </c>
      <c r="BI574">
        <v>9</v>
      </c>
      <c r="BJ574" t="s">
        <v>322</v>
      </c>
      <c r="BK574" t="s">
        <v>103</v>
      </c>
      <c r="BL574" t="s">
        <v>323</v>
      </c>
      <c r="BM574" t="s">
        <v>11214</v>
      </c>
      <c r="BN574">
        <v>31959798</v>
      </c>
      <c r="BO574" t="s">
        <v>1805</v>
      </c>
      <c r="BP574" t="s">
        <v>74</v>
      </c>
      <c r="BQ574" t="s">
        <v>74</v>
      </c>
      <c r="BR574" t="s">
        <v>106</v>
      </c>
      <c r="BS574" t="s">
        <v>11215</v>
      </c>
      <c r="BT574" t="str">
        <f>HYPERLINK("https%3A%2F%2Fwww.webofscience.com%2Fwos%2Fwoscc%2Ffull-record%2FWOS:000562135500003","View Full Record in Web of Science")</f>
        <v>View Full Record in Web of Science</v>
      </c>
    </row>
    <row r="575" spans="1:72" x14ac:dyDescent="0.15">
      <c r="A575" t="s">
        <v>72</v>
      </c>
      <c r="B575" t="s">
        <v>11216</v>
      </c>
      <c r="C575" t="s">
        <v>74</v>
      </c>
      <c r="D575" t="s">
        <v>74</v>
      </c>
      <c r="E575" t="s">
        <v>74</v>
      </c>
      <c r="F575" t="s">
        <v>11217</v>
      </c>
      <c r="G575" t="s">
        <v>74</v>
      </c>
      <c r="H575" t="s">
        <v>74</v>
      </c>
      <c r="I575" t="s">
        <v>11218</v>
      </c>
      <c r="J575" t="s">
        <v>940</v>
      </c>
      <c r="K575" t="s">
        <v>74</v>
      </c>
      <c r="L575" t="s">
        <v>74</v>
      </c>
      <c r="M575" t="s">
        <v>78</v>
      </c>
      <c r="N575" t="s">
        <v>79</v>
      </c>
      <c r="O575" t="s">
        <v>74</v>
      </c>
      <c r="P575" t="s">
        <v>74</v>
      </c>
      <c r="Q575" t="s">
        <v>74</v>
      </c>
      <c r="R575" t="s">
        <v>74</v>
      </c>
      <c r="S575" t="s">
        <v>74</v>
      </c>
      <c r="T575" t="s">
        <v>74</v>
      </c>
      <c r="U575" t="s">
        <v>11219</v>
      </c>
      <c r="V575" t="s">
        <v>11220</v>
      </c>
      <c r="W575" t="s">
        <v>11221</v>
      </c>
      <c r="X575" t="s">
        <v>11222</v>
      </c>
      <c r="Y575" t="s">
        <v>11223</v>
      </c>
      <c r="Z575" t="s">
        <v>11224</v>
      </c>
      <c r="AA575" t="s">
        <v>74</v>
      </c>
      <c r="AB575" t="s">
        <v>11225</v>
      </c>
      <c r="AC575" t="s">
        <v>11226</v>
      </c>
      <c r="AD575" t="s">
        <v>11227</v>
      </c>
      <c r="AE575" t="s">
        <v>11228</v>
      </c>
      <c r="AF575" t="s">
        <v>74</v>
      </c>
      <c r="AG575">
        <v>63</v>
      </c>
      <c r="AH575">
        <v>35</v>
      </c>
      <c r="AI575">
        <v>38</v>
      </c>
      <c r="AJ575">
        <v>5</v>
      </c>
      <c r="AK575">
        <v>28</v>
      </c>
      <c r="AL575" t="s">
        <v>951</v>
      </c>
      <c r="AM575" t="s">
        <v>952</v>
      </c>
      <c r="AN575" t="s">
        <v>953</v>
      </c>
      <c r="AO575" t="s">
        <v>954</v>
      </c>
      <c r="AP575" t="s">
        <v>74</v>
      </c>
      <c r="AQ575" t="s">
        <v>74</v>
      </c>
      <c r="AR575" t="s">
        <v>955</v>
      </c>
      <c r="AS575" t="s">
        <v>956</v>
      </c>
      <c r="AT575" t="s">
        <v>11126</v>
      </c>
      <c r="AU575">
        <v>2020</v>
      </c>
      <c r="AV575">
        <v>10</v>
      </c>
      <c r="AW575">
        <v>1</v>
      </c>
      <c r="AX575" t="s">
        <v>74</v>
      </c>
      <c r="AY575" t="s">
        <v>74</v>
      </c>
      <c r="AZ575" t="s">
        <v>74</v>
      </c>
      <c r="BA575" t="s">
        <v>74</v>
      </c>
      <c r="BB575" t="s">
        <v>74</v>
      </c>
      <c r="BC575" t="s">
        <v>74</v>
      </c>
      <c r="BD575">
        <v>645</v>
      </c>
      <c r="BE575" t="s">
        <v>11229</v>
      </c>
      <c r="BF575" t="str">
        <f>HYPERLINK("http://dx.doi.org/10.1038/s41598-020-57464-2","http://dx.doi.org/10.1038/s41598-020-57464-2")</f>
        <v>http://dx.doi.org/10.1038/s41598-020-57464-2</v>
      </c>
      <c r="BG575" t="s">
        <v>74</v>
      </c>
      <c r="BH575" t="s">
        <v>74</v>
      </c>
      <c r="BI575">
        <v>12</v>
      </c>
      <c r="BJ575" t="s">
        <v>322</v>
      </c>
      <c r="BK575" t="s">
        <v>103</v>
      </c>
      <c r="BL575" t="s">
        <v>323</v>
      </c>
      <c r="BM575" t="s">
        <v>11230</v>
      </c>
      <c r="BN575">
        <v>31959785</v>
      </c>
      <c r="BO575" t="s">
        <v>276</v>
      </c>
      <c r="BP575" t="s">
        <v>74</v>
      </c>
      <c r="BQ575" t="s">
        <v>74</v>
      </c>
      <c r="BR575" t="s">
        <v>106</v>
      </c>
      <c r="BS575" t="s">
        <v>11231</v>
      </c>
      <c r="BT575" t="str">
        <f>HYPERLINK("https%3A%2F%2Fwww.webofscience.com%2Fwos%2Fwoscc%2Ffull-record%2FWOS:000562134000006","View Full Record in Web of Science")</f>
        <v>View Full Record in Web of Science</v>
      </c>
    </row>
    <row r="576" spans="1:72" x14ac:dyDescent="0.15">
      <c r="A576" t="s">
        <v>72</v>
      </c>
      <c r="B576" t="s">
        <v>11232</v>
      </c>
      <c r="C576" t="s">
        <v>74</v>
      </c>
      <c r="D576" t="s">
        <v>74</v>
      </c>
      <c r="E576" t="s">
        <v>74</v>
      </c>
      <c r="F576" t="s">
        <v>11233</v>
      </c>
      <c r="G576" t="s">
        <v>74</v>
      </c>
      <c r="H576" t="s">
        <v>74</v>
      </c>
      <c r="I576" t="s">
        <v>11234</v>
      </c>
      <c r="J576" t="s">
        <v>1042</v>
      </c>
      <c r="K576" t="s">
        <v>74</v>
      </c>
      <c r="L576" t="s">
        <v>74</v>
      </c>
      <c r="M576" t="s">
        <v>78</v>
      </c>
      <c r="N576" t="s">
        <v>79</v>
      </c>
      <c r="O576" t="s">
        <v>74</v>
      </c>
      <c r="P576" t="s">
        <v>74</v>
      </c>
      <c r="Q576" t="s">
        <v>74</v>
      </c>
      <c r="R576" t="s">
        <v>74</v>
      </c>
      <c r="S576" t="s">
        <v>74</v>
      </c>
      <c r="T576" t="s">
        <v>11235</v>
      </c>
      <c r="U576" t="s">
        <v>11236</v>
      </c>
      <c r="V576" t="s">
        <v>11237</v>
      </c>
      <c r="W576" t="s">
        <v>11238</v>
      </c>
      <c r="X576" t="s">
        <v>11239</v>
      </c>
      <c r="Y576" t="s">
        <v>11240</v>
      </c>
      <c r="Z576" t="s">
        <v>11241</v>
      </c>
      <c r="AA576" t="s">
        <v>11242</v>
      </c>
      <c r="AB576" t="s">
        <v>11243</v>
      </c>
      <c r="AC576" t="s">
        <v>11244</v>
      </c>
      <c r="AD576" t="s">
        <v>11245</v>
      </c>
      <c r="AE576" t="s">
        <v>11246</v>
      </c>
      <c r="AF576" t="s">
        <v>74</v>
      </c>
      <c r="AG576">
        <v>79</v>
      </c>
      <c r="AH576">
        <v>5</v>
      </c>
      <c r="AI576">
        <v>5</v>
      </c>
      <c r="AJ576">
        <v>1</v>
      </c>
      <c r="AK576">
        <v>9</v>
      </c>
      <c r="AL576" t="s">
        <v>1055</v>
      </c>
      <c r="AM576" t="s">
        <v>435</v>
      </c>
      <c r="AN576" t="s">
        <v>1056</v>
      </c>
      <c r="AO576" t="s">
        <v>1057</v>
      </c>
      <c r="AP576" t="s">
        <v>74</v>
      </c>
      <c r="AQ576" t="s">
        <v>74</v>
      </c>
      <c r="AR576" t="s">
        <v>1058</v>
      </c>
      <c r="AS576" t="s">
        <v>1059</v>
      </c>
      <c r="AT576" t="s">
        <v>11247</v>
      </c>
      <c r="AU576">
        <v>2020</v>
      </c>
      <c r="AV576">
        <v>8</v>
      </c>
      <c r="AW576" t="s">
        <v>74</v>
      </c>
      <c r="AX576" t="s">
        <v>74</v>
      </c>
      <c r="AY576" t="s">
        <v>74</v>
      </c>
      <c r="AZ576" t="s">
        <v>74</v>
      </c>
      <c r="BA576" t="s">
        <v>74</v>
      </c>
      <c r="BB576" t="s">
        <v>74</v>
      </c>
      <c r="BC576" t="s">
        <v>74</v>
      </c>
      <c r="BD576" t="s">
        <v>11248</v>
      </c>
      <c r="BE576" t="s">
        <v>11249</v>
      </c>
      <c r="BF576" t="str">
        <f>HYPERLINK("http://dx.doi.org/10.1093/conphys/coz105","http://dx.doi.org/10.1093/conphys/coz105")</f>
        <v>http://dx.doi.org/10.1093/conphys/coz105</v>
      </c>
      <c r="BG576" t="s">
        <v>74</v>
      </c>
      <c r="BH576" t="s">
        <v>74</v>
      </c>
      <c r="BI576">
        <v>15</v>
      </c>
      <c r="BJ576" t="s">
        <v>1062</v>
      </c>
      <c r="BK576" t="s">
        <v>103</v>
      </c>
      <c r="BL576" t="s">
        <v>1063</v>
      </c>
      <c r="BM576" t="s">
        <v>11250</v>
      </c>
      <c r="BN576">
        <v>31976076</v>
      </c>
      <c r="BO576" t="s">
        <v>1805</v>
      </c>
      <c r="BP576" t="s">
        <v>74</v>
      </c>
      <c r="BQ576" t="s">
        <v>74</v>
      </c>
      <c r="BR576" t="s">
        <v>106</v>
      </c>
      <c r="BS576" t="s">
        <v>11251</v>
      </c>
      <c r="BT576" t="str">
        <f>HYPERLINK("https%3A%2F%2Fwww.webofscience.com%2Fwos%2Fwoscc%2Ffull-record%2FWOS:000521165500001","View Full Record in Web of Science")</f>
        <v>View Full Record in Web of Science</v>
      </c>
    </row>
    <row r="577" spans="1:72" x14ac:dyDescent="0.15">
      <c r="A577" t="s">
        <v>72</v>
      </c>
      <c r="B577" t="s">
        <v>11252</v>
      </c>
      <c r="C577" t="s">
        <v>74</v>
      </c>
      <c r="D577" t="s">
        <v>74</v>
      </c>
      <c r="E577" t="s">
        <v>74</v>
      </c>
      <c r="F577" t="s">
        <v>11253</v>
      </c>
      <c r="G577" t="s">
        <v>74</v>
      </c>
      <c r="H577" t="s">
        <v>74</v>
      </c>
      <c r="I577" t="s">
        <v>11254</v>
      </c>
      <c r="J577" t="s">
        <v>1986</v>
      </c>
      <c r="K577" t="s">
        <v>74</v>
      </c>
      <c r="L577" t="s">
        <v>74</v>
      </c>
      <c r="M577" t="s">
        <v>78</v>
      </c>
      <c r="N577" t="s">
        <v>1434</v>
      </c>
      <c r="O577" t="s">
        <v>74</v>
      </c>
      <c r="P577" t="s">
        <v>74</v>
      </c>
      <c r="Q577" t="s">
        <v>74</v>
      </c>
      <c r="R577" t="s">
        <v>74</v>
      </c>
      <c r="S577" t="s">
        <v>74</v>
      </c>
      <c r="T577" t="s">
        <v>11255</v>
      </c>
      <c r="U577" t="s">
        <v>11256</v>
      </c>
      <c r="V577" t="s">
        <v>11257</v>
      </c>
      <c r="W577" t="s">
        <v>11258</v>
      </c>
      <c r="X577" t="s">
        <v>11259</v>
      </c>
      <c r="Y577" t="s">
        <v>11260</v>
      </c>
      <c r="Z577" t="s">
        <v>11261</v>
      </c>
      <c r="AA577" t="s">
        <v>11262</v>
      </c>
      <c r="AB577" t="s">
        <v>11263</v>
      </c>
      <c r="AC577" t="s">
        <v>11264</v>
      </c>
      <c r="AD577" t="s">
        <v>11265</v>
      </c>
      <c r="AE577" t="s">
        <v>11266</v>
      </c>
      <c r="AF577" t="s">
        <v>74</v>
      </c>
      <c r="AG577">
        <v>134</v>
      </c>
      <c r="AH577">
        <v>14</v>
      </c>
      <c r="AI577">
        <v>16</v>
      </c>
      <c r="AJ577">
        <v>0</v>
      </c>
      <c r="AK577">
        <v>15</v>
      </c>
      <c r="AL577" t="s">
        <v>211</v>
      </c>
      <c r="AM577" t="s">
        <v>212</v>
      </c>
      <c r="AN577" t="s">
        <v>213</v>
      </c>
      <c r="AO577" t="s">
        <v>1998</v>
      </c>
      <c r="AP577" t="s">
        <v>1999</v>
      </c>
      <c r="AQ577" t="s">
        <v>74</v>
      </c>
      <c r="AR577" t="s">
        <v>2000</v>
      </c>
      <c r="AS577" t="s">
        <v>2001</v>
      </c>
      <c r="AT577" t="s">
        <v>2002</v>
      </c>
      <c r="AU577">
        <v>2020</v>
      </c>
      <c r="AV577">
        <v>40</v>
      </c>
      <c r="AW577">
        <v>9</v>
      </c>
      <c r="AX577" t="s">
        <v>74</v>
      </c>
      <c r="AY577" t="s">
        <v>74</v>
      </c>
      <c r="AZ577" t="s">
        <v>74</v>
      </c>
      <c r="BA577" t="s">
        <v>74</v>
      </c>
      <c r="BB577">
        <v>4006</v>
      </c>
      <c r="BC577">
        <v>4038</v>
      </c>
      <c r="BD577" t="s">
        <v>74</v>
      </c>
      <c r="BE577" t="s">
        <v>11267</v>
      </c>
      <c r="BF577" t="str">
        <f>HYPERLINK("http://dx.doi.org/10.1002/joc.6442","http://dx.doi.org/10.1002/joc.6442")</f>
        <v>http://dx.doi.org/10.1002/joc.6442</v>
      </c>
      <c r="BG577" t="s">
        <v>74</v>
      </c>
      <c r="BH577" t="s">
        <v>10613</v>
      </c>
      <c r="BI577">
        <v>33</v>
      </c>
      <c r="BJ577" t="s">
        <v>907</v>
      </c>
      <c r="BK577" t="s">
        <v>103</v>
      </c>
      <c r="BL577" t="s">
        <v>907</v>
      </c>
      <c r="BM577" t="s">
        <v>2004</v>
      </c>
      <c r="BN577" t="s">
        <v>74</v>
      </c>
      <c r="BO577" t="s">
        <v>74</v>
      </c>
      <c r="BP577" t="s">
        <v>74</v>
      </c>
      <c r="BQ577" t="s">
        <v>74</v>
      </c>
      <c r="BR577" t="s">
        <v>106</v>
      </c>
      <c r="BS577" t="s">
        <v>11268</v>
      </c>
      <c r="BT577" t="str">
        <f>HYPERLINK("https%3A%2F%2Fwww.webofscience.com%2Fwos%2Fwoscc%2Ffull-record%2FWOS:000507815300001","View Full Record in Web of Science")</f>
        <v>View Full Record in Web of Science</v>
      </c>
    </row>
    <row r="578" spans="1:72" x14ac:dyDescent="0.15">
      <c r="A578" t="s">
        <v>72</v>
      </c>
      <c r="B578" t="s">
        <v>11269</v>
      </c>
      <c r="C578" t="s">
        <v>74</v>
      </c>
      <c r="D578" t="s">
        <v>74</v>
      </c>
      <c r="E578" t="s">
        <v>74</v>
      </c>
      <c r="F578" t="s">
        <v>11270</v>
      </c>
      <c r="G578" t="s">
        <v>74</v>
      </c>
      <c r="H578" t="s">
        <v>74</v>
      </c>
      <c r="I578" t="s">
        <v>11271</v>
      </c>
      <c r="J578" t="s">
        <v>645</v>
      </c>
      <c r="K578" t="s">
        <v>74</v>
      </c>
      <c r="L578" t="s">
        <v>74</v>
      </c>
      <c r="M578" t="s">
        <v>78</v>
      </c>
      <c r="N578" t="s">
        <v>1434</v>
      </c>
      <c r="O578" t="s">
        <v>74</v>
      </c>
      <c r="P578" t="s">
        <v>74</v>
      </c>
      <c r="Q578" t="s">
        <v>74</v>
      </c>
      <c r="R578" t="s">
        <v>74</v>
      </c>
      <c r="S578" t="s">
        <v>74</v>
      </c>
      <c r="T578" t="s">
        <v>11272</v>
      </c>
      <c r="U578" t="s">
        <v>11273</v>
      </c>
      <c r="V578" t="s">
        <v>11274</v>
      </c>
      <c r="W578" t="s">
        <v>11275</v>
      </c>
      <c r="X578" t="s">
        <v>11276</v>
      </c>
      <c r="Y578" t="s">
        <v>11277</v>
      </c>
      <c r="Z578" t="s">
        <v>11278</v>
      </c>
      <c r="AA578" t="s">
        <v>11279</v>
      </c>
      <c r="AB578" t="s">
        <v>11280</v>
      </c>
      <c r="AC578" t="s">
        <v>11281</v>
      </c>
      <c r="AD578" t="s">
        <v>11282</v>
      </c>
      <c r="AE578" t="s">
        <v>11283</v>
      </c>
      <c r="AF578" t="s">
        <v>74</v>
      </c>
      <c r="AG578">
        <v>101</v>
      </c>
      <c r="AH578">
        <v>108</v>
      </c>
      <c r="AI578">
        <v>112</v>
      </c>
      <c r="AJ578">
        <v>5</v>
      </c>
      <c r="AK578">
        <v>30</v>
      </c>
      <c r="AL578" t="s">
        <v>658</v>
      </c>
      <c r="AM578" t="s">
        <v>659</v>
      </c>
      <c r="AN578" t="s">
        <v>660</v>
      </c>
      <c r="AO578" t="s">
        <v>661</v>
      </c>
      <c r="AP578" t="s">
        <v>74</v>
      </c>
      <c r="AQ578" t="s">
        <v>74</v>
      </c>
      <c r="AR578" t="s">
        <v>662</v>
      </c>
      <c r="AS578" t="s">
        <v>663</v>
      </c>
      <c r="AT578" t="s">
        <v>11284</v>
      </c>
      <c r="AU578">
        <v>2020</v>
      </c>
      <c r="AV578">
        <v>10</v>
      </c>
      <c r="AW578" t="s">
        <v>74</v>
      </c>
      <c r="AX578" t="s">
        <v>74</v>
      </c>
      <c r="AY578" t="s">
        <v>74</v>
      </c>
      <c r="AZ578" t="s">
        <v>74</v>
      </c>
      <c r="BA578" t="s">
        <v>74</v>
      </c>
      <c r="BB578" t="s">
        <v>74</v>
      </c>
      <c r="BC578" t="s">
        <v>74</v>
      </c>
      <c r="BD578">
        <v>3026</v>
      </c>
      <c r="BE578" t="s">
        <v>11285</v>
      </c>
      <c r="BF578" t="str">
        <f>HYPERLINK("http://dx.doi.org/10.3389/fmicb.2019.03026","http://dx.doi.org/10.3389/fmicb.2019.03026")</f>
        <v>http://dx.doi.org/10.3389/fmicb.2019.03026</v>
      </c>
      <c r="BG578" t="s">
        <v>74</v>
      </c>
      <c r="BH578" t="s">
        <v>74</v>
      </c>
      <c r="BI578">
        <v>9</v>
      </c>
      <c r="BJ578" t="s">
        <v>273</v>
      </c>
      <c r="BK578" t="s">
        <v>103</v>
      </c>
      <c r="BL578" t="s">
        <v>273</v>
      </c>
      <c r="BM578" t="s">
        <v>11286</v>
      </c>
      <c r="BN578">
        <v>32038523</v>
      </c>
      <c r="BO578" t="s">
        <v>1359</v>
      </c>
      <c r="BP578" t="s">
        <v>74</v>
      </c>
      <c r="BQ578" t="s">
        <v>74</v>
      </c>
      <c r="BR578" t="s">
        <v>106</v>
      </c>
      <c r="BS578" t="s">
        <v>11287</v>
      </c>
      <c r="BT578" t="str">
        <f>HYPERLINK("https%3A%2F%2Fwww.webofscience.com%2Fwos%2Fwoscc%2Ffull-record%2FWOS:000515683600001","View Full Record in Web of Science")</f>
        <v>View Full Record in Web of Science</v>
      </c>
    </row>
    <row r="579" spans="1:72" x14ac:dyDescent="0.15">
      <c r="A579" t="s">
        <v>72</v>
      </c>
      <c r="B579" t="s">
        <v>11288</v>
      </c>
      <c r="C579" t="s">
        <v>74</v>
      </c>
      <c r="D579" t="s">
        <v>74</v>
      </c>
      <c r="E579" t="s">
        <v>74</v>
      </c>
      <c r="F579" t="s">
        <v>11289</v>
      </c>
      <c r="G579" t="s">
        <v>74</v>
      </c>
      <c r="H579" t="s">
        <v>74</v>
      </c>
      <c r="I579" t="s">
        <v>11290</v>
      </c>
      <c r="J579" t="s">
        <v>1547</v>
      </c>
      <c r="K579" t="s">
        <v>74</v>
      </c>
      <c r="L579" t="s">
        <v>74</v>
      </c>
      <c r="M579" t="s">
        <v>78</v>
      </c>
      <c r="N579" t="s">
        <v>4314</v>
      </c>
      <c r="O579" t="s">
        <v>74</v>
      </c>
      <c r="P579" t="s">
        <v>74</v>
      </c>
      <c r="Q579" t="s">
        <v>74</v>
      </c>
      <c r="R579" t="s">
        <v>74</v>
      </c>
      <c r="S579" t="s">
        <v>74</v>
      </c>
      <c r="T579" t="s">
        <v>74</v>
      </c>
      <c r="U579" t="s">
        <v>74</v>
      </c>
      <c r="V579" t="s">
        <v>74</v>
      </c>
      <c r="W579" t="s">
        <v>74</v>
      </c>
      <c r="X579" t="s">
        <v>74</v>
      </c>
      <c r="Y579" t="s">
        <v>74</v>
      </c>
      <c r="Z579" t="s">
        <v>74</v>
      </c>
      <c r="AA579" t="s">
        <v>74</v>
      </c>
      <c r="AB579" t="s">
        <v>74</v>
      </c>
      <c r="AC579" t="s">
        <v>74</v>
      </c>
      <c r="AD579" t="s">
        <v>74</v>
      </c>
      <c r="AE579" t="s">
        <v>74</v>
      </c>
      <c r="AF579" t="s">
        <v>74</v>
      </c>
      <c r="AG579">
        <v>0</v>
      </c>
      <c r="AH579">
        <v>0</v>
      </c>
      <c r="AI579">
        <v>0</v>
      </c>
      <c r="AJ579">
        <v>0</v>
      </c>
      <c r="AK579">
        <v>0</v>
      </c>
      <c r="AL579" t="s">
        <v>315</v>
      </c>
      <c r="AM579" t="s">
        <v>266</v>
      </c>
      <c r="AN579" t="s">
        <v>316</v>
      </c>
      <c r="AO579" t="s">
        <v>1559</v>
      </c>
      <c r="AP579" t="s">
        <v>1560</v>
      </c>
      <c r="AQ579" t="s">
        <v>74</v>
      </c>
      <c r="AR579" t="s">
        <v>1547</v>
      </c>
      <c r="AS579" t="s">
        <v>1561</v>
      </c>
      <c r="AT579" t="s">
        <v>11284</v>
      </c>
      <c r="AU579">
        <v>2020</v>
      </c>
      <c r="AV579">
        <v>367</v>
      </c>
      <c r="AW579">
        <v>6475</v>
      </c>
      <c r="AX579" t="s">
        <v>74</v>
      </c>
      <c r="AY579" t="s">
        <v>74</v>
      </c>
      <c r="AZ579" t="s">
        <v>74</v>
      </c>
      <c r="BA579" t="s">
        <v>74</v>
      </c>
      <c r="BB579">
        <v>231</v>
      </c>
      <c r="BC579">
        <v>231</v>
      </c>
      <c r="BD579" t="s">
        <v>74</v>
      </c>
      <c r="BE579" t="s">
        <v>74</v>
      </c>
      <c r="BF579" t="s">
        <v>74</v>
      </c>
      <c r="BG579" t="s">
        <v>74</v>
      </c>
      <c r="BH579" t="s">
        <v>74</v>
      </c>
      <c r="BI579">
        <v>1</v>
      </c>
      <c r="BJ579" t="s">
        <v>322</v>
      </c>
      <c r="BK579" t="s">
        <v>103</v>
      </c>
      <c r="BL579" t="s">
        <v>323</v>
      </c>
      <c r="BM579" t="s">
        <v>11291</v>
      </c>
      <c r="BN579" t="s">
        <v>74</v>
      </c>
      <c r="BO579" t="s">
        <v>74</v>
      </c>
      <c r="BP579" t="s">
        <v>74</v>
      </c>
      <c r="BQ579" t="s">
        <v>74</v>
      </c>
      <c r="BR579" t="s">
        <v>106</v>
      </c>
      <c r="BS579" t="s">
        <v>11292</v>
      </c>
      <c r="BT579" t="str">
        <f>HYPERLINK("https%3A%2F%2Fwww.webofscience.com%2Fwos%2Fwoscc%2Ffull-record%2FWOS:000509802700007","View Full Record in Web of Science")</f>
        <v>View Full Record in Web of Science</v>
      </c>
    </row>
    <row r="580" spans="1:72" x14ac:dyDescent="0.15">
      <c r="A580" t="s">
        <v>72</v>
      </c>
      <c r="B580" t="s">
        <v>11293</v>
      </c>
      <c r="C580" t="s">
        <v>74</v>
      </c>
      <c r="D580" t="s">
        <v>74</v>
      </c>
      <c r="E580" t="s">
        <v>74</v>
      </c>
      <c r="F580" t="s">
        <v>11294</v>
      </c>
      <c r="G580" t="s">
        <v>74</v>
      </c>
      <c r="H580" t="s">
        <v>74</v>
      </c>
      <c r="I580" t="s">
        <v>11295</v>
      </c>
      <c r="J580" t="s">
        <v>1390</v>
      </c>
      <c r="K580" t="s">
        <v>74</v>
      </c>
      <c r="L580" t="s">
        <v>74</v>
      </c>
      <c r="M580" t="s">
        <v>78</v>
      </c>
      <c r="N580" t="s">
        <v>79</v>
      </c>
      <c r="O580" t="s">
        <v>74</v>
      </c>
      <c r="P580" t="s">
        <v>74</v>
      </c>
      <c r="Q580" t="s">
        <v>74</v>
      </c>
      <c r="R580" t="s">
        <v>74</v>
      </c>
      <c r="S580" t="s">
        <v>74</v>
      </c>
      <c r="T580" t="s">
        <v>74</v>
      </c>
      <c r="U580" t="s">
        <v>11296</v>
      </c>
      <c r="V580" t="s">
        <v>11297</v>
      </c>
      <c r="W580" t="s">
        <v>11298</v>
      </c>
      <c r="X580" t="s">
        <v>11299</v>
      </c>
      <c r="Y580" t="s">
        <v>11300</v>
      </c>
      <c r="Z580" t="s">
        <v>7054</v>
      </c>
      <c r="AA580" t="s">
        <v>11301</v>
      </c>
      <c r="AB580" t="s">
        <v>11302</v>
      </c>
      <c r="AC580" t="s">
        <v>11303</v>
      </c>
      <c r="AD580" t="s">
        <v>656</v>
      </c>
      <c r="AE580" t="s">
        <v>11304</v>
      </c>
      <c r="AF580" t="s">
        <v>74</v>
      </c>
      <c r="AG580">
        <v>140</v>
      </c>
      <c r="AH580">
        <v>36</v>
      </c>
      <c r="AI580">
        <v>36</v>
      </c>
      <c r="AJ580">
        <v>6</v>
      </c>
      <c r="AK580">
        <v>34</v>
      </c>
      <c r="AL580" t="s">
        <v>976</v>
      </c>
      <c r="AM580" t="s">
        <v>977</v>
      </c>
      <c r="AN580" t="s">
        <v>978</v>
      </c>
      <c r="AO580" t="s">
        <v>1399</v>
      </c>
      <c r="AP580" t="s">
        <v>1400</v>
      </c>
      <c r="AQ580" t="s">
        <v>74</v>
      </c>
      <c r="AR580" t="s">
        <v>1390</v>
      </c>
      <c r="AS580" t="s">
        <v>1401</v>
      </c>
      <c r="AT580" t="s">
        <v>11284</v>
      </c>
      <c r="AU580">
        <v>2020</v>
      </c>
      <c r="AV580">
        <v>17</v>
      </c>
      <c r="AW580">
        <v>1</v>
      </c>
      <c r="AX580" t="s">
        <v>74</v>
      </c>
      <c r="AY580" t="s">
        <v>74</v>
      </c>
      <c r="AZ580" t="s">
        <v>74</v>
      </c>
      <c r="BA580" t="s">
        <v>74</v>
      </c>
      <c r="BB580">
        <v>245</v>
      </c>
      <c r="BC580">
        <v>263</v>
      </c>
      <c r="BD580" t="s">
        <v>74</v>
      </c>
      <c r="BE580" t="s">
        <v>11305</v>
      </c>
      <c r="BF580" t="str">
        <f>HYPERLINK("http://dx.doi.org/10.5194/bg-17-245-2020","http://dx.doi.org/10.5194/bg-17-245-2020")</f>
        <v>http://dx.doi.org/10.5194/bg-17-245-2020</v>
      </c>
      <c r="BG580" t="s">
        <v>74</v>
      </c>
      <c r="BH580" t="s">
        <v>74</v>
      </c>
      <c r="BI580">
        <v>19</v>
      </c>
      <c r="BJ580" t="s">
        <v>1404</v>
      </c>
      <c r="BK580" t="s">
        <v>103</v>
      </c>
      <c r="BL580" t="s">
        <v>1405</v>
      </c>
      <c r="BM580" t="s">
        <v>11306</v>
      </c>
      <c r="BN580" t="s">
        <v>74</v>
      </c>
      <c r="BO580" t="s">
        <v>1257</v>
      </c>
      <c r="BP580" t="s">
        <v>74</v>
      </c>
      <c r="BQ580" t="s">
        <v>74</v>
      </c>
      <c r="BR580" t="s">
        <v>106</v>
      </c>
      <c r="BS580" t="s">
        <v>11307</v>
      </c>
      <c r="BT580" t="str">
        <f>HYPERLINK("https%3A%2F%2Fwww.webofscience.com%2Fwos%2Fwoscc%2Ffull-record%2FWOS:000508198600004","View Full Record in Web of Science")</f>
        <v>View Full Record in Web of Science</v>
      </c>
    </row>
    <row r="581" spans="1:72" x14ac:dyDescent="0.15">
      <c r="A581" t="s">
        <v>72</v>
      </c>
      <c r="B581" t="s">
        <v>11308</v>
      </c>
      <c r="C581" t="s">
        <v>74</v>
      </c>
      <c r="D581" t="s">
        <v>74</v>
      </c>
      <c r="E581" t="s">
        <v>74</v>
      </c>
      <c r="F581" t="s">
        <v>11309</v>
      </c>
      <c r="G581" t="s">
        <v>74</v>
      </c>
      <c r="H581" t="s">
        <v>74</v>
      </c>
      <c r="I581" t="s">
        <v>11310</v>
      </c>
      <c r="J581" t="s">
        <v>11311</v>
      </c>
      <c r="K581" t="s">
        <v>74</v>
      </c>
      <c r="L581" t="s">
        <v>74</v>
      </c>
      <c r="M581" t="s">
        <v>78</v>
      </c>
      <c r="N581" t="s">
        <v>79</v>
      </c>
      <c r="O581" t="s">
        <v>74</v>
      </c>
      <c r="P581" t="s">
        <v>74</v>
      </c>
      <c r="Q581" t="s">
        <v>74</v>
      </c>
      <c r="R581" t="s">
        <v>74</v>
      </c>
      <c r="S581" t="s">
        <v>74</v>
      </c>
      <c r="T581" t="s">
        <v>11312</v>
      </c>
      <c r="U581" t="s">
        <v>11313</v>
      </c>
      <c r="V581" t="s">
        <v>11314</v>
      </c>
      <c r="W581" t="s">
        <v>11315</v>
      </c>
      <c r="X581" t="s">
        <v>11316</v>
      </c>
      <c r="Y581" t="s">
        <v>11317</v>
      </c>
      <c r="Z581" t="s">
        <v>11318</v>
      </c>
      <c r="AA581" t="s">
        <v>74</v>
      </c>
      <c r="AB581" t="s">
        <v>11319</v>
      </c>
      <c r="AC581" t="s">
        <v>11320</v>
      </c>
      <c r="AD581" t="s">
        <v>11321</v>
      </c>
      <c r="AE581" t="s">
        <v>11322</v>
      </c>
      <c r="AF581" t="s">
        <v>74</v>
      </c>
      <c r="AG581">
        <v>153</v>
      </c>
      <c r="AH581">
        <v>18</v>
      </c>
      <c r="AI581">
        <v>18</v>
      </c>
      <c r="AJ581">
        <v>1</v>
      </c>
      <c r="AK581">
        <v>60</v>
      </c>
      <c r="AL581" t="s">
        <v>211</v>
      </c>
      <c r="AM581" t="s">
        <v>212</v>
      </c>
      <c r="AN581" t="s">
        <v>213</v>
      </c>
      <c r="AO581" t="s">
        <v>11323</v>
      </c>
      <c r="AP581" t="s">
        <v>11324</v>
      </c>
      <c r="AQ581" t="s">
        <v>74</v>
      </c>
      <c r="AR581" t="s">
        <v>11325</v>
      </c>
      <c r="AS581" t="s">
        <v>11326</v>
      </c>
      <c r="AT581" t="s">
        <v>2912</v>
      </c>
      <c r="AU581">
        <v>2020</v>
      </c>
      <c r="AV581">
        <v>11</v>
      </c>
      <c r="AW581">
        <v>2</v>
      </c>
      <c r="AX581" t="s">
        <v>74</v>
      </c>
      <c r="AY581" t="s">
        <v>74</v>
      </c>
      <c r="AZ581" t="s">
        <v>74</v>
      </c>
      <c r="BA581" t="s">
        <v>74</v>
      </c>
      <c r="BB581" t="s">
        <v>74</v>
      </c>
      <c r="BC581" t="s">
        <v>74</v>
      </c>
      <c r="BD581" t="s">
        <v>11327</v>
      </c>
      <c r="BE581" t="s">
        <v>11328</v>
      </c>
      <c r="BF581" t="str">
        <f>HYPERLINK("http://dx.doi.org/10.1002/wcc.634","http://dx.doi.org/10.1002/wcc.634")</f>
        <v>http://dx.doi.org/10.1002/wcc.634</v>
      </c>
      <c r="BG581" t="s">
        <v>74</v>
      </c>
      <c r="BH581" t="s">
        <v>10613</v>
      </c>
      <c r="BI581">
        <v>21</v>
      </c>
      <c r="BJ581" t="s">
        <v>11329</v>
      </c>
      <c r="BK581" t="s">
        <v>1149</v>
      </c>
      <c r="BL581" t="s">
        <v>985</v>
      </c>
      <c r="BM581" t="s">
        <v>11330</v>
      </c>
      <c r="BN581" t="s">
        <v>74</v>
      </c>
      <c r="BO581" t="s">
        <v>74</v>
      </c>
      <c r="BP581" t="s">
        <v>74</v>
      </c>
      <c r="BQ581" t="s">
        <v>74</v>
      </c>
      <c r="BR581" t="s">
        <v>106</v>
      </c>
      <c r="BS581" t="s">
        <v>11331</v>
      </c>
      <c r="BT581" t="str">
        <f>HYPERLINK("https%3A%2F%2Fwww.webofscience.com%2Fwos%2Fwoscc%2Ffull-record%2FWOS:000507583100001","View Full Record in Web of Science")</f>
        <v>View Full Record in Web of Science</v>
      </c>
    </row>
    <row r="582" spans="1:72" x14ac:dyDescent="0.15">
      <c r="A582" t="s">
        <v>72</v>
      </c>
      <c r="B582" t="s">
        <v>11332</v>
      </c>
      <c r="C582" t="s">
        <v>74</v>
      </c>
      <c r="D582" t="s">
        <v>74</v>
      </c>
      <c r="E582" t="s">
        <v>74</v>
      </c>
      <c r="F582" t="s">
        <v>11333</v>
      </c>
      <c r="G582" t="s">
        <v>74</v>
      </c>
      <c r="H582" t="s">
        <v>74</v>
      </c>
      <c r="I582" t="s">
        <v>11334</v>
      </c>
      <c r="J582" t="s">
        <v>888</v>
      </c>
      <c r="K582" t="s">
        <v>74</v>
      </c>
      <c r="L582" t="s">
        <v>74</v>
      </c>
      <c r="M582" t="s">
        <v>78</v>
      </c>
      <c r="N582" t="s">
        <v>79</v>
      </c>
      <c r="O582" t="s">
        <v>74</v>
      </c>
      <c r="P582" t="s">
        <v>74</v>
      </c>
      <c r="Q582" t="s">
        <v>74</v>
      </c>
      <c r="R582" t="s">
        <v>74</v>
      </c>
      <c r="S582" t="s">
        <v>74</v>
      </c>
      <c r="T582" t="s">
        <v>74</v>
      </c>
      <c r="U582" t="s">
        <v>11335</v>
      </c>
      <c r="V582" t="s">
        <v>11336</v>
      </c>
      <c r="W582" t="s">
        <v>11337</v>
      </c>
      <c r="X582" t="s">
        <v>11338</v>
      </c>
      <c r="Y582" t="s">
        <v>11339</v>
      </c>
      <c r="Z582" t="s">
        <v>11340</v>
      </c>
      <c r="AA582" t="s">
        <v>11341</v>
      </c>
      <c r="AB582" t="s">
        <v>74</v>
      </c>
      <c r="AC582" t="s">
        <v>11342</v>
      </c>
      <c r="AD582" t="s">
        <v>11343</v>
      </c>
      <c r="AE582" t="s">
        <v>11344</v>
      </c>
      <c r="AF582" t="s">
        <v>74</v>
      </c>
      <c r="AG582">
        <v>78</v>
      </c>
      <c r="AH582">
        <v>10</v>
      </c>
      <c r="AI582">
        <v>11</v>
      </c>
      <c r="AJ582">
        <v>1</v>
      </c>
      <c r="AK582">
        <v>6</v>
      </c>
      <c r="AL582" t="s">
        <v>855</v>
      </c>
      <c r="AM582" t="s">
        <v>266</v>
      </c>
      <c r="AN582" t="s">
        <v>856</v>
      </c>
      <c r="AO582" t="s">
        <v>900</v>
      </c>
      <c r="AP582" t="s">
        <v>901</v>
      </c>
      <c r="AQ582" t="s">
        <v>74</v>
      </c>
      <c r="AR582" t="s">
        <v>902</v>
      </c>
      <c r="AS582" t="s">
        <v>903</v>
      </c>
      <c r="AT582" t="s">
        <v>11345</v>
      </c>
      <c r="AU582">
        <v>2020</v>
      </c>
      <c r="AV582">
        <v>125</v>
      </c>
      <c r="AW582">
        <v>1</v>
      </c>
      <c r="AX582" t="s">
        <v>74</v>
      </c>
      <c r="AY582" t="s">
        <v>74</v>
      </c>
      <c r="AZ582" t="s">
        <v>74</v>
      </c>
      <c r="BA582" t="s">
        <v>74</v>
      </c>
      <c r="BB582" t="s">
        <v>74</v>
      </c>
      <c r="BC582" t="s">
        <v>74</v>
      </c>
      <c r="BD582" t="s">
        <v>11346</v>
      </c>
      <c r="BE582" t="s">
        <v>11347</v>
      </c>
      <c r="BF582" t="str">
        <f>HYPERLINK("http://dx.doi.org/10.1029/2019JD030845","http://dx.doi.org/10.1029/2019JD030845")</f>
        <v>http://dx.doi.org/10.1029/2019JD030845</v>
      </c>
      <c r="BG582" t="s">
        <v>74</v>
      </c>
      <c r="BH582" t="s">
        <v>74</v>
      </c>
      <c r="BI582">
        <v>26</v>
      </c>
      <c r="BJ582" t="s">
        <v>907</v>
      </c>
      <c r="BK582" t="s">
        <v>103</v>
      </c>
      <c r="BL582" t="s">
        <v>907</v>
      </c>
      <c r="BM582" t="s">
        <v>11348</v>
      </c>
      <c r="BN582" t="s">
        <v>74</v>
      </c>
      <c r="BO582" t="s">
        <v>193</v>
      </c>
      <c r="BP582" t="s">
        <v>74</v>
      </c>
      <c r="BQ582" t="s">
        <v>74</v>
      </c>
      <c r="BR582" t="s">
        <v>106</v>
      </c>
      <c r="BS582" t="s">
        <v>11349</v>
      </c>
      <c r="BT582" t="str">
        <f>HYPERLINK("https%3A%2F%2Fwww.webofscience.com%2Fwos%2Fwoscc%2Ffull-record%2FWOS:000514584000013","View Full Record in Web of Science")</f>
        <v>View Full Record in Web of Science</v>
      </c>
    </row>
    <row r="583" spans="1:72" x14ac:dyDescent="0.15">
      <c r="A583" t="s">
        <v>72</v>
      </c>
      <c r="B583" t="s">
        <v>11350</v>
      </c>
      <c r="C583" t="s">
        <v>74</v>
      </c>
      <c r="D583" t="s">
        <v>74</v>
      </c>
      <c r="E583" t="s">
        <v>74</v>
      </c>
      <c r="F583" t="s">
        <v>11351</v>
      </c>
      <c r="G583" t="s">
        <v>74</v>
      </c>
      <c r="H583" t="s">
        <v>74</v>
      </c>
      <c r="I583" t="s">
        <v>11352</v>
      </c>
      <c r="J583" t="s">
        <v>888</v>
      </c>
      <c r="K583" t="s">
        <v>74</v>
      </c>
      <c r="L583" t="s">
        <v>74</v>
      </c>
      <c r="M583" t="s">
        <v>78</v>
      </c>
      <c r="N583" t="s">
        <v>79</v>
      </c>
      <c r="O583" t="s">
        <v>74</v>
      </c>
      <c r="P583" t="s">
        <v>74</v>
      </c>
      <c r="Q583" t="s">
        <v>74</v>
      </c>
      <c r="R583" t="s">
        <v>74</v>
      </c>
      <c r="S583" t="s">
        <v>74</v>
      </c>
      <c r="T583" t="s">
        <v>74</v>
      </c>
      <c r="U583" t="s">
        <v>11353</v>
      </c>
      <c r="V583" t="s">
        <v>11354</v>
      </c>
      <c r="W583" t="s">
        <v>11355</v>
      </c>
      <c r="X583" t="s">
        <v>11356</v>
      </c>
      <c r="Y583" t="s">
        <v>11357</v>
      </c>
      <c r="Z583" t="s">
        <v>11358</v>
      </c>
      <c r="AA583" t="s">
        <v>11359</v>
      </c>
      <c r="AB583" t="s">
        <v>11360</v>
      </c>
      <c r="AC583" t="s">
        <v>11361</v>
      </c>
      <c r="AD583" t="s">
        <v>11362</v>
      </c>
      <c r="AE583" t="s">
        <v>11363</v>
      </c>
      <c r="AF583" t="s">
        <v>74</v>
      </c>
      <c r="AG583">
        <v>56</v>
      </c>
      <c r="AH583">
        <v>17</v>
      </c>
      <c r="AI583">
        <v>18</v>
      </c>
      <c r="AJ583">
        <v>3</v>
      </c>
      <c r="AK583">
        <v>26</v>
      </c>
      <c r="AL583" t="s">
        <v>855</v>
      </c>
      <c r="AM583" t="s">
        <v>266</v>
      </c>
      <c r="AN583" t="s">
        <v>856</v>
      </c>
      <c r="AO583" t="s">
        <v>900</v>
      </c>
      <c r="AP583" t="s">
        <v>901</v>
      </c>
      <c r="AQ583" t="s">
        <v>74</v>
      </c>
      <c r="AR583" t="s">
        <v>902</v>
      </c>
      <c r="AS583" t="s">
        <v>903</v>
      </c>
      <c r="AT583" t="s">
        <v>11345</v>
      </c>
      <c r="AU583">
        <v>2020</v>
      </c>
      <c r="AV583">
        <v>125</v>
      </c>
      <c r="AW583">
        <v>1</v>
      </c>
      <c r="AX583" t="s">
        <v>74</v>
      </c>
      <c r="AY583" t="s">
        <v>74</v>
      </c>
      <c r="AZ583" t="s">
        <v>74</v>
      </c>
      <c r="BA583" t="s">
        <v>74</v>
      </c>
      <c r="BB583" t="s">
        <v>74</v>
      </c>
      <c r="BC583" t="s">
        <v>74</v>
      </c>
      <c r="BD583" t="s">
        <v>11364</v>
      </c>
      <c r="BE583" t="s">
        <v>11365</v>
      </c>
      <c r="BF583" t="str">
        <f>HYPERLINK("http://dx.doi.org/10.1029/2019JD030737","http://dx.doi.org/10.1029/2019JD030737")</f>
        <v>http://dx.doi.org/10.1029/2019JD030737</v>
      </c>
      <c r="BG583" t="s">
        <v>74</v>
      </c>
      <c r="BH583" t="s">
        <v>74</v>
      </c>
      <c r="BI583">
        <v>13</v>
      </c>
      <c r="BJ583" t="s">
        <v>907</v>
      </c>
      <c r="BK583" t="s">
        <v>103</v>
      </c>
      <c r="BL583" t="s">
        <v>907</v>
      </c>
      <c r="BM583" t="s">
        <v>11348</v>
      </c>
      <c r="BN583" t="s">
        <v>74</v>
      </c>
      <c r="BO583" t="s">
        <v>1721</v>
      </c>
      <c r="BP583" t="s">
        <v>74</v>
      </c>
      <c r="BQ583" t="s">
        <v>74</v>
      </c>
      <c r="BR583" t="s">
        <v>106</v>
      </c>
      <c r="BS583" t="s">
        <v>11366</v>
      </c>
      <c r="BT583" t="str">
        <f>HYPERLINK("https%3A%2F%2Fwww.webofscience.com%2Fwos%2Fwoscc%2Ffull-record%2FWOS:000514584000011","View Full Record in Web of Science")</f>
        <v>View Full Record in Web of Science</v>
      </c>
    </row>
    <row r="584" spans="1:72" x14ac:dyDescent="0.15">
      <c r="A584" t="s">
        <v>72</v>
      </c>
      <c r="B584" t="s">
        <v>11367</v>
      </c>
      <c r="C584" t="s">
        <v>74</v>
      </c>
      <c r="D584" t="s">
        <v>74</v>
      </c>
      <c r="E584" t="s">
        <v>74</v>
      </c>
      <c r="F584" t="s">
        <v>11368</v>
      </c>
      <c r="G584" t="s">
        <v>74</v>
      </c>
      <c r="H584" t="s">
        <v>74</v>
      </c>
      <c r="I584" t="s">
        <v>11369</v>
      </c>
      <c r="J584" t="s">
        <v>842</v>
      </c>
      <c r="K584" t="s">
        <v>74</v>
      </c>
      <c r="L584" t="s">
        <v>74</v>
      </c>
      <c r="M584" t="s">
        <v>78</v>
      </c>
      <c r="N584" t="s">
        <v>79</v>
      </c>
      <c r="O584" t="s">
        <v>74</v>
      </c>
      <c r="P584" t="s">
        <v>74</v>
      </c>
      <c r="Q584" t="s">
        <v>74</v>
      </c>
      <c r="R584" t="s">
        <v>74</v>
      </c>
      <c r="S584" t="s">
        <v>74</v>
      </c>
      <c r="T584" t="s">
        <v>74</v>
      </c>
      <c r="U584" t="s">
        <v>11370</v>
      </c>
      <c r="V584" t="s">
        <v>11371</v>
      </c>
      <c r="W584" t="s">
        <v>11372</v>
      </c>
      <c r="X584" t="s">
        <v>11373</v>
      </c>
      <c r="Y584" t="s">
        <v>11374</v>
      </c>
      <c r="Z584" t="s">
        <v>11375</v>
      </c>
      <c r="AA584" t="s">
        <v>74</v>
      </c>
      <c r="AB584" t="s">
        <v>11376</v>
      </c>
      <c r="AC584" t="s">
        <v>11377</v>
      </c>
      <c r="AD584" t="s">
        <v>11378</v>
      </c>
      <c r="AE584" t="s">
        <v>11379</v>
      </c>
      <c r="AF584" t="s">
        <v>74</v>
      </c>
      <c r="AG584">
        <v>45</v>
      </c>
      <c r="AH584">
        <v>9</v>
      </c>
      <c r="AI584">
        <v>9</v>
      </c>
      <c r="AJ584">
        <v>12</v>
      </c>
      <c r="AK584">
        <v>58</v>
      </c>
      <c r="AL584" t="s">
        <v>855</v>
      </c>
      <c r="AM584" t="s">
        <v>266</v>
      </c>
      <c r="AN584" t="s">
        <v>856</v>
      </c>
      <c r="AO584" t="s">
        <v>857</v>
      </c>
      <c r="AP584" t="s">
        <v>858</v>
      </c>
      <c r="AQ584" t="s">
        <v>74</v>
      </c>
      <c r="AR584" t="s">
        <v>859</v>
      </c>
      <c r="AS584" t="s">
        <v>860</v>
      </c>
      <c r="AT584" t="s">
        <v>11345</v>
      </c>
      <c r="AU584">
        <v>2020</v>
      </c>
      <c r="AV584">
        <v>47</v>
      </c>
      <c r="AW584">
        <v>1</v>
      </c>
      <c r="AX584" t="s">
        <v>74</v>
      </c>
      <c r="AY584" t="s">
        <v>74</v>
      </c>
      <c r="AZ584" t="s">
        <v>74</v>
      </c>
      <c r="BA584" t="s">
        <v>74</v>
      </c>
      <c r="BB584" t="s">
        <v>74</v>
      </c>
      <c r="BC584" t="s">
        <v>74</v>
      </c>
      <c r="BD584" t="s">
        <v>11380</v>
      </c>
      <c r="BE584" t="s">
        <v>11381</v>
      </c>
      <c r="BF584" t="str">
        <f>HYPERLINK("http://dx.doi.org/10.1029/2019GL085602","http://dx.doi.org/10.1029/2019GL085602")</f>
        <v>http://dx.doi.org/10.1029/2019GL085602</v>
      </c>
      <c r="BG584" t="s">
        <v>74</v>
      </c>
      <c r="BH584" t="s">
        <v>74</v>
      </c>
      <c r="BI584">
        <v>10</v>
      </c>
      <c r="BJ584" t="s">
        <v>246</v>
      </c>
      <c r="BK584" t="s">
        <v>103</v>
      </c>
      <c r="BL584" t="s">
        <v>247</v>
      </c>
      <c r="BM584" t="s">
        <v>11382</v>
      </c>
      <c r="BN584" t="s">
        <v>74</v>
      </c>
      <c r="BO584" t="s">
        <v>517</v>
      </c>
      <c r="BP584" t="s">
        <v>74</v>
      </c>
      <c r="BQ584" t="s">
        <v>74</v>
      </c>
      <c r="BR584" t="s">
        <v>106</v>
      </c>
      <c r="BS584" t="s">
        <v>11383</v>
      </c>
      <c r="BT584" t="str">
        <f>HYPERLINK("https%3A%2F%2Fwww.webofscience.com%2Fwos%2Fwoscc%2Ffull-record%2FWOS:000513983400027","View Full Record in Web of Science")</f>
        <v>View Full Record in Web of Science</v>
      </c>
    </row>
    <row r="585" spans="1:72" x14ac:dyDescent="0.15">
      <c r="A585" t="s">
        <v>72</v>
      </c>
      <c r="B585" t="s">
        <v>11384</v>
      </c>
      <c r="C585" t="s">
        <v>74</v>
      </c>
      <c r="D585" t="s">
        <v>74</v>
      </c>
      <c r="E585" t="s">
        <v>74</v>
      </c>
      <c r="F585" t="s">
        <v>11385</v>
      </c>
      <c r="G585" t="s">
        <v>74</v>
      </c>
      <c r="H585" t="s">
        <v>74</v>
      </c>
      <c r="I585" t="s">
        <v>11386</v>
      </c>
      <c r="J585" t="s">
        <v>842</v>
      </c>
      <c r="K585" t="s">
        <v>74</v>
      </c>
      <c r="L585" t="s">
        <v>74</v>
      </c>
      <c r="M585" t="s">
        <v>78</v>
      </c>
      <c r="N585" t="s">
        <v>79</v>
      </c>
      <c r="O585" t="s">
        <v>74</v>
      </c>
      <c r="P585" t="s">
        <v>74</v>
      </c>
      <c r="Q585" t="s">
        <v>74</v>
      </c>
      <c r="R585" t="s">
        <v>74</v>
      </c>
      <c r="S585" t="s">
        <v>74</v>
      </c>
      <c r="T585" t="s">
        <v>74</v>
      </c>
      <c r="U585" t="s">
        <v>11387</v>
      </c>
      <c r="V585" t="s">
        <v>11388</v>
      </c>
      <c r="W585" t="s">
        <v>11389</v>
      </c>
      <c r="X585" t="s">
        <v>11390</v>
      </c>
      <c r="Y585" t="s">
        <v>11391</v>
      </c>
      <c r="Z585" t="s">
        <v>11392</v>
      </c>
      <c r="AA585" t="s">
        <v>11393</v>
      </c>
      <c r="AB585" t="s">
        <v>11394</v>
      </c>
      <c r="AC585" t="s">
        <v>11395</v>
      </c>
      <c r="AD585" t="s">
        <v>11396</v>
      </c>
      <c r="AE585" t="s">
        <v>11397</v>
      </c>
      <c r="AF585" t="s">
        <v>74</v>
      </c>
      <c r="AG585">
        <v>40</v>
      </c>
      <c r="AH585">
        <v>3</v>
      </c>
      <c r="AI585">
        <v>4</v>
      </c>
      <c r="AJ585">
        <v>0</v>
      </c>
      <c r="AK585">
        <v>11</v>
      </c>
      <c r="AL585" t="s">
        <v>855</v>
      </c>
      <c r="AM585" t="s">
        <v>266</v>
      </c>
      <c r="AN585" t="s">
        <v>856</v>
      </c>
      <c r="AO585" t="s">
        <v>857</v>
      </c>
      <c r="AP585" t="s">
        <v>858</v>
      </c>
      <c r="AQ585" t="s">
        <v>74</v>
      </c>
      <c r="AR585" t="s">
        <v>859</v>
      </c>
      <c r="AS585" t="s">
        <v>860</v>
      </c>
      <c r="AT585" t="s">
        <v>11345</v>
      </c>
      <c r="AU585">
        <v>2020</v>
      </c>
      <c r="AV585">
        <v>47</v>
      </c>
      <c r="AW585">
        <v>1</v>
      </c>
      <c r="AX585" t="s">
        <v>74</v>
      </c>
      <c r="AY585" t="s">
        <v>74</v>
      </c>
      <c r="AZ585" t="s">
        <v>74</v>
      </c>
      <c r="BA585" t="s">
        <v>74</v>
      </c>
      <c r="BB585" t="s">
        <v>74</v>
      </c>
      <c r="BC585" t="s">
        <v>74</v>
      </c>
      <c r="BD585" t="s">
        <v>11398</v>
      </c>
      <c r="BE585" t="s">
        <v>11399</v>
      </c>
      <c r="BF585" t="str">
        <f>HYPERLINK("http://dx.doi.org/10.1029/2019GL086022","http://dx.doi.org/10.1029/2019GL086022")</f>
        <v>http://dx.doi.org/10.1029/2019GL086022</v>
      </c>
      <c r="BG585" t="s">
        <v>74</v>
      </c>
      <c r="BH585" t="s">
        <v>74</v>
      </c>
      <c r="BI585">
        <v>8</v>
      </c>
      <c r="BJ585" t="s">
        <v>246</v>
      </c>
      <c r="BK585" t="s">
        <v>103</v>
      </c>
      <c r="BL585" t="s">
        <v>247</v>
      </c>
      <c r="BM585" t="s">
        <v>11382</v>
      </c>
      <c r="BN585" t="s">
        <v>74</v>
      </c>
      <c r="BO585" t="s">
        <v>694</v>
      </c>
      <c r="BP585" t="s">
        <v>74</v>
      </c>
      <c r="BQ585" t="s">
        <v>74</v>
      </c>
      <c r="BR585" t="s">
        <v>106</v>
      </c>
      <c r="BS585" t="s">
        <v>11400</v>
      </c>
      <c r="BT585" t="str">
        <f>HYPERLINK("https%3A%2F%2Fwww.webofscience.com%2Fwos%2Fwoscc%2Ffull-record%2FWOS:000513983400036","View Full Record in Web of Science")</f>
        <v>View Full Record in Web of Science</v>
      </c>
    </row>
    <row r="586" spans="1:72" x14ac:dyDescent="0.15">
      <c r="A586" t="s">
        <v>72</v>
      </c>
      <c r="B586" t="s">
        <v>11401</v>
      </c>
      <c r="C586" t="s">
        <v>74</v>
      </c>
      <c r="D586" t="s">
        <v>74</v>
      </c>
      <c r="E586" t="s">
        <v>74</v>
      </c>
      <c r="F586" t="s">
        <v>11402</v>
      </c>
      <c r="G586" t="s">
        <v>74</v>
      </c>
      <c r="H586" t="s">
        <v>74</v>
      </c>
      <c r="I586" t="s">
        <v>11403</v>
      </c>
      <c r="J586" t="s">
        <v>842</v>
      </c>
      <c r="K586" t="s">
        <v>74</v>
      </c>
      <c r="L586" t="s">
        <v>74</v>
      </c>
      <c r="M586" t="s">
        <v>78</v>
      </c>
      <c r="N586" t="s">
        <v>79</v>
      </c>
      <c r="O586" t="s">
        <v>74</v>
      </c>
      <c r="P586" t="s">
        <v>74</v>
      </c>
      <c r="Q586" t="s">
        <v>74</v>
      </c>
      <c r="R586" t="s">
        <v>74</v>
      </c>
      <c r="S586" t="s">
        <v>74</v>
      </c>
      <c r="T586" t="s">
        <v>74</v>
      </c>
      <c r="U586" t="s">
        <v>11404</v>
      </c>
      <c r="V586" t="s">
        <v>11405</v>
      </c>
      <c r="W586" t="s">
        <v>11406</v>
      </c>
      <c r="X586" t="s">
        <v>11407</v>
      </c>
      <c r="Y586" t="s">
        <v>11408</v>
      </c>
      <c r="Z586" t="s">
        <v>11409</v>
      </c>
      <c r="AA586" t="s">
        <v>11410</v>
      </c>
      <c r="AB586" t="s">
        <v>74</v>
      </c>
      <c r="AC586" t="s">
        <v>11411</v>
      </c>
      <c r="AD586" t="s">
        <v>11412</v>
      </c>
      <c r="AE586" t="s">
        <v>11413</v>
      </c>
      <c r="AF586" t="s">
        <v>74</v>
      </c>
      <c r="AG586">
        <v>39</v>
      </c>
      <c r="AH586">
        <v>12</v>
      </c>
      <c r="AI586">
        <v>12</v>
      </c>
      <c r="AJ586">
        <v>0</v>
      </c>
      <c r="AK586">
        <v>8</v>
      </c>
      <c r="AL586" t="s">
        <v>855</v>
      </c>
      <c r="AM586" t="s">
        <v>266</v>
      </c>
      <c r="AN586" t="s">
        <v>856</v>
      </c>
      <c r="AO586" t="s">
        <v>857</v>
      </c>
      <c r="AP586" t="s">
        <v>858</v>
      </c>
      <c r="AQ586" t="s">
        <v>74</v>
      </c>
      <c r="AR586" t="s">
        <v>859</v>
      </c>
      <c r="AS586" t="s">
        <v>860</v>
      </c>
      <c r="AT586" t="s">
        <v>11345</v>
      </c>
      <c r="AU586">
        <v>2020</v>
      </c>
      <c r="AV586">
        <v>47</v>
      </c>
      <c r="AW586">
        <v>1</v>
      </c>
      <c r="AX586" t="s">
        <v>74</v>
      </c>
      <c r="AY586" t="s">
        <v>74</v>
      </c>
      <c r="AZ586" t="s">
        <v>74</v>
      </c>
      <c r="BA586" t="s">
        <v>74</v>
      </c>
      <c r="BB586" t="s">
        <v>74</v>
      </c>
      <c r="BC586" t="s">
        <v>74</v>
      </c>
      <c r="BD586" t="s">
        <v>11414</v>
      </c>
      <c r="BE586" t="s">
        <v>11415</v>
      </c>
      <c r="BF586" t="str">
        <f>HYPERLINK("http://dx.doi.org/10.1029/2019GL086629","http://dx.doi.org/10.1029/2019GL086629")</f>
        <v>http://dx.doi.org/10.1029/2019GL086629</v>
      </c>
      <c r="BG586" t="s">
        <v>74</v>
      </c>
      <c r="BH586" t="s">
        <v>74</v>
      </c>
      <c r="BI586">
        <v>9</v>
      </c>
      <c r="BJ586" t="s">
        <v>246</v>
      </c>
      <c r="BK586" t="s">
        <v>103</v>
      </c>
      <c r="BL586" t="s">
        <v>247</v>
      </c>
      <c r="BM586" t="s">
        <v>11382</v>
      </c>
      <c r="BN586" t="s">
        <v>74</v>
      </c>
      <c r="BO586" t="s">
        <v>298</v>
      </c>
      <c r="BP586" t="s">
        <v>74</v>
      </c>
      <c r="BQ586" t="s">
        <v>74</v>
      </c>
      <c r="BR586" t="s">
        <v>106</v>
      </c>
      <c r="BS586" t="s">
        <v>11416</v>
      </c>
      <c r="BT586" t="str">
        <f>HYPERLINK("https%3A%2F%2Fwww.webofscience.com%2Fwos%2Fwoscc%2Ffull-record%2FWOS:000513983400047","View Full Record in Web of Science")</f>
        <v>View Full Record in Web of Science</v>
      </c>
    </row>
    <row r="587" spans="1:72" x14ac:dyDescent="0.15">
      <c r="A587" t="s">
        <v>72</v>
      </c>
      <c r="B587" t="s">
        <v>11417</v>
      </c>
      <c r="C587" t="s">
        <v>74</v>
      </c>
      <c r="D587" t="s">
        <v>74</v>
      </c>
      <c r="E587" t="s">
        <v>74</v>
      </c>
      <c r="F587" t="s">
        <v>11418</v>
      </c>
      <c r="G587" t="s">
        <v>74</v>
      </c>
      <c r="H587" t="s">
        <v>74</v>
      </c>
      <c r="I587" t="s">
        <v>11419</v>
      </c>
      <c r="J587" t="s">
        <v>842</v>
      </c>
      <c r="K587" t="s">
        <v>74</v>
      </c>
      <c r="L587" t="s">
        <v>74</v>
      </c>
      <c r="M587" t="s">
        <v>78</v>
      </c>
      <c r="N587" t="s">
        <v>79</v>
      </c>
      <c r="O587" t="s">
        <v>74</v>
      </c>
      <c r="P587" t="s">
        <v>74</v>
      </c>
      <c r="Q587" t="s">
        <v>74</v>
      </c>
      <c r="R587" t="s">
        <v>74</v>
      </c>
      <c r="S587" t="s">
        <v>74</v>
      </c>
      <c r="T587" t="s">
        <v>74</v>
      </c>
      <c r="U587" t="s">
        <v>11420</v>
      </c>
      <c r="V587" t="s">
        <v>11421</v>
      </c>
      <c r="W587" t="s">
        <v>11422</v>
      </c>
      <c r="X587" t="s">
        <v>11423</v>
      </c>
      <c r="Y587" t="s">
        <v>11424</v>
      </c>
      <c r="Z587" t="s">
        <v>11425</v>
      </c>
      <c r="AA587" t="s">
        <v>11426</v>
      </c>
      <c r="AB587" t="s">
        <v>11427</v>
      </c>
      <c r="AC587" t="s">
        <v>11428</v>
      </c>
      <c r="AD587" t="s">
        <v>11429</v>
      </c>
      <c r="AE587" t="s">
        <v>11430</v>
      </c>
      <c r="AF587" t="s">
        <v>74</v>
      </c>
      <c r="AG587">
        <v>111</v>
      </c>
      <c r="AH587">
        <v>95</v>
      </c>
      <c r="AI587">
        <v>98</v>
      </c>
      <c r="AJ587">
        <v>6</v>
      </c>
      <c r="AK587">
        <v>53</v>
      </c>
      <c r="AL587" t="s">
        <v>855</v>
      </c>
      <c r="AM587" t="s">
        <v>266</v>
      </c>
      <c r="AN587" t="s">
        <v>856</v>
      </c>
      <c r="AO587" t="s">
        <v>857</v>
      </c>
      <c r="AP587" t="s">
        <v>858</v>
      </c>
      <c r="AQ587" t="s">
        <v>74</v>
      </c>
      <c r="AR587" t="s">
        <v>859</v>
      </c>
      <c r="AS587" t="s">
        <v>860</v>
      </c>
      <c r="AT587" t="s">
        <v>11345</v>
      </c>
      <c r="AU587">
        <v>2020</v>
      </c>
      <c r="AV587">
        <v>47</v>
      </c>
      <c r="AW587">
        <v>1</v>
      </c>
      <c r="AX587" t="s">
        <v>74</v>
      </c>
      <c r="AY587" t="s">
        <v>74</v>
      </c>
      <c r="AZ587" t="s">
        <v>74</v>
      </c>
      <c r="BA587" t="s">
        <v>74</v>
      </c>
      <c r="BB587" t="s">
        <v>74</v>
      </c>
      <c r="BC587" t="s">
        <v>74</v>
      </c>
      <c r="BD587" t="s">
        <v>11431</v>
      </c>
      <c r="BE587" t="s">
        <v>11432</v>
      </c>
      <c r="BF587" t="str">
        <f>HYPERLINK("http://dx.doi.org/10.1029/2019GL086577","http://dx.doi.org/10.1029/2019GL086577")</f>
        <v>http://dx.doi.org/10.1029/2019GL086577</v>
      </c>
      <c r="BG587" t="s">
        <v>74</v>
      </c>
      <c r="BH587" t="s">
        <v>74</v>
      </c>
      <c r="BI587">
        <v>12</v>
      </c>
      <c r="BJ587" t="s">
        <v>246</v>
      </c>
      <c r="BK587" t="s">
        <v>103</v>
      </c>
      <c r="BL587" t="s">
        <v>247</v>
      </c>
      <c r="BM587" t="s">
        <v>11382</v>
      </c>
      <c r="BN587" t="s">
        <v>74</v>
      </c>
      <c r="BO587" t="s">
        <v>133</v>
      </c>
      <c r="BP587" t="s">
        <v>74</v>
      </c>
      <c r="BQ587" t="s">
        <v>74</v>
      </c>
      <c r="BR587" t="s">
        <v>106</v>
      </c>
      <c r="BS587" t="s">
        <v>11433</v>
      </c>
      <c r="BT587" t="str">
        <f>HYPERLINK("https%3A%2F%2Fwww.webofscience.com%2Fwos%2Fwoscc%2Ffull-record%2FWOS:000513983400061","View Full Record in Web of Science")</f>
        <v>View Full Record in Web of Science</v>
      </c>
    </row>
    <row r="588" spans="1:72" x14ac:dyDescent="0.15">
      <c r="A588" t="s">
        <v>72</v>
      </c>
      <c r="B588" t="s">
        <v>11434</v>
      </c>
      <c r="C588" t="s">
        <v>74</v>
      </c>
      <c r="D588" t="s">
        <v>74</v>
      </c>
      <c r="E588" t="s">
        <v>74</v>
      </c>
      <c r="F588" t="s">
        <v>11435</v>
      </c>
      <c r="G588" t="s">
        <v>74</v>
      </c>
      <c r="H588" t="s">
        <v>74</v>
      </c>
      <c r="I588" t="s">
        <v>11436</v>
      </c>
      <c r="J588" t="s">
        <v>2332</v>
      </c>
      <c r="K588" t="s">
        <v>74</v>
      </c>
      <c r="L588" t="s">
        <v>74</v>
      </c>
      <c r="M588" t="s">
        <v>78</v>
      </c>
      <c r="N588" t="s">
        <v>79</v>
      </c>
      <c r="O588" t="s">
        <v>74</v>
      </c>
      <c r="P588" t="s">
        <v>74</v>
      </c>
      <c r="Q588" t="s">
        <v>74</v>
      </c>
      <c r="R588" t="s">
        <v>74</v>
      </c>
      <c r="S588" t="s">
        <v>74</v>
      </c>
      <c r="T588" t="s">
        <v>74</v>
      </c>
      <c r="U588" t="s">
        <v>11437</v>
      </c>
      <c r="V588" t="s">
        <v>11438</v>
      </c>
      <c r="W588" t="s">
        <v>11439</v>
      </c>
      <c r="X588" t="s">
        <v>11440</v>
      </c>
      <c r="Y588" t="s">
        <v>11441</v>
      </c>
      <c r="Z588" t="s">
        <v>11442</v>
      </c>
      <c r="AA588" t="s">
        <v>11443</v>
      </c>
      <c r="AB588" t="s">
        <v>11444</v>
      </c>
      <c r="AC588" t="s">
        <v>11445</v>
      </c>
      <c r="AD588" t="s">
        <v>11446</v>
      </c>
      <c r="AE588" t="s">
        <v>11447</v>
      </c>
      <c r="AF588" t="s">
        <v>74</v>
      </c>
      <c r="AG588">
        <v>25</v>
      </c>
      <c r="AH588">
        <v>10</v>
      </c>
      <c r="AI588">
        <v>10</v>
      </c>
      <c r="AJ588">
        <v>0</v>
      </c>
      <c r="AK588">
        <v>2</v>
      </c>
      <c r="AL588" t="s">
        <v>976</v>
      </c>
      <c r="AM588" t="s">
        <v>977</v>
      </c>
      <c r="AN588" t="s">
        <v>978</v>
      </c>
      <c r="AO588" t="s">
        <v>2344</v>
      </c>
      <c r="AP588" t="s">
        <v>2345</v>
      </c>
      <c r="AQ588" t="s">
        <v>74</v>
      </c>
      <c r="AR588" t="s">
        <v>2346</v>
      </c>
      <c r="AS588" t="s">
        <v>2347</v>
      </c>
      <c r="AT588" t="s">
        <v>11345</v>
      </c>
      <c r="AU588">
        <v>2020</v>
      </c>
      <c r="AV588">
        <v>13</v>
      </c>
      <c r="AW588">
        <v>1</v>
      </c>
      <c r="AX588" t="s">
        <v>74</v>
      </c>
      <c r="AY588" t="s">
        <v>74</v>
      </c>
      <c r="AZ588" t="s">
        <v>74</v>
      </c>
      <c r="BA588" t="s">
        <v>74</v>
      </c>
      <c r="BB588">
        <v>139</v>
      </c>
      <c r="BC588">
        <v>154</v>
      </c>
      <c r="BD588" t="s">
        <v>74</v>
      </c>
      <c r="BE588" t="s">
        <v>11448</v>
      </c>
      <c r="BF588" t="str">
        <f>HYPERLINK("http://dx.doi.org/10.5194/gmd-13-139-2020","http://dx.doi.org/10.5194/gmd-13-139-2020")</f>
        <v>http://dx.doi.org/10.5194/gmd-13-139-2020</v>
      </c>
      <c r="BG588" t="s">
        <v>74</v>
      </c>
      <c r="BH588" t="s">
        <v>74</v>
      </c>
      <c r="BI588">
        <v>16</v>
      </c>
      <c r="BJ588" t="s">
        <v>246</v>
      </c>
      <c r="BK588" t="s">
        <v>103</v>
      </c>
      <c r="BL588" t="s">
        <v>247</v>
      </c>
      <c r="BM588" t="s">
        <v>11449</v>
      </c>
      <c r="BN588" t="s">
        <v>74</v>
      </c>
      <c r="BO588" t="s">
        <v>2368</v>
      </c>
      <c r="BP588" t="s">
        <v>74</v>
      </c>
      <c r="BQ588" t="s">
        <v>74</v>
      </c>
      <c r="BR588" t="s">
        <v>106</v>
      </c>
      <c r="BS588" t="s">
        <v>11450</v>
      </c>
      <c r="BT588" t="str">
        <f>HYPERLINK("https%3A%2F%2Fwww.webofscience.com%2Fwos%2Fwoscc%2Ffull-record%2FWOS:000508168900002","View Full Record in Web of Science")</f>
        <v>View Full Record in Web of Science</v>
      </c>
    </row>
    <row r="589" spans="1:72" x14ac:dyDescent="0.15">
      <c r="A589" t="s">
        <v>72</v>
      </c>
      <c r="B589" t="s">
        <v>11451</v>
      </c>
      <c r="C589" t="s">
        <v>74</v>
      </c>
      <c r="D589" t="s">
        <v>74</v>
      </c>
      <c r="E589" t="s">
        <v>74</v>
      </c>
      <c r="F589" t="s">
        <v>11452</v>
      </c>
      <c r="G589" t="s">
        <v>74</v>
      </c>
      <c r="H589" t="s">
        <v>74</v>
      </c>
      <c r="I589" t="s">
        <v>11453</v>
      </c>
      <c r="J589" t="s">
        <v>11454</v>
      </c>
      <c r="K589" t="s">
        <v>74</v>
      </c>
      <c r="L589" t="s">
        <v>74</v>
      </c>
      <c r="M589" t="s">
        <v>78</v>
      </c>
      <c r="N589" t="s">
        <v>79</v>
      </c>
      <c r="O589" t="s">
        <v>74</v>
      </c>
      <c r="P589" t="s">
        <v>74</v>
      </c>
      <c r="Q589" t="s">
        <v>74</v>
      </c>
      <c r="R589" t="s">
        <v>74</v>
      </c>
      <c r="S589" t="s">
        <v>74</v>
      </c>
      <c r="T589" t="s">
        <v>11455</v>
      </c>
      <c r="U589" t="s">
        <v>11456</v>
      </c>
      <c r="V589" t="s">
        <v>11457</v>
      </c>
      <c r="W589" t="s">
        <v>11458</v>
      </c>
      <c r="X589" t="s">
        <v>11459</v>
      </c>
      <c r="Y589" t="s">
        <v>11460</v>
      </c>
      <c r="Z589" t="s">
        <v>11461</v>
      </c>
      <c r="AA589" t="s">
        <v>74</v>
      </c>
      <c r="AB589" t="s">
        <v>11462</v>
      </c>
      <c r="AC589" t="s">
        <v>74</v>
      </c>
      <c r="AD589" t="s">
        <v>74</v>
      </c>
      <c r="AE589" t="s">
        <v>74</v>
      </c>
      <c r="AF589" t="s">
        <v>74</v>
      </c>
      <c r="AG589">
        <v>27</v>
      </c>
      <c r="AH589">
        <v>4</v>
      </c>
      <c r="AI589">
        <v>4</v>
      </c>
      <c r="AJ589">
        <v>1</v>
      </c>
      <c r="AK589">
        <v>5</v>
      </c>
      <c r="AL589" t="s">
        <v>2503</v>
      </c>
      <c r="AM589" t="s">
        <v>2504</v>
      </c>
      <c r="AN589" t="s">
        <v>2505</v>
      </c>
      <c r="AO589" t="s">
        <v>11463</v>
      </c>
      <c r="AP589" t="s">
        <v>11464</v>
      </c>
      <c r="AQ589" t="s">
        <v>74</v>
      </c>
      <c r="AR589" t="s">
        <v>11454</v>
      </c>
      <c r="AS589" t="s">
        <v>11465</v>
      </c>
      <c r="AT589" t="s">
        <v>11345</v>
      </c>
      <c r="AU589">
        <v>2020</v>
      </c>
      <c r="AV589">
        <v>429</v>
      </c>
      <c r="AW589">
        <v>1</v>
      </c>
      <c r="AX589" t="s">
        <v>74</v>
      </c>
      <c r="AY589" t="s">
        <v>74</v>
      </c>
      <c r="AZ589" t="s">
        <v>74</v>
      </c>
      <c r="BA589" t="s">
        <v>74</v>
      </c>
      <c r="BB589">
        <v>57</v>
      </c>
      <c r="BC589">
        <v>64</v>
      </c>
      <c r="BD589" t="s">
        <v>74</v>
      </c>
      <c r="BE589" t="s">
        <v>11466</v>
      </c>
      <c r="BF589" t="str">
        <f>HYPERLINK("http://dx.doi.org/10.11646/phytotaxa.429.1.4","http://dx.doi.org/10.11646/phytotaxa.429.1.4")</f>
        <v>http://dx.doi.org/10.11646/phytotaxa.429.1.4</v>
      </c>
      <c r="BG589" t="s">
        <v>74</v>
      </c>
      <c r="BH589" t="s">
        <v>74</v>
      </c>
      <c r="BI589">
        <v>8</v>
      </c>
      <c r="BJ589" t="s">
        <v>6008</v>
      </c>
      <c r="BK589" t="s">
        <v>103</v>
      </c>
      <c r="BL589" t="s">
        <v>6008</v>
      </c>
      <c r="BM589" t="s">
        <v>11467</v>
      </c>
      <c r="BN589" t="s">
        <v>74</v>
      </c>
      <c r="BO589" t="s">
        <v>74</v>
      </c>
      <c r="BP589" t="s">
        <v>74</v>
      </c>
      <c r="BQ589" t="s">
        <v>74</v>
      </c>
      <c r="BR589" t="s">
        <v>106</v>
      </c>
      <c r="BS589" t="s">
        <v>11468</v>
      </c>
      <c r="BT589" t="str">
        <f>HYPERLINK("https%3A%2F%2Fwww.webofscience.com%2Fwos%2Fwoscc%2Ffull-record%2FWOS:000508018800004","View Full Record in Web of Science")</f>
        <v>View Full Record in Web of Science</v>
      </c>
    </row>
    <row r="590" spans="1:72" x14ac:dyDescent="0.15">
      <c r="A590" t="s">
        <v>72</v>
      </c>
      <c r="B590" t="s">
        <v>11469</v>
      </c>
      <c r="C590" t="s">
        <v>74</v>
      </c>
      <c r="D590" t="s">
        <v>74</v>
      </c>
      <c r="E590" t="s">
        <v>74</v>
      </c>
      <c r="F590" t="s">
        <v>11470</v>
      </c>
      <c r="G590" t="s">
        <v>74</v>
      </c>
      <c r="H590" t="s">
        <v>74</v>
      </c>
      <c r="I590" t="s">
        <v>11471</v>
      </c>
      <c r="J590" t="s">
        <v>11472</v>
      </c>
      <c r="K590" t="s">
        <v>74</v>
      </c>
      <c r="L590" t="s">
        <v>74</v>
      </c>
      <c r="M590" t="s">
        <v>78</v>
      </c>
      <c r="N590" t="s">
        <v>1434</v>
      </c>
      <c r="O590" t="s">
        <v>74</v>
      </c>
      <c r="P590" t="s">
        <v>74</v>
      </c>
      <c r="Q590" t="s">
        <v>74</v>
      </c>
      <c r="R590" t="s">
        <v>74</v>
      </c>
      <c r="S590" t="s">
        <v>74</v>
      </c>
      <c r="T590" t="s">
        <v>11473</v>
      </c>
      <c r="U590" t="s">
        <v>11474</v>
      </c>
      <c r="V590" t="s">
        <v>11475</v>
      </c>
      <c r="W590" t="s">
        <v>11476</v>
      </c>
      <c r="X590" t="s">
        <v>11477</v>
      </c>
      <c r="Y590" t="s">
        <v>11478</v>
      </c>
      <c r="Z590" t="s">
        <v>11479</v>
      </c>
      <c r="AA590" t="s">
        <v>74</v>
      </c>
      <c r="AB590" t="s">
        <v>11480</v>
      </c>
      <c r="AC590" t="s">
        <v>74</v>
      </c>
      <c r="AD590" t="s">
        <v>74</v>
      </c>
      <c r="AE590" t="s">
        <v>74</v>
      </c>
      <c r="AF590" t="s">
        <v>74</v>
      </c>
      <c r="AG590">
        <v>87</v>
      </c>
      <c r="AH590">
        <v>102</v>
      </c>
      <c r="AI590">
        <v>112</v>
      </c>
      <c r="AJ590">
        <v>15</v>
      </c>
      <c r="AK590">
        <v>141</v>
      </c>
      <c r="AL590" t="s">
        <v>211</v>
      </c>
      <c r="AM590" t="s">
        <v>212</v>
      </c>
      <c r="AN590" t="s">
        <v>213</v>
      </c>
      <c r="AO590" t="s">
        <v>11481</v>
      </c>
      <c r="AP590" t="s">
        <v>11482</v>
      </c>
      <c r="AQ590" t="s">
        <v>74</v>
      </c>
      <c r="AR590" t="s">
        <v>11483</v>
      </c>
      <c r="AS590" t="s">
        <v>11484</v>
      </c>
      <c r="AT590" t="s">
        <v>2002</v>
      </c>
      <c r="AU590">
        <v>2020</v>
      </c>
      <c r="AV590">
        <v>333</v>
      </c>
      <c r="AW590">
        <v>6</v>
      </c>
      <c r="AX590" t="s">
        <v>74</v>
      </c>
      <c r="AY590" t="s">
        <v>74</v>
      </c>
      <c r="AZ590" t="s">
        <v>74</v>
      </c>
      <c r="BA590" t="s">
        <v>74</v>
      </c>
      <c r="BB590">
        <v>379</v>
      </c>
      <c r="BC590">
        <v>397</v>
      </c>
      <c r="BD590" t="s">
        <v>74</v>
      </c>
      <c r="BE590" t="s">
        <v>11485</v>
      </c>
      <c r="BF590" t="str">
        <f>HYPERLINK("http://dx.doi.org/10.1002/jez.2344","http://dx.doi.org/10.1002/jez.2344")</f>
        <v>http://dx.doi.org/10.1002/jez.2344</v>
      </c>
      <c r="BG590" t="s">
        <v>74</v>
      </c>
      <c r="BH590" t="s">
        <v>10613</v>
      </c>
      <c r="BI590">
        <v>19</v>
      </c>
      <c r="BJ590" t="s">
        <v>2510</v>
      </c>
      <c r="BK590" t="s">
        <v>103</v>
      </c>
      <c r="BL590" t="s">
        <v>2510</v>
      </c>
      <c r="BM590" t="s">
        <v>11486</v>
      </c>
      <c r="BN590">
        <v>31944627</v>
      </c>
      <c r="BO590" t="s">
        <v>74</v>
      </c>
      <c r="BP590" t="s">
        <v>1869</v>
      </c>
      <c r="BQ590" t="s">
        <v>1870</v>
      </c>
      <c r="BR590" t="s">
        <v>106</v>
      </c>
      <c r="BS590" t="s">
        <v>11487</v>
      </c>
      <c r="BT590" t="str">
        <f>HYPERLINK("https%3A%2F%2Fwww.webofscience.com%2Fwos%2Fwoscc%2Ffull-record%2FWOS:000507316300001","View Full Record in Web of Science")</f>
        <v>View Full Record in Web of Science</v>
      </c>
    </row>
    <row r="591" spans="1:72" x14ac:dyDescent="0.15">
      <c r="A591" t="s">
        <v>72</v>
      </c>
      <c r="B591" t="s">
        <v>11488</v>
      </c>
      <c r="C591" t="s">
        <v>74</v>
      </c>
      <c r="D591" t="s">
        <v>74</v>
      </c>
      <c r="E591" t="s">
        <v>74</v>
      </c>
      <c r="F591" t="s">
        <v>11489</v>
      </c>
      <c r="G591" t="s">
        <v>74</v>
      </c>
      <c r="H591" t="s">
        <v>74</v>
      </c>
      <c r="I591" t="s">
        <v>11490</v>
      </c>
      <c r="J591" t="s">
        <v>2079</v>
      </c>
      <c r="K591" t="s">
        <v>74</v>
      </c>
      <c r="L591" t="s">
        <v>74</v>
      </c>
      <c r="M591" t="s">
        <v>78</v>
      </c>
      <c r="N591" t="s">
        <v>1434</v>
      </c>
      <c r="O591" t="s">
        <v>74</v>
      </c>
      <c r="P591" t="s">
        <v>74</v>
      </c>
      <c r="Q591" t="s">
        <v>74</v>
      </c>
      <c r="R591" t="s">
        <v>74</v>
      </c>
      <c r="S591" t="s">
        <v>74</v>
      </c>
      <c r="T591" t="s">
        <v>11491</v>
      </c>
      <c r="U591" t="s">
        <v>11492</v>
      </c>
      <c r="V591" t="s">
        <v>11493</v>
      </c>
      <c r="W591" t="s">
        <v>11494</v>
      </c>
      <c r="X591" t="s">
        <v>11495</v>
      </c>
      <c r="Y591" t="s">
        <v>11496</v>
      </c>
      <c r="Z591" t="s">
        <v>11497</v>
      </c>
      <c r="AA591" t="s">
        <v>11498</v>
      </c>
      <c r="AB591" t="s">
        <v>11499</v>
      </c>
      <c r="AC591" t="s">
        <v>11500</v>
      </c>
      <c r="AD591" t="s">
        <v>11501</v>
      </c>
      <c r="AE591" t="s">
        <v>11502</v>
      </c>
      <c r="AF591" t="s">
        <v>74</v>
      </c>
      <c r="AG591">
        <v>65</v>
      </c>
      <c r="AH591">
        <v>10</v>
      </c>
      <c r="AI591">
        <v>11</v>
      </c>
      <c r="AJ591">
        <v>2</v>
      </c>
      <c r="AK591">
        <v>20</v>
      </c>
      <c r="AL591" t="s">
        <v>434</v>
      </c>
      <c r="AM591" t="s">
        <v>435</v>
      </c>
      <c r="AN591" t="s">
        <v>436</v>
      </c>
      <c r="AO591" t="s">
        <v>2088</v>
      </c>
      <c r="AP591" t="s">
        <v>4743</v>
      </c>
      <c r="AQ591" t="s">
        <v>74</v>
      </c>
      <c r="AR591" t="s">
        <v>2089</v>
      </c>
      <c r="AS591" t="s">
        <v>2090</v>
      </c>
      <c r="AT591" t="s">
        <v>11503</v>
      </c>
      <c r="AU591">
        <v>2020</v>
      </c>
      <c r="AV591">
        <v>228</v>
      </c>
      <c r="AW591" t="s">
        <v>74</v>
      </c>
      <c r="AX591" t="s">
        <v>74</v>
      </c>
      <c r="AY591" t="s">
        <v>74</v>
      </c>
      <c r="AZ591" t="s">
        <v>74</v>
      </c>
      <c r="BA591" t="s">
        <v>74</v>
      </c>
      <c r="BB591" t="s">
        <v>74</v>
      </c>
      <c r="BC591" t="s">
        <v>74</v>
      </c>
      <c r="BD591">
        <v>106069</v>
      </c>
      <c r="BE591" t="s">
        <v>11504</v>
      </c>
      <c r="BF591" t="str">
        <f>HYPERLINK("http://dx.doi.org/10.1016/j.quascirev.2019.106069","http://dx.doi.org/10.1016/j.quascirev.2019.106069")</f>
        <v>http://dx.doi.org/10.1016/j.quascirev.2019.106069</v>
      </c>
      <c r="BG591" t="s">
        <v>74</v>
      </c>
      <c r="BH591" t="s">
        <v>74</v>
      </c>
      <c r="BI591">
        <v>10</v>
      </c>
      <c r="BJ591" t="s">
        <v>1307</v>
      </c>
      <c r="BK591" t="s">
        <v>103</v>
      </c>
      <c r="BL591" t="s">
        <v>1308</v>
      </c>
      <c r="BM591" t="s">
        <v>11505</v>
      </c>
      <c r="BN591" t="s">
        <v>74</v>
      </c>
      <c r="BO591" t="s">
        <v>416</v>
      </c>
      <c r="BP591" t="s">
        <v>74</v>
      </c>
      <c r="BQ591" t="s">
        <v>74</v>
      </c>
      <c r="BR591" t="s">
        <v>106</v>
      </c>
      <c r="BS591" t="s">
        <v>11506</v>
      </c>
      <c r="BT591" t="str">
        <f>HYPERLINK("https%3A%2F%2Fwww.webofscience.com%2Fwos%2Fwoscc%2Ffull-record%2FWOS:000514254700006","View Full Record in Web of Science")</f>
        <v>View Full Record in Web of Science</v>
      </c>
    </row>
    <row r="592" spans="1:72" x14ac:dyDescent="0.15">
      <c r="A592" t="s">
        <v>72</v>
      </c>
      <c r="B592" t="s">
        <v>11507</v>
      </c>
      <c r="C592" t="s">
        <v>74</v>
      </c>
      <c r="D592" t="s">
        <v>74</v>
      </c>
      <c r="E592" t="s">
        <v>74</v>
      </c>
      <c r="F592" t="s">
        <v>11508</v>
      </c>
      <c r="G592" t="s">
        <v>74</v>
      </c>
      <c r="H592" t="s">
        <v>74</v>
      </c>
      <c r="I592" t="s">
        <v>11509</v>
      </c>
      <c r="J592" t="s">
        <v>2079</v>
      </c>
      <c r="K592" t="s">
        <v>74</v>
      </c>
      <c r="L592" t="s">
        <v>74</v>
      </c>
      <c r="M592" t="s">
        <v>78</v>
      </c>
      <c r="N592" t="s">
        <v>1434</v>
      </c>
      <c r="O592" t="s">
        <v>74</v>
      </c>
      <c r="P592" t="s">
        <v>74</v>
      </c>
      <c r="Q592" t="s">
        <v>74</v>
      </c>
      <c r="R592" t="s">
        <v>74</v>
      </c>
      <c r="S592" t="s">
        <v>74</v>
      </c>
      <c r="T592" t="s">
        <v>11510</v>
      </c>
      <c r="U592" t="s">
        <v>11511</v>
      </c>
      <c r="V592" t="s">
        <v>11512</v>
      </c>
      <c r="W592" t="s">
        <v>11513</v>
      </c>
      <c r="X592" t="s">
        <v>11514</v>
      </c>
      <c r="Y592" t="s">
        <v>11515</v>
      </c>
      <c r="Z592" t="s">
        <v>11516</v>
      </c>
      <c r="AA592" t="s">
        <v>11517</v>
      </c>
      <c r="AB592" t="s">
        <v>11518</v>
      </c>
      <c r="AC592" t="s">
        <v>11519</v>
      </c>
      <c r="AD592" t="s">
        <v>11520</v>
      </c>
      <c r="AE592" t="s">
        <v>11521</v>
      </c>
      <c r="AF592" t="s">
        <v>74</v>
      </c>
      <c r="AG592">
        <v>139</v>
      </c>
      <c r="AH592">
        <v>4</v>
      </c>
      <c r="AI592">
        <v>4</v>
      </c>
      <c r="AJ592">
        <v>1</v>
      </c>
      <c r="AK592">
        <v>25</v>
      </c>
      <c r="AL592" t="s">
        <v>434</v>
      </c>
      <c r="AM592" t="s">
        <v>435</v>
      </c>
      <c r="AN592" t="s">
        <v>436</v>
      </c>
      <c r="AO592" t="s">
        <v>2088</v>
      </c>
      <c r="AP592" t="s">
        <v>4743</v>
      </c>
      <c r="AQ592" t="s">
        <v>74</v>
      </c>
      <c r="AR592" t="s">
        <v>2089</v>
      </c>
      <c r="AS592" t="s">
        <v>2090</v>
      </c>
      <c r="AT592" t="s">
        <v>11503</v>
      </c>
      <c r="AU592">
        <v>2020</v>
      </c>
      <c r="AV592">
        <v>228</v>
      </c>
      <c r="AW592" t="s">
        <v>74</v>
      </c>
      <c r="AX592" t="s">
        <v>74</v>
      </c>
      <c r="AY592" t="s">
        <v>74</v>
      </c>
      <c r="AZ592" t="s">
        <v>74</v>
      </c>
      <c r="BA592" t="s">
        <v>74</v>
      </c>
      <c r="BB592" t="s">
        <v>74</v>
      </c>
      <c r="BC592" t="s">
        <v>74</v>
      </c>
      <c r="BD592">
        <v>106089</v>
      </c>
      <c r="BE592" t="s">
        <v>11522</v>
      </c>
      <c r="BF592" t="str">
        <f>HYPERLINK("http://dx.doi.org/10.1016/j.quascirev.2019.106089","http://dx.doi.org/10.1016/j.quascirev.2019.106089")</f>
        <v>http://dx.doi.org/10.1016/j.quascirev.2019.106089</v>
      </c>
      <c r="BG592" t="s">
        <v>74</v>
      </c>
      <c r="BH592" t="s">
        <v>74</v>
      </c>
      <c r="BI592">
        <v>19</v>
      </c>
      <c r="BJ592" t="s">
        <v>1307</v>
      </c>
      <c r="BK592" t="s">
        <v>103</v>
      </c>
      <c r="BL592" t="s">
        <v>1308</v>
      </c>
      <c r="BM592" t="s">
        <v>11505</v>
      </c>
      <c r="BN592" t="s">
        <v>74</v>
      </c>
      <c r="BO592" t="s">
        <v>1542</v>
      </c>
      <c r="BP592" t="s">
        <v>74</v>
      </c>
      <c r="BQ592" t="s">
        <v>74</v>
      </c>
      <c r="BR592" t="s">
        <v>106</v>
      </c>
      <c r="BS592" t="s">
        <v>11523</v>
      </c>
      <c r="BT592" t="str">
        <f>HYPERLINK("https%3A%2F%2Fwww.webofscience.com%2Fwos%2Fwoscc%2Ffull-record%2FWOS:000514254700005","View Full Record in Web of Science")</f>
        <v>View Full Record in Web of Science</v>
      </c>
    </row>
    <row r="593" spans="1:72" x14ac:dyDescent="0.15">
      <c r="A593" t="s">
        <v>72</v>
      </c>
      <c r="B593" t="s">
        <v>11524</v>
      </c>
      <c r="C593" t="s">
        <v>74</v>
      </c>
      <c r="D593" t="s">
        <v>74</v>
      </c>
      <c r="E593" t="s">
        <v>74</v>
      </c>
      <c r="F593" t="s">
        <v>11525</v>
      </c>
      <c r="G593" t="s">
        <v>74</v>
      </c>
      <c r="H593" t="s">
        <v>74</v>
      </c>
      <c r="I593" t="s">
        <v>11526</v>
      </c>
      <c r="J593" t="s">
        <v>2079</v>
      </c>
      <c r="K593" t="s">
        <v>74</v>
      </c>
      <c r="L593" t="s">
        <v>74</v>
      </c>
      <c r="M593" t="s">
        <v>78</v>
      </c>
      <c r="N593" t="s">
        <v>1434</v>
      </c>
      <c r="O593" t="s">
        <v>74</v>
      </c>
      <c r="P593" t="s">
        <v>74</v>
      </c>
      <c r="Q593" t="s">
        <v>74</v>
      </c>
      <c r="R593" t="s">
        <v>74</v>
      </c>
      <c r="S593" t="s">
        <v>74</v>
      </c>
      <c r="T593" t="s">
        <v>11527</v>
      </c>
      <c r="U593" t="s">
        <v>11528</v>
      </c>
      <c r="V593" t="s">
        <v>11529</v>
      </c>
      <c r="W593" t="s">
        <v>11530</v>
      </c>
      <c r="X593" t="s">
        <v>11531</v>
      </c>
      <c r="Y593" t="s">
        <v>11532</v>
      </c>
      <c r="Z593" t="s">
        <v>11533</v>
      </c>
      <c r="AA593" t="s">
        <v>11534</v>
      </c>
      <c r="AB593" t="s">
        <v>11535</v>
      </c>
      <c r="AC593" t="s">
        <v>11536</v>
      </c>
      <c r="AD593" t="s">
        <v>9048</v>
      </c>
      <c r="AE593" t="s">
        <v>11537</v>
      </c>
      <c r="AF593" t="s">
        <v>74</v>
      </c>
      <c r="AG593">
        <v>299</v>
      </c>
      <c r="AH593">
        <v>109</v>
      </c>
      <c r="AI593">
        <v>112</v>
      </c>
      <c r="AJ593">
        <v>7</v>
      </c>
      <c r="AK593">
        <v>85</v>
      </c>
      <c r="AL593" t="s">
        <v>434</v>
      </c>
      <c r="AM593" t="s">
        <v>435</v>
      </c>
      <c r="AN593" t="s">
        <v>436</v>
      </c>
      <c r="AO593" t="s">
        <v>2088</v>
      </c>
      <c r="AP593" t="s">
        <v>4743</v>
      </c>
      <c r="AQ593" t="s">
        <v>74</v>
      </c>
      <c r="AR593" t="s">
        <v>2089</v>
      </c>
      <c r="AS593" t="s">
        <v>2090</v>
      </c>
      <c r="AT593" t="s">
        <v>11503</v>
      </c>
      <c r="AU593">
        <v>2020</v>
      </c>
      <c r="AV593">
        <v>228</v>
      </c>
      <c r="AW593" t="s">
        <v>74</v>
      </c>
      <c r="AX593" t="s">
        <v>74</v>
      </c>
      <c r="AY593" t="s">
        <v>74</v>
      </c>
      <c r="AZ593" t="s">
        <v>74</v>
      </c>
      <c r="BA593" t="s">
        <v>74</v>
      </c>
      <c r="BB593" t="s">
        <v>74</v>
      </c>
      <c r="BC593" t="s">
        <v>74</v>
      </c>
      <c r="BD593">
        <v>106114</v>
      </c>
      <c r="BE593" t="s">
        <v>11538</v>
      </c>
      <c r="BF593" t="str">
        <f>HYPERLINK("http://dx.doi.org/10.1016/j.quascirev.2019.106114","http://dx.doi.org/10.1016/j.quascirev.2019.106114")</f>
        <v>http://dx.doi.org/10.1016/j.quascirev.2019.106114</v>
      </c>
      <c r="BG593" t="s">
        <v>74</v>
      </c>
      <c r="BH593" t="s">
        <v>74</v>
      </c>
      <c r="BI593">
        <v>29</v>
      </c>
      <c r="BJ593" t="s">
        <v>1307</v>
      </c>
      <c r="BK593" t="s">
        <v>103</v>
      </c>
      <c r="BL593" t="s">
        <v>1308</v>
      </c>
      <c r="BM593" t="s">
        <v>11505</v>
      </c>
      <c r="BN593" t="s">
        <v>74</v>
      </c>
      <c r="BO593" t="s">
        <v>74</v>
      </c>
      <c r="BP593" t="s">
        <v>1869</v>
      </c>
      <c r="BQ593" t="s">
        <v>1870</v>
      </c>
      <c r="BR593" t="s">
        <v>106</v>
      </c>
      <c r="BS593" t="s">
        <v>11539</v>
      </c>
      <c r="BT593" t="str">
        <f>HYPERLINK("https%3A%2F%2Fwww.webofscience.com%2Fwos%2Fwoscc%2Ffull-record%2FWOS:000514254700001","View Full Record in Web of Science")</f>
        <v>View Full Record in Web of Science</v>
      </c>
    </row>
    <row r="594" spans="1:72" x14ac:dyDescent="0.15">
      <c r="A594" t="s">
        <v>72</v>
      </c>
      <c r="B594" t="s">
        <v>11540</v>
      </c>
      <c r="C594" t="s">
        <v>74</v>
      </c>
      <c r="D594" t="s">
        <v>74</v>
      </c>
      <c r="E594" t="s">
        <v>74</v>
      </c>
      <c r="F594" t="s">
        <v>11541</v>
      </c>
      <c r="G594" t="s">
        <v>74</v>
      </c>
      <c r="H594" t="s">
        <v>74</v>
      </c>
      <c r="I594" t="s">
        <v>11542</v>
      </c>
      <c r="J594" t="s">
        <v>2079</v>
      </c>
      <c r="K594" t="s">
        <v>74</v>
      </c>
      <c r="L594" t="s">
        <v>74</v>
      </c>
      <c r="M594" t="s">
        <v>78</v>
      </c>
      <c r="N594" t="s">
        <v>1434</v>
      </c>
      <c r="O594" t="s">
        <v>74</v>
      </c>
      <c r="P594" t="s">
        <v>74</v>
      </c>
      <c r="Q594" t="s">
        <v>74</v>
      </c>
      <c r="R594" t="s">
        <v>74</v>
      </c>
      <c r="S594" t="s">
        <v>74</v>
      </c>
      <c r="T594" t="s">
        <v>11543</v>
      </c>
      <c r="U594" t="s">
        <v>11544</v>
      </c>
      <c r="V594" t="s">
        <v>11545</v>
      </c>
      <c r="W594" t="s">
        <v>11546</v>
      </c>
      <c r="X594" t="s">
        <v>11547</v>
      </c>
      <c r="Y594" t="s">
        <v>11548</v>
      </c>
      <c r="Z594" t="s">
        <v>11549</v>
      </c>
      <c r="AA594" t="s">
        <v>11550</v>
      </c>
      <c r="AB594" t="s">
        <v>11551</v>
      </c>
      <c r="AC594" t="s">
        <v>11552</v>
      </c>
      <c r="AD594" t="s">
        <v>11553</v>
      </c>
      <c r="AE594" t="s">
        <v>11554</v>
      </c>
      <c r="AF594" t="s">
        <v>74</v>
      </c>
      <c r="AG594">
        <v>122</v>
      </c>
      <c r="AH594">
        <v>13</v>
      </c>
      <c r="AI594">
        <v>16</v>
      </c>
      <c r="AJ594">
        <v>1</v>
      </c>
      <c r="AK594">
        <v>14</v>
      </c>
      <c r="AL594" t="s">
        <v>434</v>
      </c>
      <c r="AM594" t="s">
        <v>435</v>
      </c>
      <c r="AN594" t="s">
        <v>436</v>
      </c>
      <c r="AO594" t="s">
        <v>2088</v>
      </c>
      <c r="AP594" t="s">
        <v>4743</v>
      </c>
      <c r="AQ594" t="s">
        <v>74</v>
      </c>
      <c r="AR594" t="s">
        <v>2089</v>
      </c>
      <c r="AS594" t="s">
        <v>2090</v>
      </c>
      <c r="AT594" t="s">
        <v>11503</v>
      </c>
      <c r="AU594">
        <v>2020</v>
      </c>
      <c r="AV594">
        <v>228</v>
      </c>
      <c r="AW594" t="s">
        <v>74</v>
      </c>
      <c r="AX594" t="s">
        <v>74</v>
      </c>
      <c r="AY594" t="s">
        <v>74</v>
      </c>
      <c r="AZ594" t="s">
        <v>74</v>
      </c>
      <c r="BA594" t="s">
        <v>74</v>
      </c>
      <c r="BB594" t="s">
        <v>74</v>
      </c>
      <c r="BC594" t="s">
        <v>74</v>
      </c>
      <c r="BD594">
        <v>106103</v>
      </c>
      <c r="BE594" t="s">
        <v>11555</v>
      </c>
      <c r="BF594" t="str">
        <f>HYPERLINK("http://dx.doi.org/10.1016/j.quascirev.2019.106103","http://dx.doi.org/10.1016/j.quascirev.2019.106103")</f>
        <v>http://dx.doi.org/10.1016/j.quascirev.2019.106103</v>
      </c>
      <c r="BG594" t="s">
        <v>74</v>
      </c>
      <c r="BH594" t="s">
        <v>74</v>
      </c>
      <c r="BI594">
        <v>13</v>
      </c>
      <c r="BJ594" t="s">
        <v>1307</v>
      </c>
      <c r="BK594" t="s">
        <v>103</v>
      </c>
      <c r="BL594" t="s">
        <v>1308</v>
      </c>
      <c r="BM594" t="s">
        <v>11505</v>
      </c>
      <c r="BN594" t="s">
        <v>74</v>
      </c>
      <c r="BO594" t="s">
        <v>3606</v>
      </c>
      <c r="BP594" t="s">
        <v>74</v>
      </c>
      <c r="BQ594" t="s">
        <v>74</v>
      </c>
      <c r="BR594" t="s">
        <v>106</v>
      </c>
      <c r="BS594" t="s">
        <v>11556</v>
      </c>
      <c r="BT594" t="str">
        <f>HYPERLINK("https%3A%2F%2Fwww.webofscience.com%2Fwos%2Fwoscc%2Ffull-record%2FWOS:000514254700015","View Full Record in Web of Science")</f>
        <v>View Full Record in Web of Science</v>
      </c>
    </row>
    <row r="595" spans="1:72" x14ac:dyDescent="0.15">
      <c r="A595" t="s">
        <v>72</v>
      </c>
      <c r="B595" t="s">
        <v>11557</v>
      </c>
      <c r="C595" t="s">
        <v>74</v>
      </c>
      <c r="D595" t="s">
        <v>74</v>
      </c>
      <c r="E595" t="s">
        <v>74</v>
      </c>
      <c r="F595" t="s">
        <v>11558</v>
      </c>
      <c r="G595" t="s">
        <v>74</v>
      </c>
      <c r="H595" t="s">
        <v>74</v>
      </c>
      <c r="I595" t="s">
        <v>11559</v>
      </c>
      <c r="J595" t="s">
        <v>11560</v>
      </c>
      <c r="K595" t="s">
        <v>74</v>
      </c>
      <c r="L595" t="s">
        <v>74</v>
      </c>
      <c r="M595" t="s">
        <v>78</v>
      </c>
      <c r="N595" t="s">
        <v>79</v>
      </c>
      <c r="O595" t="s">
        <v>74</v>
      </c>
      <c r="P595" t="s">
        <v>74</v>
      </c>
      <c r="Q595" t="s">
        <v>74</v>
      </c>
      <c r="R595" t="s">
        <v>74</v>
      </c>
      <c r="S595" t="s">
        <v>74</v>
      </c>
      <c r="T595" t="s">
        <v>11561</v>
      </c>
      <c r="U595" t="s">
        <v>11562</v>
      </c>
      <c r="V595" t="s">
        <v>11563</v>
      </c>
      <c r="W595" t="s">
        <v>11564</v>
      </c>
      <c r="X595" t="s">
        <v>74</v>
      </c>
      <c r="Y595" t="s">
        <v>11565</v>
      </c>
      <c r="Z595" t="s">
        <v>11566</v>
      </c>
      <c r="AA595" t="s">
        <v>74</v>
      </c>
      <c r="AB595" t="s">
        <v>74</v>
      </c>
      <c r="AC595" t="s">
        <v>11567</v>
      </c>
      <c r="AD595" t="s">
        <v>11568</v>
      </c>
      <c r="AE595" t="s">
        <v>11569</v>
      </c>
      <c r="AF595" t="s">
        <v>74</v>
      </c>
      <c r="AG595">
        <v>55</v>
      </c>
      <c r="AH595">
        <v>2</v>
      </c>
      <c r="AI595">
        <v>2</v>
      </c>
      <c r="AJ595">
        <v>2</v>
      </c>
      <c r="AK595">
        <v>5</v>
      </c>
      <c r="AL595" t="s">
        <v>434</v>
      </c>
      <c r="AM595" t="s">
        <v>435</v>
      </c>
      <c r="AN595" t="s">
        <v>436</v>
      </c>
      <c r="AO595" t="s">
        <v>11570</v>
      </c>
      <c r="AP595" t="s">
        <v>11571</v>
      </c>
      <c r="AQ595" t="s">
        <v>74</v>
      </c>
      <c r="AR595" t="s">
        <v>11572</v>
      </c>
      <c r="AS595" t="s">
        <v>11573</v>
      </c>
      <c r="AT595" t="s">
        <v>11503</v>
      </c>
      <c r="AU595">
        <v>2020</v>
      </c>
      <c r="AV595">
        <v>193</v>
      </c>
      <c r="AW595" t="s">
        <v>74</v>
      </c>
      <c r="AX595" t="s">
        <v>74</v>
      </c>
      <c r="AY595" t="s">
        <v>74</v>
      </c>
      <c r="AZ595" t="s">
        <v>74</v>
      </c>
      <c r="BA595" t="s">
        <v>74</v>
      </c>
      <c r="BB595" t="s">
        <v>74</v>
      </c>
      <c r="BC595" t="s">
        <v>74</v>
      </c>
      <c r="BD595">
        <v>104028</v>
      </c>
      <c r="BE595" t="s">
        <v>11574</v>
      </c>
      <c r="BF595" t="str">
        <f>HYPERLINK("http://dx.doi.org/10.1016/j.csr.2019.104028","http://dx.doi.org/10.1016/j.csr.2019.104028")</f>
        <v>http://dx.doi.org/10.1016/j.csr.2019.104028</v>
      </c>
      <c r="BG595" t="s">
        <v>74</v>
      </c>
      <c r="BH595" t="s">
        <v>74</v>
      </c>
      <c r="BI595">
        <v>10</v>
      </c>
      <c r="BJ595" t="s">
        <v>639</v>
      </c>
      <c r="BK595" t="s">
        <v>103</v>
      </c>
      <c r="BL595" t="s">
        <v>639</v>
      </c>
      <c r="BM595" t="s">
        <v>11575</v>
      </c>
      <c r="BN595" t="s">
        <v>74</v>
      </c>
      <c r="BO595" t="s">
        <v>148</v>
      </c>
      <c r="BP595" t="s">
        <v>74</v>
      </c>
      <c r="BQ595" t="s">
        <v>74</v>
      </c>
      <c r="BR595" t="s">
        <v>106</v>
      </c>
      <c r="BS595" t="s">
        <v>11576</v>
      </c>
      <c r="BT595" t="str">
        <f>HYPERLINK("https%3A%2F%2Fwww.webofscience.com%2Fwos%2Fwoscc%2Ffull-record%2FWOS:000513290600006","View Full Record in Web of Science")</f>
        <v>View Full Record in Web of Science</v>
      </c>
    </row>
    <row r="596" spans="1:72" x14ac:dyDescent="0.15">
      <c r="A596" t="s">
        <v>72</v>
      </c>
      <c r="B596" t="s">
        <v>11577</v>
      </c>
      <c r="C596" t="s">
        <v>74</v>
      </c>
      <c r="D596" t="s">
        <v>74</v>
      </c>
      <c r="E596" t="s">
        <v>74</v>
      </c>
      <c r="F596" t="s">
        <v>11578</v>
      </c>
      <c r="G596" t="s">
        <v>74</v>
      </c>
      <c r="H596" t="s">
        <v>74</v>
      </c>
      <c r="I596" t="s">
        <v>11579</v>
      </c>
      <c r="J596" t="s">
        <v>1240</v>
      </c>
      <c r="K596" t="s">
        <v>74</v>
      </c>
      <c r="L596" t="s">
        <v>74</v>
      </c>
      <c r="M596" t="s">
        <v>78</v>
      </c>
      <c r="N596" t="s">
        <v>79</v>
      </c>
      <c r="O596" t="s">
        <v>74</v>
      </c>
      <c r="P596" t="s">
        <v>74</v>
      </c>
      <c r="Q596" t="s">
        <v>74</v>
      </c>
      <c r="R596" t="s">
        <v>74</v>
      </c>
      <c r="S596" t="s">
        <v>74</v>
      </c>
      <c r="T596" t="s">
        <v>74</v>
      </c>
      <c r="U596" t="s">
        <v>11580</v>
      </c>
      <c r="V596" t="s">
        <v>11581</v>
      </c>
      <c r="W596" t="s">
        <v>11582</v>
      </c>
      <c r="X596" t="s">
        <v>11583</v>
      </c>
      <c r="Y596" t="s">
        <v>11584</v>
      </c>
      <c r="Z596" t="s">
        <v>11585</v>
      </c>
      <c r="AA596" t="s">
        <v>11586</v>
      </c>
      <c r="AB596" t="s">
        <v>11587</v>
      </c>
      <c r="AC596" t="s">
        <v>11588</v>
      </c>
      <c r="AD596" t="s">
        <v>11589</v>
      </c>
      <c r="AE596" t="s">
        <v>11590</v>
      </c>
      <c r="AF596" t="s">
        <v>74</v>
      </c>
      <c r="AG596">
        <v>54</v>
      </c>
      <c r="AH596">
        <v>50</v>
      </c>
      <c r="AI596">
        <v>51</v>
      </c>
      <c r="AJ596">
        <v>10</v>
      </c>
      <c r="AK596">
        <v>65</v>
      </c>
      <c r="AL596" t="s">
        <v>753</v>
      </c>
      <c r="AM596" t="s">
        <v>545</v>
      </c>
      <c r="AN596" t="s">
        <v>1097</v>
      </c>
      <c r="AO596" t="s">
        <v>1252</v>
      </c>
      <c r="AP596" t="s">
        <v>74</v>
      </c>
      <c r="AQ596" t="s">
        <v>74</v>
      </c>
      <c r="AR596" t="s">
        <v>1253</v>
      </c>
      <c r="AS596" t="s">
        <v>1254</v>
      </c>
      <c r="AT596" t="s">
        <v>11503</v>
      </c>
      <c r="AU596">
        <v>2020</v>
      </c>
      <c r="AV596">
        <v>11</v>
      </c>
      <c r="AW596">
        <v>1</v>
      </c>
      <c r="AX596" t="s">
        <v>74</v>
      </c>
      <c r="AY596" t="s">
        <v>74</v>
      </c>
      <c r="AZ596" t="s">
        <v>74</v>
      </c>
      <c r="BA596" t="s">
        <v>74</v>
      </c>
      <c r="BB596" t="s">
        <v>74</v>
      </c>
      <c r="BC596" t="s">
        <v>74</v>
      </c>
      <c r="BD596">
        <v>285</v>
      </c>
      <c r="BE596" t="s">
        <v>11591</v>
      </c>
      <c r="BF596" t="str">
        <f>HYPERLINK("http://dx.doi.org/10.1038/s41467-019-14133-x","http://dx.doi.org/10.1038/s41467-019-14133-x")</f>
        <v>http://dx.doi.org/10.1038/s41467-019-14133-x</v>
      </c>
      <c r="BG596" t="s">
        <v>74</v>
      </c>
      <c r="BH596" t="s">
        <v>74</v>
      </c>
      <c r="BI596">
        <v>14</v>
      </c>
      <c r="BJ596" t="s">
        <v>322</v>
      </c>
      <c r="BK596" t="s">
        <v>103</v>
      </c>
      <c r="BL596" t="s">
        <v>323</v>
      </c>
      <c r="BM596" t="s">
        <v>11592</v>
      </c>
      <c r="BN596">
        <v>31941905</v>
      </c>
      <c r="BO596" t="s">
        <v>276</v>
      </c>
      <c r="BP596" t="s">
        <v>74</v>
      </c>
      <c r="BQ596" t="s">
        <v>74</v>
      </c>
      <c r="BR596" t="s">
        <v>106</v>
      </c>
      <c r="BS596" t="s">
        <v>11593</v>
      </c>
      <c r="BT596" t="str">
        <f>HYPERLINK("https%3A%2F%2Fwww.webofscience.com%2Fwos%2Fwoscc%2Ffull-record%2FWOS:000512534100006","View Full Record in Web of Science")</f>
        <v>View Full Record in Web of Science</v>
      </c>
    </row>
    <row r="597" spans="1:72" x14ac:dyDescent="0.15">
      <c r="A597" t="s">
        <v>72</v>
      </c>
      <c r="B597" t="s">
        <v>11594</v>
      </c>
      <c r="C597" t="s">
        <v>74</v>
      </c>
      <c r="D597" t="s">
        <v>74</v>
      </c>
      <c r="E597" t="s">
        <v>74</v>
      </c>
      <c r="F597" t="s">
        <v>11595</v>
      </c>
      <c r="G597" t="s">
        <v>74</v>
      </c>
      <c r="H597" t="s">
        <v>74</v>
      </c>
      <c r="I597" t="s">
        <v>11596</v>
      </c>
      <c r="J597" t="s">
        <v>396</v>
      </c>
      <c r="K597" t="s">
        <v>74</v>
      </c>
      <c r="L597" t="s">
        <v>74</v>
      </c>
      <c r="M597" t="s">
        <v>78</v>
      </c>
      <c r="N597" t="s">
        <v>79</v>
      </c>
      <c r="O597" t="s">
        <v>74</v>
      </c>
      <c r="P597" t="s">
        <v>74</v>
      </c>
      <c r="Q597" t="s">
        <v>74</v>
      </c>
      <c r="R597" t="s">
        <v>74</v>
      </c>
      <c r="S597" t="s">
        <v>74</v>
      </c>
      <c r="T597" t="s">
        <v>11597</v>
      </c>
      <c r="U597" t="s">
        <v>11598</v>
      </c>
      <c r="V597" t="s">
        <v>11599</v>
      </c>
      <c r="W597" t="s">
        <v>11600</v>
      </c>
      <c r="X597" t="s">
        <v>11601</v>
      </c>
      <c r="Y597" t="s">
        <v>11602</v>
      </c>
      <c r="Z597" t="s">
        <v>11603</v>
      </c>
      <c r="AA597" t="s">
        <v>11604</v>
      </c>
      <c r="AB597" t="s">
        <v>11605</v>
      </c>
      <c r="AC597" t="s">
        <v>11606</v>
      </c>
      <c r="AD597" t="s">
        <v>11607</v>
      </c>
      <c r="AE597" t="s">
        <v>11608</v>
      </c>
      <c r="AF597" t="s">
        <v>74</v>
      </c>
      <c r="AG597">
        <v>130</v>
      </c>
      <c r="AH597">
        <v>14</v>
      </c>
      <c r="AI597">
        <v>14</v>
      </c>
      <c r="AJ597">
        <v>1</v>
      </c>
      <c r="AK597">
        <v>26</v>
      </c>
      <c r="AL597" t="s">
        <v>289</v>
      </c>
      <c r="AM597" t="s">
        <v>290</v>
      </c>
      <c r="AN597" t="s">
        <v>291</v>
      </c>
      <c r="AO597" t="s">
        <v>408</v>
      </c>
      <c r="AP597" t="s">
        <v>409</v>
      </c>
      <c r="AQ597" t="s">
        <v>74</v>
      </c>
      <c r="AR597" t="s">
        <v>410</v>
      </c>
      <c r="AS597" t="s">
        <v>411</v>
      </c>
      <c r="AT597" t="s">
        <v>11503</v>
      </c>
      <c r="AU597">
        <v>2020</v>
      </c>
      <c r="AV597">
        <v>538</v>
      </c>
      <c r="AW597" t="s">
        <v>74</v>
      </c>
      <c r="AX597" t="s">
        <v>74</v>
      </c>
      <c r="AY597" t="s">
        <v>74</v>
      </c>
      <c r="AZ597" t="s">
        <v>74</v>
      </c>
      <c r="BA597" t="s">
        <v>74</v>
      </c>
      <c r="BB597" t="s">
        <v>74</v>
      </c>
      <c r="BC597" t="s">
        <v>74</v>
      </c>
      <c r="BD597">
        <v>109463</v>
      </c>
      <c r="BE597" t="s">
        <v>11609</v>
      </c>
      <c r="BF597" t="str">
        <f>HYPERLINK("http://dx.doi.org/10.1016/j.palaeo.2019.109463","http://dx.doi.org/10.1016/j.palaeo.2019.109463")</f>
        <v>http://dx.doi.org/10.1016/j.palaeo.2019.109463</v>
      </c>
      <c r="BG597" t="s">
        <v>74</v>
      </c>
      <c r="BH597" t="s">
        <v>74</v>
      </c>
      <c r="BI597">
        <v>16</v>
      </c>
      <c r="BJ597" t="s">
        <v>413</v>
      </c>
      <c r="BK597" t="s">
        <v>103</v>
      </c>
      <c r="BL597" t="s">
        <v>414</v>
      </c>
      <c r="BM597" t="s">
        <v>11610</v>
      </c>
      <c r="BN597" t="s">
        <v>74</v>
      </c>
      <c r="BO597" t="s">
        <v>694</v>
      </c>
      <c r="BP597" t="s">
        <v>74</v>
      </c>
      <c r="BQ597" t="s">
        <v>74</v>
      </c>
      <c r="BR597" t="s">
        <v>106</v>
      </c>
      <c r="BS597" t="s">
        <v>11611</v>
      </c>
      <c r="BT597" t="str">
        <f>HYPERLINK("https%3A%2F%2Fwww.webofscience.com%2Fwos%2Fwoscc%2Ffull-record%2FWOS:000508751800001","View Full Record in Web of Science")</f>
        <v>View Full Record in Web of Science</v>
      </c>
    </row>
    <row r="598" spans="1:72" x14ac:dyDescent="0.15">
      <c r="A598" t="s">
        <v>72</v>
      </c>
      <c r="B598" t="s">
        <v>11612</v>
      </c>
      <c r="C598" t="s">
        <v>74</v>
      </c>
      <c r="D598" t="s">
        <v>74</v>
      </c>
      <c r="E598" t="s">
        <v>74</v>
      </c>
      <c r="F598" t="s">
        <v>11613</v>
      </c>
      <c r="G598" t="s">
        <v>74</v>
      </c>
      <c r="H598" t="s">
        <v>74</v>
      </c>
      <c r="I598" t="s">
        <v>11614</v>
      </c>
      <c r="J598" t="s">
        <v>11615</v>
      </c>
      <c r="K598" t="s">
        <v>74</v>
      </c>
      <c r="L598" t="s">
        <v>74</v>
      </c>
      <c r="M598" t="s">
        <v>78</v>
      </c>
      <c r="N598" t="s">
        <v>79</v>
      </c>
      <c r="O598" t="s">
        <v>74</v>
      </c>
      <c r="P598" t="s">
        <v>74</v>
      </c>
      <c r="Q598" t="s">
        <v>74</v>
      </c>
      <c r="R598" t="s">
        <v>74</v>
      </c>
      <c r="S598" t="s">
        <v>74</v>
      </c>
      <c r="T598" t="s">
        <v>11616</v>
      </c>
      <c r="U598" t="s">
        <v>11617</v>
      </c>
      <c r="V598" t="s">
        <v>11618</v>
      </c>
      <c r="W598" t="s">
        <v>11619</v>
      </c>
      <c r="X598" t="s">
        <v>11620</v>
      </c>
      <c r="Y598" t="s">
        <v>11621</v>
      </c>
      <c r="Z598" t="s">
        <v>11622</v>
      </c>
      <c r="AA598" t="s">
        <v>11623</v>
      </c>
      <c r="AB598" t="s">
        <v>540</v>
      </c>
      <c r="AC598" t="s">
        <v>11624</v>
      </c>
      <c r="AD598" t="s">
        <v>11624</v>
      </c>
      <c r="AE598" t="s">
        <v>11625</v>
      </c>
      <c r="AF598" t="s">
        <v>74</v>
      </c>
      <c r="AG598">
        <v>52</v>
      </c>
      <c r="AH598">
        <v>6</v>
      </c>
      <c r="AI598">
        <v>6</v>
      </c>
      <c r="AJ598">
        <v>0</v>
      </c>
      <c r="AK598">
        <v>16</v>
      </c>
      <c r="AL598" t="s">
        <v>11626</v>
      </c>
      <c r="AM598" t="s">
        <v>11627</v>
      </c>
      <c r="AN598" t="s">
        <v>11628</v>
      </c>
      <c r="AO598" t="s">
        <v>11629</v>
      </c>
      <c r="AP598" t="s">
        <v>11630</v>
      </c>
      <c r="AQ598" t="s">
        <v>74</v>
      </c>
      <c r="AR598" t="s">
        <v>11615</v>
      </c>
      <c r="AS598" t="s">
        <v>11631</v>
      </c>
      <c r="AT598" t="s">
        <v>2002</v>
      </c>
      <c r="AU598">
        <v>2020</v>
      </c>
      <c r="AV598">
        <v>53</v>
      </c>
      <c r="AW598">
        <v>3</v>
      </c>
      <c r="AX598" t="s">
        <v>74</v>
      </c>
      <c r="AY598" t="s">
        <v>74</v>
      </c>
      <c r="AZ598" t="s">
        <v>74</v>
      </c>
      <c r="BA598" t="s">
        <v>74</v>
      </c>
      <c r="BB598">
        <v>409</v>
      </c>
      <c r="BC598">
        <v>420</v>
      </c>
      <c r="BD598" t="s">
        <v>74</v>
      </c>
      <c r="BE598" t="s">
        <v>11632</v>
      </c>
      <c r="BF598" t="str">
        <f>HYPERLINK("http://dx.doi.org/10.1111/let.12366","http://dx.doi.org/10.1111/let.12366")</f>
        <v>http://dx.doi.org/10.1111/let.12366</v>
      </c>
      <c r="BG598" t="s">
        <v>74</v>
      </c>
      <c r="BH598" t="s">
        <v>10613</v>
      </c>
      <c r="BI598">
        <v>12</v>
      </c>
      <c r="BJ598" t="s">
        <v>7592</v>
      </c>
      <c r="BK598" t="s">
        <v>103</v>
      </c>
      <c r="BL598" t="s">
        <v>7592</v>
      </c>
      <c r="BM598" t="s">
        <v>11633</v>
      </c>
      <c r="BN598" t="s">
        <v>74</v>
      </c>
      <c r="BO598" t="s">
        <v>74</v>
      </c>
      <c r="BP598" t="s">
        <v>74</v>
      </c>
      <c r="BQ598" t="s">
        <v>74</v>
      </c>
      <c r="BR598" t="s">
        <v>106</v>
      </c>
      <c r="BS598" t="s">
        <v>11634</v>
      </c>
      <c r="BT598" t="str">
        <f>HYPERLINK("https%3A%2F%2Fwww.webofscience.com%2Fwos%2Fwoscc%2Ffull-record%2FWOS:000507225400001","View Full Record in Web of Science")</f>
        <v>View Full Record in Web of Science</v>
      </c>
    </row>
    <row r="599" spans="1:72" x14ac:dyDescent="0.15">
      <c r="A599" t="s">
        <v>72</v>
      </c>
      <c r="B599" t="s">
        <v>11635</v>
      </c>
      <c r="C599" t="s">
        <v>74</v>
      </c>
      <c r="D599" t="s">
        <v>74</v>
      </c>
      <c r="E599" t="s">
        <v>74</v>
      </c>
      <c r="F599" t="s">
        <v>11636</v>
      </c>
      <c r="G599" t="s">
        <v>74</v>
      </c>
      <c r="H599" t="s">
        <v>74</v>
      </c>
      <c r="I599" t="s">
        <v>11637</v>
      </c>
      <c r="J599" t="s">
        <v>11560</v>
      </c>
      <c r="K599" t="s">
        <v>74</v>
      </c>
      <c r="L599" t="s">
        <v>74</v>
      </c>
      <c r="M599" t="s">
        <v>78</v>
      </c>
      <c r="N599" t="s">
        <v>79</v>
      </c>
      <c r="O599" t="s">
        <v>74</v>
      </c>
      <c r="P599" t="s">
        <v>74</v>
      </c>
      <c r="Q599" t="s">
        <v>74</v>
      </c>
      <c r="R599" t="s">
        <v>74</v>
      </c>
      <c r="S599" t="s">
        <v>74</v>
      </c>
      <c r="T599" t="s">
        <v>11638</v>
      </c>
      <c r="U599" t="s">
        <v>11639</v>
      </c>
      <c r="V599" t="s">
        <v>11640</v>
      </c>
      <c r="W599" t="s">
        <v>11641</v>
      </c>
      <c r="X599" t="s">
        <v>5315</v>
      </c>
      <c r="Y599" t="s">
        <v>11642</v>
      </c>
      <c r="Z599" t="s">
        <v>11643</v>
      </c>
      <c r="AA599" t="s">
        <v>74</v>
      </c>
      <c r="AB599" t="s">
        <v>11644</v>
      </c>
      <c r="AC599" t="s">
        <v>11645</v>
      </c>
      <c r="AD599" t="s">
        <v>11646</v>
      </c>
      <c r="AE599" t="s">
        <v>11647</v>
      </c>
      <c r="AF599" t="s">
        <v>74</v>
      </c>
      <c r="AG599">
        <v>54</v>
      </c>
      <c r="AH599">
        <v>10</v>
      </c>
      <c r="AI599">
        <v>12</v>
      </c>
      <c r="AJ599">
        <v>3</v>
      </c>
      <c r="AK599">
        <v>22</v>
      </c>
      <c r="AL599" t="s">
        <v>434</v>
      </c>
      <c r="AM599" t="s">
        <v>435</v>
      </c>
      <c r="AN599" t="s">
        <v>436</v>
      </c>
      <c r="AO599" t="s">
        <v>11570</v>
      </c>
      <c r="AP599" t="s">
        <v>11571</v>
      </c>
      <c r="AQ599" t="s">
        <v>74</v>
      </c>
      <c r="AR599" t="s">
        <v>11572</v>
      </c>
      <c r="AS599" t="s">
        <v>11573</v>
      </c>
      <c r="AT599" t="s">
        <v>11503</v>
      </c>
      <c r="AU599">
        <v>2020</v>
      </c>
      <c r="AV599">
        <v>193</v>
      </c>
      <c r="AW599" t="s">
        <v>74</v>
      </c>
      <c r="AX599" t="s">
        <v>74</v>
      </c>
      <c r="AY599" t="s">
        <v>74</v>
      </c>
      <c r="AZ599" t="s">
        <v>74</v>
      </c>
      <c r="BA599" t="s">
        <v>74</v>
      </c>
      <c r="BB599" t="s">
        <v>74</v>
      </c>
      <c r="BC599" t="s">
        <v>74</v>
      </c>
      <c r="BD599">
        <v>104031</v>
      </c>
      <c r="BE599" t="s">
        <v>11648</v>
      </c>
      <c r="BF599" t="str">
        <f>HYPERLINK("http://dx.doi.org/10.1016/j.csr.2019.104031","http://dx.doi.org/10.1016/j.csr.2019.104031")</f>
        <v>http://dx.doi.org/10.1016/j.csr.2019.104031</v>
      </c>
      <c r="BG599" t="s">
        <v>74</v>
      </c>
      <c r="BH599" t="s">
        <v>74</v>
      </c>
      <c r="BI599">
        <v>10</v>
      </c>
      <c r="BJ599" t="s">
        <v>639</v>
      </c>
      <c r="BK599" t="s">
        <v>103</v>
      </c>
      <c r="BL599" t="s">
        <v>639</v>
      </c>
      <c r="BM599" t="s">
        <v>11575</v>
      </c>
      <c r="BN599" t="s">
        <v>74</v>
      </c>
      <c r="BO599" t="s">
        <v>74</v>
      </c>
      <c r="BP599" t="s">
        <v>74</v>
      </c>
      <c r="BQ599" t="s">
        <v>74</v>
      </c>
      <c r="BR599" t="s">
        <v>106</v>
      </c>
      <c r="BS599" t="s">
        <v>11649</v>
      </c>
      <c r="BT599" t="str">
        <f>HYPERLINK("https%3A%2F%2Fwww.webofscience.com%2Fwos%2Fwoscc%2Ffull-record%2FWOS:000513290600001","View Full Record in Web of Science")</f>
        <v>View Full Record in Web of Science</v>
      </c>
    </row>
    <row r="600" spans="1:72" x14ac:dyDescent="0.15">
      <c r="A600" t="s">
        <v>72</v>
      </c>
      <c r="B600" t="s">
        <v>11650</v>
      </c>
      <c r="C600" t="s">
        <v>74</v>
      </c>
      <c r="D600" t="s">
        <v>74</v>
      </c>
      <c r="E600" t="s">
        <v>74</v>
      </c>
      <c r="F600" t="s">
        <v>11651</v>
      </c>
      <c r="G600" t="s">
        <v>74</v>
      </c>
      <c r="H600" t="s">
        <v>74</v>
      </c>
      <c r="I600" t="s">
        <v>11652</v>
      </c>
      <c r="J600" t="s">
        <v>421</v>
      </c>
      <c r="K600" t="s">
        <v>74</v>
      </c>
      <c r="L600" t="s">
        <v>74</v>
      </c>
      <c r="M600" t="s">
        <v>78</v>
      </c>
      <c r="N600" t="s">
        <v>79</v>
      </c>
      <c r="O600" t="s">
        <v>74</v>
      </c>
      <c r="P600" t="s">
        <v>74</v>
      </c>
      <c r="Q600" t="s">
        <v>74</v>
      </c>
      <c r="R600" t="s">
        <v>74</v>
      </c>
      <c r="S600" t="s">
        <v>74</v>
      </c>
      <c r="T600" t="s">
        <v>11653</v>
      </c>
      <c r="U600" t="s">
        <v>11654</v>
      </c>
      <c r="V600" t="s">
        <v>11655</v>
      </c>
      <c r="W600" t="s">
        <v>11656</v>
      </c>
      <c r="X600" t="s">
        <v>11657</v>
      </c>
      <c r="Y600" t="s">
        <v>11658</v>
      </c>
      <c r="Z600" t="s">
        <v>11659</v>
      </c>
      <c r="AA600" t="s">
        <v>11660</v>
      </c>
      <c r="AB600" t="s">
        <v>11661</v>
      </c>
      <c r="AC600" t="s">
        <v>11662</v>
      </c>
      <c r="AD600" t="s">
        <v>11663</v>
      </c>
      <c r="AE600" t="s">
        <v>11664</v>
      </c>
      <c r="AF600" t="s">
        <v>74</v>
      </c>
      <c r="AG600">
        <v>123</v>
      </c>
      <c r="AH600">
        <v>1</v>
      </c>
      <c r="AI600">
        <v>1</v>
      </c>
      <c r="AJ600">
        <v>1</v>
      </c>
      <c r="AK600">
        <v>11</v>
      </c>
      <c r="AL600" t="s">
        <v>434</v>
      </c>
      <c r="AM600" t="s">
        <v>435</v>
      </c>
      <c r="AN600" t="s">
        <v>436</v>
      </c>
      <c r="AO600" t="s">
        <v>437</v>
      </c>
      <c r="AP600" t="s">
        <v>438</v>
      </c>
      <c r="AQ600" t="s">
        <v>74</v>
      </c>
      <c r="AR600" t="s">
        <v>439</v>
      </c>
      <c r="AS600" t="s">
        <v>440</v>
      </c>
      <c r="AT600" t="s">
        <v>11503</v>
      </c>
      <c r="AU600">
        <v>2020</v>
      </c>
      <c r="AV600">
        <v>269</v>
      </c>
      <c r="AW600" t="s">
        <v>74</v>
      </c>
      <c r="AX600" t="s">
        <v>74</v>
      </c>
      <c r="AY600" t="s">
        <v>74</v>
      </c>
      <c r="AZ600" t="s">
        <v>74</v>
      </c>
      <c r="BA600" t="s">
        <v>74</v>
      </c>
      <c r="BB600">
        <v>329</v>
      </c>
      <c r="BC600">
        <v>345</v>
      </c>
      <c r="BD600" t="s">
        <v>74</v>
      </c>
      <c r="BE600" t="s">
        <v>11665</v>
      </c>
      <c r="BF600" t="str">
        <f>HYPERLINK("http://dx.doi.org/10.1016/j.gca.2019.10.027","http://dx.doi.org/10.1016/j.gca.2019.10.027")</f>
        <v>http://dx.doi.org/10.1016/j.gca.2019.10.027</v>
      </c>
      <c r="BG600" t="s">
        <v>74</v>
      </c>
      <c r="BH600" t="s">
        <v>74</v>
      </c>
      <c r="BI600">
        <v>17</v>
      </c>
      <c r="BJ600" t="s">
        <v>442</v>
      </c>
      <c r="BK600" t="s">
        <v>103</v>
      </c>
      <c r="BL600" t="s">
        <v>442</v>
      </c>
      <c r="BM600" t="s">
        <v>11666</v>
      </c>
      <c r="BN600" t="s">
        <v>74</v>
      </c>
      <c r="BO600" t="s">
        <v>74</v>
      </c>
      <c r="BP600" t="s">
        <v>74</v>
      </c>
      <c r="BQ600" t="s">
        <v>74</v>
      </c>
      <c r="BR600" t="s">
        <v>106</v>
      </c>
      <c r="BS600" t="s">
        <v>11667</v>
      </c>
      <c r="BT600" t="str">
        <f>HYPERLINK("https%3A%2F%2Fwww.webofscience.com%2Fwos%2Fwoscc%2Ffull-record%2FWOS:000502332400018","View Full Record in Web of Science")</f>
        <v>View Full Record in Web of Science</v>
      </c>
    </row>
    <row r="601" spans="1:72" x14ac:dyDescent="0.15">
      <c r="A601" t="s">
        <v>72</v>
      </c>
      <c r="B601" t="s">
        <v>11668</v>
      </c>
      <c r="C601" t="s">
        <v>74</v>
      </c>
      <c r="D601" t="s">
        <v>74</v>
      </c>
      <c r="E601" t="s">
        <v>74</v>
      </c>
      <c r="F601" t="s">
        <v>11669</v>
      </c>
      <c r="G601" t="s">
        <v>74</v>
      </c>
      <c r="H601" t="s">
        <v>74</v>
      </c>
      <c r="I601" t="s">
        <v>11670</v>
      </c>
      <c r="J601" t="s">
        <v>1179</v>
      </c>
      <c r="K601" t="s">
        <v>74</v>
      </c>
      <c r="L601" t="s">
        <v>74</v>
      </c>
      <c r="M601" t="s">
        <v>78</v>
      </c>
      <c r="N601" t="s">
        <v>79</v>
      </c>
      <c r="O601" t="s">
        <v>74</v>
      </c>
      <c r="P601" t="s">
        <v>74</v>
      </c>
      <c r="Q601" t="s">
        <v>74</v>
      </c>
      <c r="R601" t="s">
        <v>74</v>
      </c>
      <c r="S601" t="s">
        <v>74</v>
      </c>
      <c r="T601" t="s">
        <v>11671</v>
      </c>
      <c r="U601" t="s">
        <v>11672</v>
      </c>
      <c r="V601" t="s">
        <v>11673</v>
      </c>
      <c r="W601" t="s">
        <v>11674</v>
      </c>
      <c r="X601" t="s">
        <v>11675</v>
      </c>
      <c r="Y601" t="s">
        <v>11676</v>
      </c>
      <c r="Z601" t="s">
        <v>11677</v>
      </c>
      <c r="AA601" t="s">
        <v>11678</v>
      </c>
      <c r="AB601" t="s">
        <v>11679</v>
      </c>
      <c r="AC601" t="s">
        <v>11680</v>
      </c>
      <c r="AD601" t="s">
        <v>11681</v>
      </c>
      <c r="AE601" t="s">
        <v>11682</v>
      </c>
      <c r="AF601" t="s">
        <v>74</v>
      </c>
      <c r="AG601">
        <v>48</v>
      </c>
      <c r="AH601">
        <v>11</v>
      </c>
      <c r="AI601">
        <v>13</v>
      </c>
      <c r="AJ601">
        <v>3</v>
      </c>
      <c r="AK601">
        <v>62</v>
      </c>
      <c r="AL601" t="s">
        <v>289</v>
      </c>
      <c r="AM601" t="s">
        <v>290</v>
      </c>
      <c r="AN601" t="s">
        <v>291</v>
      </c>
      <c r="AO601" t="s">
        <v>1191</v>
      </c>
      <c r="AP601" t="s">
        <v>1192</v>
      </c>
      <c r="AQ601" t="s">
        <v>74</v>
      </c>
      <c r="AR601" t="s">
        <v>1193</v>
      </c>
      <c r="AS601" t="s">
        <v>1194</v>
      </c>
      <c r="AT601" t="s">
        <v>11503</v>
      </c>
      <c r="AU601">
        <v>2020</v>
      </c>
      <c r="AV601">
        <v>700</v>
      </c>
      <c r="AW601" t="s">
        <v>74</v>
      </c>
      <c r="AX601" t="s">
        <v>74</v>
      </c>
      <c r="AY601" t="s">
        <v>74</v>
      </c>
      <c r="AZ601" t="s">
        <v>74</v>
      </c>
      <c r="BA601" t="s">
        <v>74</v>
      </c>
      <c r="BB601" t="s">
        <v>74</v>
      </c>
      <c r="BC601" t="s">
        <v>74</v>
      </c>
      <c r="BD601">
        <v>134481</v>
      </c>
      <c r="BE601" t="s">
        <v>11683</v>
      </c>
      <c r="BF601" t="str">
        <f>HYPERLINK("http://dx.doi.org/10.1016/j.scitotenv.2019.134481","http://dx.doi.org/10.1016/j.scitotenv.2019.134481")</f>
        <v>http://dx.doi.org/10.1016/j.scitotenv.2019.134481</v>
      </c>
      <c r="BG601" t="s">
        <v>74</v>
      </c>
      <c r="BH601" t="s">
        <v>74</v>
      </c>
      <c r="BI601">
        <v>10</v>
      </c>
      <c r="BJ601" t="s">
        <v>1196</v>
      </c>
      <c r="BK601" t="s">
        <v>1149</v>
      </c>
      <c r="BL601" t="s">
        <v>219</v>
      </c>
      <c r="BM601" t="s">
        <v>11684</v>
      </c>
      <c r="BN601">
        <v>31689650</v>
      </c>
      <c r="BO601" t="s">
        <v>74</v>
      </c>
      <c r="BP601" t="s">
        <v>74</v>
      </c>
      <c r="BQ601" t="s">
        <v>74</v>
      </c>
      <c r="BR601" t="s">
        <v>106</v>
      </c>
      <c r="BS601" t="s">
        <v>11685</v>
      </c>
      <c r="BT601" t="str">
        <f>HYPERLINK("https%3A%2F%2Fwww.webofscience.com%2Fwos%2Fwoscc%2Ffull-record%2FWOS:000499480800036","View Full Record in Web of Science")</f>
        <v>View Full Record in Web of Science</v>
      </c>
    </row>
    <row r="602" spans="1:72" x14ac:dyDescent="0.15">
      <c r="A602" t="s">
        <v>72</v>
      </c>
      <c r="B602" t="s">
        <v>11686</v>
      </c>
      <c r="C602" t="s">
        <v>74</v>
      </c>
      <c r="D602" t="s">
        <v>74</v>
      </c>
      <c r="E602" t="s">
        <v>74</v>
      </c>
      <c r="F602" t="s">
        <v>11687</v>
      </c>
      <c r="G602" t="s">
        <v>74</v>
      </c>
      <c r="H602" t="s">
        <v>74</v>
      </c>
      <c r="I602" t="s">
        <v>11688</v>
      </c>
      <c r="J602" t="s">
        <v>1179</v>
      </c>
      <c r="K602" t="s">
        <v>74</v>
      </c>
      <c r="L602" t="s">
        <v>74</v>
      </c>
      <c r="M602" t="s">
        <v>78</v>
      </c>
      <c r="N602" t="s">
        <v>79</v>
      </c>
      <c r="O602" t="s">
        <v>74</v>
      </c>
      <c r="P602" t="s">
        <v>74</v>
      </c>
      <c r="Q602" t="s">
        <v>74</v>
      </c>
      <c r="R602" t="s">
        <v>74</v>
      </c>
      <c r="S602" t="s">
        <v>74</v>
      </c>
      <c r="T602" t="s">
        <v>11689</v>
      </c>
      <c r="U602" t="s">
        <v>11690</v>
      </c>
      <c r="V602" t="s">
        <v>11691</v>
      </c>
      <c r="W602" t="s">
        <v>11692</v>
      </c>
      <c r="X602" t="s">
        <v>11693</v>
      </c>
      <c r="Y602" t="s">
        <v>11694</v>
      </c>
      <c r="Z602" t="s">
        <v>11695</v>
      </c>
      <c r="AA602" t="s">
        <v>11696</v>
      </c>
      <c r="AB602" t="s">
        <v>11697</v>
      </c>
      <c r="AC602" t="s">
        <v>11698</v>
      </c>
      <c r="AD602" t="s">
        <v>11699</v>
      </c>
      <c r="AE602" t="s">
        <v>11700</v>
      </c>
      <c r="AF602" t="s">
        <v>74</v>
      </c>
      <c r="AG602">
        <v>98</v>
      </c>
      <c r="AH602">
        <v>3</v>
      </c>
      <c r="AI602">
        <v>3</v>
      </c>
      <c r="AJ602">
        <v>3</v>
      </c>
      <c r="AK602">
        <v>26</v>
      </c>
      <c r="AL602" t="s">
        <v>289</v>
      </c>
      <c r="AM602" t="s">
        <v>290</v>
      </c>
      <c r="AN602" t="s">
        <v>291</v>
      </c>
      <c r="AO602" t="s">
        <v>1191</v>
      </c>
      <c r="AP602" t="s">
        <v>1192</v>
      </c>
      <c r="AQ602" t="s">
        <v>74</v>
      </c>
      <c r="AR602" t="s">
        <v>1193</v>
      </c>
      <c r="AS602" t="s">
        <v>1194</v>
      </c>
      <c r="AT602" t="s">
        <v>11503</v>
      </c>
      <c r="AU602">
        <v>2020</v>
      </c>
      <c r="AV602">
        <v>700</v>
      </c>
      <c r="AW602" t="s">
        <v>74</v>
      </c>
      <c r="AX602" t="s">
        <v>74</v>
      </c>
      <c r="AY602" t="s">
        <v>74</v>
      </c>
      <c r="AZ602" t="s">
        <v>74</v>
      </c>
      <c r="BA602" t="s">
        <v>74</v>
      </c>
      <c r="BB602" t="s">
        <v>74</v>
      </c>
      <c r="BC602" t="s">
        <v>74</v>
      </c>
      <c r="BD602">
        <v>134432</v>
      </c>
      <c r="BE602" t="s">
        <v>11701</v>
      </c>
      <c r="BF602" t="str">
        <f>HYPERLINK("http://dx.doi.org/10.1016/j.scitotenv.2019.134432","http://dx.doi.org/10.1016/j.scitotenv.2019.134432")</f>
        <v>http://dx.doi.org/10.1016/j.scitotenv.2019.134432</v>
      </c>
      <c r="BG602" t="s">
        <v>74</v>
      </c>
      <c r="BH602" t="s">
        <v>74</v>
      </c>
      <c r="BI602">
        <v>10</v>
      </c>
      <c r="BJ602" t="s">
        <v>1196</v>
      </c>
      <c r="BK602" t="s">
        <v>103</v>
      </c>
      <c r="BL602" t="s">
        <v>219</v>
      </c>
      <c r="BM602" t="s">
        <v>11684</v>
      </c>
      <c r="BN602">
        <v>31693954</v>
      </c>
      <c r="BO602" t="s">
        <v>74</v>
      </c>
      <c r="BP602" t="s">
        <v>74</v>
      </c>
      <c r="BQ602" t="s">
        <v>74</v>
      </c>
      <c r="BR602" t="s">
        <v>106</v>
      </c>
      <c r="BS602" t="s">
        <v>11702</v>
      </c>
      <c r="BT602" t="str">
        <f>HYPERLINK("https%3A%2F%2Fwww.webofscience.com%2Fwos%2Fwoscc%2Ffull-record%2FWOS:000499480800019","View Full Record in Web of Science")</f>
        <v>View Full Record in Web of Science</v>
      </c>
    </row>
    <row r="603" spans="1:72" x14ac:dyDescent="0.15">
      <c r="A603" t="s">
        <v>72</v>
      </c>
      <c r="B603" t="s">
        <v>11703</v>
      </c>
      <c r="C603" t="s">
        <v>74</v>
      </c>
      <c r="D603" t="s">
        <v>74</v>
      </c>
      <c r="E603" t="s">
        <v>74</v>
      </c>
      <c r="F603" t="s">
        <v>11704</v>
      </c>
      <c r="G603" t="s">
        <v>74</v>
      </c>
      <c r="H603" t="s">
        <v>74</v>
      </c>
      <c r="I603" t="s">
        <v>11705</v>
      </c>
      <c r="J603" t="s">
        <v>940</v>
      </c>
      <c r="K603" t="s">
        <v>74</v>
      </c>
      <c r="L603" t="s">
        <v>74</v>
      </c>
      <c r="M603" t="s">
        <v>78</v>
      </c>
      <c r="N603" t="s">
        <v>79</v>
      </c>
      <c r="O603" t="s">
        <v>74</v>
      </c>
      <c r="P603" t="s">
        <v>74</v>
      </c>
      <c r="Q603" t="s">
        <v>74</v>
      </c>
      <c r="R603" t="s">
        <v>74</v>
      </c>
      <c r="S603" t="s">
        <v>74</v>
      </c>
      <c r="T603" t="s">
        <v>74</v>
      </c>
      <c r="U603" t="s">
        <v>11706</v>
      </c>
      <c r="V603" t="s">
        <v>11707</v>
      </c>
      <c r="W603" t="s">
        <v>11708</v>
      </c>
      <c r="X603" t="s">
        <v>11709</v>
      </c>
      <c r="Y603" t="s">
        <v>11710</v>
      </c>
      <c r="Z603" t="s">
        <v>11711</v>
      </c>
      <c r="AA603" t="s">
        <v>11712</v>
      </c>
      <c r="AB603" t="s">
        <v>11713</v>
      </c>
      <c r="AC603" t="s">
        <v>11714</v>
      </c>
      <c r="AD603" t="s">
        <v>11715</v>
      </c>
      <c r="AE603" t="s">
        <v>11716</v>
      </c>
      <c r="AF603" t="s">
        <v>74</v>
      </c>
      <c r="AG603">
        <v>100</v>
      </c>
      <c r="AH603">
        <v>14</v>
      </c>
      <c r="AI603">
        <v>14</v>
      </c>
      <c r="AJ603">
        <v>1</v>
      </c>
      <c r="AK603">
        <v>8</v>
      </c>
      <c r="AL603" t="s">
        <v>753</v>
      </c>
      <c r="AM603" t="s">
        <v>545</v>
      </c>
      <c r="AN603" t="s">
        <v>1097</v>
      </c>
      <c r="AO603" t="s">
        <v>954</v>
      </c>
      <c r="AP603" t="s">
        <v>74</v>
      </c>
      <c r="AQ603" t="s">
        <v>74</v>
      </c>
      <c r="AR603" t="s">
        <v>955</v>
      </c>
      <c r="AS603" t="s">
        <v>956</v>
      </c>
      <c r="AT603" t="s">
        <v>11717</v>
      </c>
      <c r="AU603">
        <v>2020</v>
      </c>
      <c r="AV603">
        <v>10</v>
      </c>
      <c r="AW603">
        <v>1</v>
      </c>
      <c r="AX603" t="s">
        <v>74</v>
      </c>
      <c r="AY603" t="s">
        <v>74</v>
      </c>
      <c r="AZ603" t="s">
        <v>74</v>
      </c>
      <c r="BA603" t="s">
        <v>74</v>
      </c>
      <c r="BB603" t="s">
        <v>74</v>
      </c>
      <c r="BC603" t="s">
        <v>74</v>
      </c>
      <c r="BD603">
        <v>202</v>
      </c>
      <c r="BE603" t="s">
        <v>11718</v>
      </c>
      <c r="BF603" t="str">
        <f>HYPERLINK("http://dx.doi.org/10.1038/s41598-019-56794-0","http://dx.doi.org/10.1038/s41598-019-56794-0")</f>
        <v>http://dx.doi.org/10.1038/s41598-019-56794-0</v>
      </c>
      <c r="BG603" t="s">
        <v>74</v>
      </c>
      <c r="BH603" t="s">
        <v>74</v>
      </c>
      <c r="BI603">
        <v>15</v>
      </c>
      <c r="BJ603" t="s">
        <v>322</v>
      </c>
      <c r="BK603" t="s">
        <v>103</v>
      </c>
      <c r="BL603" t="s">
        <v>323</v>
      </c>
      <c r="BM603" t="s">
        <v>11719</v>
      </c>
      <c r="BN603">
        <v>31937868</v>
      </c>
      <c r="BO603" t="s">
        <v>276</v>
      </c>
      <c r="BP603" t="s">
        <v>74</v>
      </c>
      <c r="BQ603" t="s">
        <v>74</v>
      </c>
      <c r="BR603" t="s">
        <v>106</v>
      </c>
      <c r="BS603" t="s">
        <v>11720</v>
      </c>
      <c r="BT603" t="str">
        <f>HYPERLINK("https%3A%2F%2Fwww.webofscience.com%2Fwos%2Fwoscc%2Ffull-record%2FWOS:000551353700001","View Full Record in Web of Science")</f>
        <v>View Full Record in Web of Science</v>
      </c>
    </row>
    <row r="604" spans="1:72" x14ac:dyDescent="0.15">
      <c r="A604" t="s">
        <v>72</v>
      </c>
      <c r="B604" t="s">
        <v>11721</v>
      </c>
      <c r="C604" t="s">
        <v>74</v>
      </c>
      <c r="D604" t="s">
        <v>74</v>
      </c>
      <c r="E604" t="s">
        <v>74</v>
      </c>
      <c r="F604" t="s">
        <v>11722</v>
      </c>
      <c r="G604" t="s">
        <v>74</v>
      </c>
      <c r="H604" t="s">
        <v>74</v>
      </c>
      <c r="I604" t="s">
        <v>11723</v>
      </c>
      <c r="J604" t="s">
        <v>11724</v>
      </c>
      <c r="K604" t="s">
        <v>74</v>
      </c>
      <c r="L604" t="s">
        <v>74</v>
      </c>
      <c r="M604" t="s">
        <v>78</v>
      </c>
      <c r="N604" t="s">
        <v>79</v>
      </c>
      <c r="O604" t="s">
        <v>74</v>
      </c>
      <c r="P604" t="s">
        <v>74</v>
      </c>
      <c r="Q604" t="s">
        <v>74</v>
      </c>
      <c r="R604" t="s">
        <v>74</v>
      </c>
      <c r="S604" t="s">
        <v>74</v>
      </c>
      <c r="T604" t="s">
        <v>11725</v>
      </c>
      <c r="U604" t="s">
        <v>11726</v>
      </c>
      <c r="V604" t="s">
        <v>11727</v>
      </c>
      <c r="W604" t="s">
        <v>11728</v>
      </c>
      <c r="X604" t="s">
        <v>11729</v>
      </c>
      <c r="Y604" t="s">
        <v>11730</v>
      </c>
      <c r="Z604" t="s">
        <v>11731</v>
      </c>
      <c r="AA604" t="s">
        <v>11732</v>
      </c>
      <c r="AB604" t="s">
        <v>11733</v>
      </c>
      <c r="AC604" t="s">
        <v>11734</v>
      </c>
      <c r="AD604" t="s">
        <v>11735</v>
      </c>
      <c r="AE604" t="s">
        <v>11736</v>
      </c>
      <c r="AF604" t="s">
        <v>74</v>
      </c>
      <c r="AG604">
        <v>30</v>
      </c>
      <c r="AH604">
        <v>11</v>
      </c>
      <c r="AI604">
        <v>12</v>
      </c>
      <c r="AJ604">
        <v>0</v>
      </c>
      <c r="AK604">
        <v>21</v>
      </c>
      <c r="AL604" t="s">
        <v>2787</v>
      </c>
      <c r="AM604" t="s">
        <v>2788</v>
      </c>
      <c r="AN604" t="s">
        <v>2789</v>
      </c>
      <c r="AO604" t="s">
        <v>11737</v>
      </c>
      <c r="AP604" t="s">
        <v>11738</v>
      </c>
      <c r="AQ604" t="s">
        <v>74</v>
      </c>
      <c r="AR604" t="s">
        <v>11739</v>
      </c>
      <c r="AS604" t="s">
        <v>11740</v>
      </c>
      <c r="AT604" t="s">
        <v>11717</v>
      </c>
      <c r="AU604">
        <v>2020</v>
      </c>
      <c r="AV604">
        <v>50</v>
      </c>
      <c r="AW604">
        <v>1</v>
      </c>
      <c r="AX604" t="s">
        <v>74</v>
      </c>
      <c r="AY604" t="s">
        <v>74</v>
      </c>
      <c r="AZ604" t="s">
        <v>74</v>
      </c>
      <c r="BA604" t="s">
        <v>74</v>
      </c>
      <c r="BB604" t="s">
        <v>74</v>
      </c>
      <c r="BC604" t="s">
        <v>74</v>
      </c>
      <c r="BD604">
        <v>4</v>
      </c>
      <c r="BE604" t="s">
        <v>11741</v>
      </c>
      <c r="BF604" t="str">
        <f>HYPERLINK("http://dx.doi.org/10.1007/s12526-019-01034-x","http://dx.doi.org/10.1007/s12526-019-01034-x")</f>
        <v>http://dx.doi.org/10.1007/s12526-019-01034-x</v>
      </c>
      <c r="BG604" t="s">
        <v>74</v>
      </c>
      <c r="BH604" t="s">
        <v>74</v>
      </c>
      <c r="BI604">
        <v>9</v>
      </c>
      <c r="BJ604" t="s">
        <v>11742</v>
      </c>
      <c r="BK604" t="s">
        <v>103</v>
      </c>
      <c r="BL604" t="s">
        <v>11743</v>
      </c>
      <c r="BM604" t="s">
        <v>11744</v>
      </c>
      <c r="BN604" t="s">
        <v>74</v>
      </c>
      <c r="BO604" t="s">
        <v>74</v>
      </c>
      <c r="BP604" t="s">
        <v>74</v>
      </c>
      <c r="BQ604" t="s">
        <v>74</v>
      </c>
      <c r="BR604" t="s">
        <v>106</v>
      </c>
      <c r="BS604" t="s">
        <v>11745</v>
      </c>
      <c r="BT604" t="str">
        <f>HYPERLINK("https%3A%2F%2Fwww.webofscience.com%2Fwos%2Fwoscc%2Ffull-record%2FWOS:000513954200001","View Full Record in Web of Science")</f>
        <v>View Full Record in Web of Science</v>
      </c>
    </row>
    <row r="605" spans="1:72" x14ac:dyDescent="0.15">
      <c r="A605" t="s">
        <v>72</v>
      </c>
      <c r="B605" t="s">
        <v>11746</v>
      </c>
      <c r="C605" t="s">
        <v>74</v>
      </c>
      <c r="D605" t="s">
        <v>74</v>
      </c>
      <c r="E605" t="s">
        <v>74</v>
      </c>
      <c r="F605" t="s">
        <v>11747</v>
      </c>
      <c r="G605" t="s">
        <v>74</v>
      </c>
      <c r="H605" t="s">
        <v>74</v>
      </c>
      <c r="I605" t="s">
        <v>11748</v>
      </c>
      <c r="J605" t="s">
        <v>1339</v>
      </c>
      <c r="K605" t="s">
        <v>74</v>
      </c>
      <c r="L605" t="s">
        <v>74</v>
      </c>
      <c r="M605" t="s">
        <v>78</v>
      </c>
      <c r="N605" t="s">
        <v>79</v>
      </c>
      <c r="O605" t="s">
        <v>74</v>
      </c>
      <c r="P605" t="s">
        <v>74</v>
      </c>
      <c r="Q605" t="s">
        <v>74</v>
      </c>
      <c r="R605" t="s">
        <v>74</v>
      </c>
      <c r="S605" t="s">
        <v>74</v>
      </c>
      <c r="T605" t="s">
        <v>11749</v>
      </c>
      <c r="U605" t="s">
        <v>11750</v>
      </c>
      <c r="V605" t="s">
        <v>11751</v>
      </c>
      <c r="W605" t="s">
        <v>11752</v>
      </c>
      <c r="X605" t="s">
        <v>11753</v>
      </c>
      <c r="Y605" t="s">
        <v>11754</v>
      </c>
      <c r="Z605" t="s">
        <v>11755</v>
      </c>
      <c r="AA605" t="s">
        <v>11756</v>
      </c>
      <c r="AB605" t="s">
        <v>11757</v>
      </c>
      <c r="AC605" t="s">
        <v>11758</v>
      </c>
      <c r="AD605" t="s">
        <v>11759</v>
      </c>
      <c r="AE605" t="s">
        <v>11760</v>
      </c>
      <c r="AF605" t="s">
        <v>74</v>
      </c>
      <c r="AG605">
        <v>113</v>
      </c>
      <c r="AH605">
        <v>63</v>
      </c>
      <c r="AI605">
        <v>63</v>
      </c>
      <c r="AJ605">
        <v>2</v>
      </c>
      <c r="AK605">
        <v>42</v>
      </c>
      <c r="AL605" t="s">
        <v>658</v>
      </c>
      <c r="AM605" t="s">
        <v>659</v>
      </c>
      <c r="AN605" t="s">
        <v>660</v>
      </c>
      <c r="AO605" t="s">
        <v>74</v>
      </c>
      <c r="AP605" t="s">
        <v>1352</v>
      </c>
      <c r="AQ605" t="s">
        <v>74</v>
      </c>
      <c r="AR605" t="s">
        <v>1353</v>
      </c>
      <c r="AS605" t="s">
        <v>1354</v>
      </c>
      <c r="AT605" t="s">
        <v>11717</v>
      </c>
      <c r="AU605">
        <v>2020</v>
      </c>
      <c r="AV605">
        <v>6</v>
      </c>
      <c r="AW605" t="s">
        <v>74</v>
      </c>
      <c r="AX605" t="s">
        <v>74</v>
      </c>
      <c r="AY605" t="s">
        <v>74</v>
      </c>
      <c r="AZ605" t="s">
        <v>74</v>
      </c>
      <c r="BA605" t="s">
        <v>74</v>
      </c>
      <c r="BB605" t="s">
        <v>74</v>
      </c>
      <c r="BC605" t="s">
        <v>74</v>
      </c>
      <c r="BD605">
        <v>775</v>
      </c>
      <c r="BE605" t="s">
        <v>11761</v>
      </c>
      <c r="BF605" t="str">
        <f>HYPERLINK("http://dx.doi.org/10.3389/fmars.2019.00775","http://dx.doi.org/10.3389/fmars.2019.00775")</f>
        <v>http://dx.doi.org/10.3389/fmars.2019.00775</v>
      </c>
      <c r="BG605" t="s">
        <v>74</v>
      </c>
      <c r="BH605" t="s">
        <v>74</v>
      </c>
      <c r="BI605">
        <v>18</v>
      </c>
      <c r="BJ605" t="s">
        <v>1356</v>
      </c>
      <c r="BK605" t="s">
        <v>1149</v>
      </c>
      <c r="BL605" t="s">
        <v>1357</v>
      </c>
      <c r="BM605" t="s">
        <v>11762</v>
      </c>
      <c r="BN605" t="s">
        <v>74</v>
      </c>
      <c r="BO605" t="s">
        <v>1359</v>
      </c>
      <c r="BP605" t="s">
        <v>74</v>
      </c>
      <c r="BQ605" t="s">
        <v>74</v>
      </c>
      <c r="BR605" t="s">
        <v>106</v>
      </c>
      <c r="BS605" t="s">
        <v>11763</v>
      </c>
      <c r="BT605" t="str">
        <f>HYPERLINK("https%3A%2F%2Fwww.webofscience.com%2Fwos%2Fwoscc%2Ffull-record%2FWOS:000507975000001","View Full Record in Web of Science")</f>
        <v>View Full Record in Web of Science</v>
      </c>
    </row>
    <row r="606" spans="1:72" x14ac:dyDescent="0.15">
      <c r="A606" t="s">
        <v>72</v>
      </c>
      <c r="B606" t="s">
        <v>11764</v>
      </c>
      <c r="C606" t="s">
        <v>74</v>
      </c>
      <c r="D606" t="s">
        <v>74</v>
      </c>
      <c r="E606" t="s">
        <v>74</v>
      </c>
      <c r="F606" t="s">
        <v>11765</v>
      </c>
      <c r="G606" t="s">
        <v>74</v>
      </c>
      <c r="H606" t="s">
        <v>74</v>
      </c>
      <c r="I606" t="s">
        <v>11766</v>
      </c>
      <c r="J606" t="s">
        <v>766</v>
      </c>
      <c r="K606" t="s">
        <v>74</v>
      </c>
      <c r="L606" t="s">
        <v>74</v>
      </c>
      <c r="M606" t="s">
        <v>78</v>
      </c>
      <c r="N606" t="s">
        <v>79</v>
      </c>
      <c r="O606" t="s">
        <v>74</v>
      </c>
      <c r="P606" t="s">
        <v>74</v>
      </c>
      <c r="Q606" t="s">
        <v>74</v>
      </c>
      <c r="R606" t="s">
        <v>74</v>
      </c>
      <c r="S606" t="s">
        <v>74</v>
      </c>
      <c r="T606" t="s">
        <v>11767</v>
      </c>
      <c r="U606" t="s">
        <v>11768</v>
      </c>
      <c r="V606" t="s">
        <v>11769</v>
      </c>
      <c r="W606" t="s">
        <v>11770</v>
      </c>
      <c r="X606" t="s">
        <v>11771</v>
      </c>
      <c r="Y606" t="s">
        <v>11772</v>
      </c>
      <c r="Z606" t="s">
        <v>11773</v>
      </c>
      <c r="AA606" t="s">
        <v>11774</v>
      </c>
      <c r="AB606" t="s">
        <v>11775</v>
      </c>
      <c r="AC606" t="s">
        <v>11776</v>
      </c>
      <c r="AD606" t="s">
        <v>11777</v>
      </c>
      <c r="AE606" t="s">
        <v>11778</v>
      </c>
      <c r="AF606" t="s">
        <v>74</v>
      </c>
      <c r="AG606">
        <v>115</v>
      </c>
      <c r="AH606">
        <v>95</v>
      </c>
      <c r="AI606">
        <v>97</v>
      </c>
      <c r="AJ606">
        <v>7</v>
      </c>
      <c r="AK606">
        <v>63</v>
      </c>
      <c r="AL606" t="s">
        <v>211</v>
      </c>
      <c r="AM606" t="s">
        <v>212</v>
      </c>
      <c r="AN606" t="s">
        <v>213</v>
      </c>
      <c r="AO606" t="s">
        <v>779</v>
      </c>
      <c r="AP606" t="s">
        <v>780</v>
      </c>
      <c r="AQ606" t="s">
        <v>74</v>
      </c>
      <c r="AR606" t="s">
        <v>781</v>
      </c>
      <c r="AS606" t="s">
        <v>782</v>
      </c>
      <c r="AT606" t="s">
        <v>128</v>
      </c>
      <c r="AU606">
        <v>2020</v>
      </c>
      <c r="AV606">
        <v>26</v>
      </c>
      <c r="AW606">
        <v>4</v>
      </c>
      <c r="AX606" t="s">
        <v>74</v>
      </c>
      <c r="AY606" t="s">
        <v>74</v>
      </c>
      <c r="AZ606" t="s">
        <v>74</v>
      </c>
      <c r="BA606" t="s">
        <v>74</v>
      </c>
      <c r="BB606">
        <v>2702</v>
      </c>
      <c r="BC606">
        <v>2716</v>
      </c>
      <c r="BD606" t="s">
        <v>74</v>
      </c>
      <c r="BE606" t="s">
        <v>11779</v>
      </c>
      <c r="BF606" t="str">
        <f>HYPERLINK("http://dx.doi.org/10.1111/gcb.14938","http://dx.doi.org/10.1111/gcb.14938")</f>
        <v>http://dx.doi.org/10.1111/gcb.14938</v>
      </c>
      <c r="BG606" t="s">
        <v>74</v>
      </c>
      <c r="BH606" t="s">
        <v>10613</v>
      </c>
      <c r="BI606">
        <v>15</v>
      </c>
      <c r="BJ606" t="s">
        <v>784</v>
      </c>
      <c r="BK606" t="s">
        <v>103</v>
      </c>
      <c r="BL606" t="s">
        <v>131</v>
      </c>
      <c r="BM606" t="s">
        <v>6100</v>
      </c>
      <c r="BN606">
        <v>31930639</v>
      </c>
      <c r="BO606" t="s">
        <v>3243</v>
      </c>
      <c r="BP606" t="s">
        <v>74</v>
      </c>
      <c r="BQ606" t="s">
        <v>74</v>
      </c>
      <c r="BR606" t="s">
        <v>106</v>
      </c>
      <c r="BS606" t="s">
        <v>11780</v>
      </c>
      <c r="BT606" t="str">
        <f>HYPERLINK("https%3A%2F%2Fwww.webofscience.com%2Fwos%2Fwoscc%2Ffull-record%2FWOS:000507121200001","View Full Record in Web of Science")</f>
        <v>View Full Record in Web of Science</v>
      </c>
    </row>
    <row r="607" spans="1:72" x14ac:dyDescent="0.15">
      <c r="A607" t="s">
        <v>72</v>
      </c>
      <c r="B607" t="s">
        <v>11781</v>
      </c>
      <c r="C607" t="s">
        <v>74</v>
      </c>
      <c r="D607" t="s">
        <v>74</v>
      </c>
      <c r="E607" t="s">
        <v>74</v>
      </c>
      <c r="F607" t="s">
        <v>11782</v>
      </c>
      <c r="G607" t="s">
        <v>74</v>
      </c>
      <c r="H607" t="s">
        <v>74</v>
      </c>
      <c r="I607" t="s">
        <v>11783</v>
      </c>
      <c r="J607" t="s">
        <v>11784</v>
      </c>
      <c r="K607" t="s">
        <v>74</v>
      </c>
      <c r="L607" t="s">
        <v>74</v>
      </c>
      <c r="M607" t="s">
        <v>78</v>
      </c>
      <c r="N607" t="s">
        <v>79</v>
      </c>
      <c r="O607" t="s">
        <v>74</v>
      </c>
      <c r="P607" t="s">
        <v>74</v>
      </c>
      <c r="Q607" t="s">
        <v>74</v>
      </c>
      <c r="R607" t="s">
        <v>74</v>
      </c>
      <c r="S607" t="s">
        <v>74</v>
      </c>
      <c r="T607" t="s">
        <v>11785</v>
      </c>
      <c r="U607" t="s">
        <v>11786</v>
      </c>
      <c r="V607" t="s">
        <v>11787</v>
      </c>
      <c r="W607" t="s">
        <v>11788</v>
      </c>
      <c r="X607" t="s">
        <v>11789</v>
      </c>
      <c r="Y607" t="s">
        <v>11790</v>
      </c>
      <c r="Z607" t="s">
        <v>11791</v>
      </c>
      <c r="AA607" t="s">
        <v>11792</v>
      </c>
      <c r="AB607" t="s">
        <v>11793</v>
      </c>
      <c r="AC607" t="s">
        <v>11794</v>
      </c>
      <c r="AD607" t="s">
        <v>11795</v>
      </c>
      <c r="AE607" t="s">
        <v>11796</v>
      </c>
      <c r="AF607" t="s">
        <v>74</v>
      </c>
      <c r="AG607">
        <v>52</v>
      </c>
      <c r="AH607">
        <v>18</v>
      </c>
      <c r="AI607">
        <v>18</v>
      </c>
      <c r="AJ607">
        <v>5</v>
      </c>
      <c r="AK607">
        <v>49</v>
      </c>
      <c r="AL607" t="s">
        <v>289</v>
      </c>
      <c r="AM607" t="s">
        <v>290</v>
      </c>
      <c r="AN607" t="s">
        <v>4862</v>
      </c>
      <c r="AO607" t="s">
        <v>11797</v>
      </c>
      <c r="AP607" t="s">
        <v>11798</v>
      </c>
      <c r="AQ607" t="s">
        <v>74</v>
      </c>
      <c r="AR607" t="s">
        <v>11799</v>
      </c>
      <c r="AS607" t="s">
        <v>11800</v>
      </c>
      <c r="AT607" t="s">
        <v>11801</v>
      </c>
      <c r="AU607">
        <v>2020</v>
      </c>
      <c r="AV607">
        <v>1610</v>
      </c>
      <c r="AW607" t="s">
        <v>74</v>
      </c>
      <c r="AX607" t="s">
        <v>74</v>
      </c>
      <c r="AY607" t="s">
        <v>74</v>
      </c>
      <c r="AZ607" t="s">
        <v>74</v>
      </c>
      <c r="BA607" t="s">
        <v>74</v>
      </c>
      <c r="BB607" t="s">
        <v>74</v>
      </c>
      <c r="BC607" t="s">
        <v>74</v>
      </c>
      <c r="BD607">
        <v>460557</v>
      </c>
      <c r="BE607" t="s">
        <v>11802</v>
      </c>
      <c r="BF607" t="str">
        <f>HYPERLINK("http://dx.doi.org/10.1016/j.chroma.2019.460557","http://dx.doi.org/10.1016/j.chroma.2019.460557")</f>
        <v>http://dx.doi.org/10.1016/j.chroma.2019.460557</v>
      </c>
      <c r="BG607" t="s">
        <v>74</v>
      </c>
      <c r="BH607" t="s">
        <v>74</v>
      </c>
      <c r="BI607">
        <v>14</v>
      </c>
      <c r="BJ607" t="s">
        <v>2115</v>
      </c>
      <c r="BK607" t="s">
        <v>103</v>
      </c>
      <c r="BL607" t="s">
        <v>2116</v>
      </c>
      <c r="BM607" t="s">
        <v>11803</v>
      </c>
      <c r="BN607">
        <v>31570193</v>
      </c>
      <c r="BO607" t="s">
        <v>74</v>
      </c>
      <c r="BP607" t="s">
        <v>74</v>
      </c>
      <c r="BQ607" t="s">
        <v>74</v>
      </c>
      <c r="BR607" t="s">
        <v>106</v>
      </c>
      <c r="BS607" t="s">
        <v>11804</v>
      </c>
      <c r="BT607" t="str">
        <f>HYPERLINK("https%3A%2F%2Fwww.webofscience.com%2Fwos%2Fwoscc%2Ffull-record%2FWOS:000509816200017","View Full Record in Web of Science")</f>
        <v>View Full Record in Web of Science</v>
      </c>
    </row>
    <row r="608" spans="1:72" x14ac:dyDescent="0.15">
      <c r="A608" t="s">
        <v>72</v>
      </c>
      <c r="B608" t="s">
        <v>11805</v>
      </c>
      <c r="C608" t="s">
        <v>74</v>
      </c>
      <c r="D608" t="s">
        <v>74</v>
      </c>
      <c r="E608" t="s">
        <v>74</v>
      </c>
      <c r="F608" t="s">
        <v>11806</v>
      </c>
      <c r="G608" t="s">
        <v>74</v>
      </c>
      <c r="H608" t="s">
        <v>74</v>
      </c>
      <c r="I608" t="s">
        <v>11807</v>
      </c>
      <c r="J608" t="s">
        <v>645</v>
      </c>
      <c r="K608" t="s">
        <v>74</v>
      </c>
      <c r="L608" t="s">
        <v>74</v>
      </c>
      <c r="M608" t="s">
        <v>78</v>
      </c>
      <c r="N608" t="s">
        <v>79</v>
      </c>
      <c r="O608" t="s">
        <v>74</v>
      </c>
      <c r="P608" t="s">
        <v>74</v>
      </c>
      <c r="Q608" t="s">
        <v>74</v>
      </c>
      <c r="R608" t="s">
        <v>74</v>
      </c>
      <c r="S608" t="s">
        <v>74</v>
      </c>
      <c r="T608" t="s">
        <v>11808</v>
      </c>
      <c r="U608" t="s">
        <v>11809</v>
      </c>
      <c r="V608" t="s">
        <v>11810</v>
      </c>
      <c r="W608" t="s">
        <v>11811</v>
      </c>
      <c r="X608" t="s">
        <v>11812</v>
      </c>
      <c r="Y608" t="s">
        <v>11813</v>
      </c>
      <c r="Z608" t="s">
        <v>11814</v>
      </c>
      <c r="AA608" t="s">
        <v>11815</v>
      </c>
      <c r="AB608" t="s">
        <v>11816</v>
      </c>
      <c r="AC608" t="s">
        <v>11817</v>
      </c>
      <c r="AD608" t="s">
        <v>11818</v>
      </c>
      <c r="AE608" t="s">
        <v>11819</v>
      </c>
      <c r="AF608" t="s">
        <v>74</v>
      </c>
      <c r="AG608">
        <v>41</v>
      </c>
      <c r="AH608">
        <v>14</v>
      </c>
      <c r="AI608">
        <v>14</v>
      </c>
      <c r="AJ608">
        <v>3</v>
      </c>
      <c r="AK608">
        <v>27</v>
      </c>
      <c r="AL608" t="s">
        <v>658</v>
      </c>
      <c r="AM608" t="s">
        <v>659</v>
      </c>
      <c r="AN608" t="s">
        <v>660</v>
      </c>
      <c r="AO608" t="s">
        <v>661</v>
      </c>
      <c r="AP608" t="s">
        <v>74</v>
      </c>
      <c r="AQ608" t="s">
        <v>74</v>
      </c>
      <c r="AR608" t="s">
        <v>662</v>
      </c>
      <c r="AS608" t="s">
        <v>663</v>
      </c>
      <c r="AT608" t="s">
        <v>11820</v>
      </c>
      <c r="AU608">
        <v>2020</v>
      </c>
      <c r="AV608">
        <v>10</v>
      </c>
      <c r="AW608" t="s">
        <v>74</v>
      </c>
      <c r="AX608" t="s">
        <v>74</v>
      </c>
      <c r="AY608" t="s">
        <v>74</v>
      </c>
      <c r="AZ608" t="s">
        <v>74</v>
      </c>
      <c r="BA608" t="s">
        <v>74</v>
      </c>
      <c r="BB608" t="s">
        <v>74</v>
      </c>
      <c r="BC608" t="s">
        <v>74</v>
      </c>
      <c r="BD608">
        <v>2983</v>
      </c>
      <c r="BE608" t="s">
        <v>11821</v>
      </c>
      <c r="BF608" t="str">
        <f>HYPERLINK("http://dx.doi.org/10.3389/fmicb.2019.02983","http://dx.doi.org/10.3389/fmicb.2019.02983")</f>
        <v>http://dx.doi.org/10.3389/fmicb.2019.02983</v>
      </c>
      <c r="BG608" t="s">
        <v>74</v>
      </c>
      <c r="BH608" t="s">
        <v>74</v>
      </c>
      <c r="BI608">
        <v>14</v>
      </c>
      <c r="BJ608" t="s">
        <v>273</v>
      </c>
      <c r="BK608" t="s">
        <v>103</v>
      </c>
      <c r="BL608" t="s">
        <v>273</v>
      </c>
      <c r="BM608" t="s">
        <v>11822</v>
      </c>
      <c r="BN608">
        <v>31998270</v>
      </c>
      <c r="BO608" t="s">
        <v>1805</v>
      </c>
      <c r="BP608" t="s">
        <v>74</v>
      </c>
      <c r="BQ608" t="s">
        <v>74</v>
      </c>
      <c r="BR608" t="s">
        <v>106</v>
      </c>
      <c r="BS608" t="s">
        <v>11823</v>
      </c>
      <c r="BT608" t="str">
        <f>HYPERLINK("https%3A%2F%2Fwww.webofscience.com%2Fwos%2Fwoscc%2Ffull-record%2FWOS:000509266600001","View Full Record in Web of Science")</f>
        <v>View Full Record in Web of Science</v>
      </c>
    </row>
    <row r="609" spans="1:72" x14ac:dyDescent="0.15">
      <c r="A609" t="s">
        <v>72</v>
      </c>
      <c r="B609" t="s">
        <v>11824</v>
      </c>
      <c r="C609" t="s">
        <v>74</v>
      </c>
      <c r="D609" t="s">
        <v>74</v>
      </c>
      <c r="E609" t="s">
        <v>74</v>
      </c>
      <c r="F609" t="s">
        <v>11825</v>
      </c>
      <c r="G609" t="s">
        <v>74</v>
      </c>
      <c r="H609" t="s">
        <v>74</v>
      </c>
      <c r="I609" t="s">
        <v>11826</v>
      </c>
      <c r="J609" t="s">
        <v>6521</v>
      </c>
      <c r="K609" t="s">
        <v>74</v>
      </c>
      <c r="L609" t="s">
        <v>74</v>
      </c>
      <c r="M609" t="s">
        <v>78</v>
      </c>
      <c r="N609" t="s">
        <v>79</v>
      </c>
      <c r="O609" t="s">
        <v>74</v>
      </c>
      <c r="P609" t="s">
        <v>74</v>
      </c>
      <c r="Q609" t="s">
        <v>74</v>
      </c>
      <c r="R609" t="s">
        <v>74</v>
      </c>
      <c r="S609" t="s">
        <v>74</v>
      </c>
      <c r="T609" t="s">
        <v>11827</v>
      </c>
      <c r="U609" t="s">
        <v>11828</v>
      </c>
      <c r="V609" t="s">
        <v>11829</v>
      </c>
      <c r="W609" t="s">
        <v>11830</v>
      </c>
      <c r="X609" t="s">
        <v>11831</v>
      </c>
      <c r="Y609" t="s">
        <v>11832</v>
      </c>
      <c r="Z609" t="s">
        <v>11833</v>
      </c>
      <c r="AA609" t="s">
        <v>11834</v>
      </c>
      <c r="AB609" t="s">
        <v>11835</v>
      </c>
      <c r="AC609" t="s">
        <v>11836</v>
      </c>
      <c r="AD609" t="s">
        <v>11836</v>
      </c>
      <c r="AE609" t="s">
        <v>11837</v>
      </c>
      <c r="AF609" t="s">
        <v>74</v>
      </c>
      <c r="AG609">
        <v>70</v>
      </c>
      <c r="AH609">
        <v>9</v>
      </c>
      <c r="AI609">
        <v>9</v>
      </c>
      <c r="AJ609">
        <v>0</v>
      </c>
      <c r="AK609">
        <v>17</v>
      </c>
      <c r="AL609" t="s">
        <v>211</v>
      </c>
      <c r="AM609" t="s">
        <v>212</v>
      </c>
      <c r="AN609" t="s">
        <v>213</v>
      </c>
      <c r="AO609" t="s">
        <v>6532</v>
      </c>
      <c r="AP609" t="s">
        <v>6533</v>
      </c>
      <c r="AQ609" t="s">
        <v>74</v>
      </c>
      <c r="AR609" t="s">
        <v>6534</v>
      </c>
      <c r="AS609" t="s">
        <v>6535</v>
      </c>
      <c r="AT609" t="s">
        <v>2912</v>
      </c>
      <c r="AU609">
        <v>2020</v>
      </c>
      <c r="AV609">
        <v>30</v>
      </c>
      <c r="AW609">
        <v>3</v>
      </c>
      <c r="AX609" t="s">
        <v>74</v>
      </c>
      <c r="AY609" t="s">
        <v>74</v>
      </c>
      <c r="AZ609" t="s">
        <v>74</v>
      </c>
      <c r="BA609" t="s">
        <v>74</v>
      </c>
      <c r="BB609">
        <v>475</v>
      </c>
      <c r="BC609">
        <v>485</v>
      </c>
      <c r="BD609" t="s">
        <v>74</v>
      </c>
      <c r="BE609" t="s">
        <v>11838</v>
      </c>
      <c r="BF609" t="str">
        <f>HYPERLINK("http://dx.doi.org/10.1002/aqc.3264","http://dx.doi.org/10.1002/aqc.3264")</f>
        <v>http://dx.doi.org/10.1002/aqc.3264</v>
      </c>
      <c r="BG609" t="s">
        <v>74</v>
      </c>
      <c r="BH609" t="s">
        <v>10613</v>
      </c>
      <c r="BI609">
        <v>11</v>
      </c>
      <c r="BJ609" t="s">
        <v>6537</v>
      </c>
      <c r="BK609" t="s">
        <v>103</v>
      </c>
      <c r="BL609" t="s">
        <v>6538</v>
      </c>
      <c r="BM609" t="s">
        <v>6539</v>
      </c>
      <c r="BN609" t="s">
        <v>74</v>
      </c>
      <c r="BO609" t="s">
        <v>74</v>
      </c>
      <c r="BP609" t="s">
        <v>74</v>
      </c>
      <c r="BQ609" t="s">
        <v>74</v>
      </c>
      <c r="BR609" t="s">
        <v>106</v>
      </c>
      <c r="BS609" t="s">
        <v>11839</v>
      </c>
      <c r="BT609" t="str">
        <f>HYPERLINK("https%3A%2F%2Fwww.webofscience.com%2Fwos%2Fwoscc%2Ffull-record%2FWOS:000506518200001","View Full Record in Web of Science")</f>
        <v>View Full Record in Web of Science</v>
      </c>
    </row>
    <row r="610" spans="1:72" x14ac:dyDescent="0.15">
      <c r="A610" t="s">
        <v>72</v>
      </c>
      <c r="B610" t="s">
        <v>11840</v>
      </c>
      <c r="C610" t="s">
        <v>74</v>
      </c>
      <c r="D610" t="s">
        <v>74</v>
      </c>
      <c r="E610" t="s">
        <v>74</v>
      </c>
      <c r="F610" t="s">
        <v>11841</v>
      </c>
      <c r="G610" t="s">
        <v>74</v>
      </c>
      <c r="H610" t="s">
        <v>74</v>
      </c>
      <c r="I610" t="s">
        <v>11842</v>
      </c>
      <c r="J610" t="s">
        <v>1700</v>
      </c>
      <c r="K610" t="s">
        <v>74</v>
      </c>
      <c r="L610" t="s">
        <v>74</v>
      </c>
      <c r="M610" t="s">
        <v>78</v>
      </c>
      <c r="N610" t="s">
        <v>79</v>
      </c>
      <c r="O610" t="s">
        <v>74</v>
      </c>
      <c r="P610" t="s">
        <v>74</v>
      </c>
      <c r="Q610" t="s">
        <v>74</v>
      </c>
      <c r="R610" t="s">
        <v>74</v>
      </c>
      <c r="S610" t="s">
        <v>74</v>
      </c>
      <c r="T610" t="s">
        <v>11843</v>
      </c>
      <c r="U610" t="s">
        <v>11844</v>
      </c>
      <c r="V610" t="s">
        <v>11845</v>
      </c>
      <c r="W610" t="s">
        <v>11846</v>
      </c>
      <c r="X610" t="s">
        <v>11847</v>
      </c>
      <c r="Y610" t="s">
        <v>11848</v>
      </c>
      <c r="Z610" t="s">
        <v>11849</v>
      </c>
      <c r="AA610" t="s">
        <v>74</v>
      </c>
      <c r="AB610" t="s">
        <v>11850</v>
      </c>
      <c r="AC610" t="s">
        <v>11851</v>
      </c>
      <c r="AD610" t="s">
        <v>11852</v>
      </c>
      <c r="AE610" t="s">
        <v>11853</v>
      </c>
      <c r="AF610" t="s">
        <v>74</v>
      </c>
      <c r="AG610">
        <v>90</v>
      </c>
      <c r="AH610">
        <v>8</v>
      </c>
      <c r="AI610">
        <v>10</v>
      </c>
      <c r="AJ610">
        <v>3</v>
      </c>
      <c r="AK610">
        <v>12</v>
      </c>
      <c r="AL610" t="s">
        <v>1709</v>
      </c>
      <c r="AM610" t="s">
        <v>1710</v>
      </c>
      <c r="AN610" t="s">
        <v>1711</v>
      </c>
      <c r="AO610" t="s">
        <v>1712</v>
      </c>
      <c r="AP610" t="s">
        <v>1713</v>
      </c>
      <c r="AQ610" t="s">
        <v>74</v>
      </c>
      <c r="AR610" t="s">
        <v>1714</v>
      </c>
      <c r="AS610" t="s">
        <v>1715</v>
      </c>
      <c r="AT610" t="s">
        <v>11854</v>
      </c>
      <c r="AU610">
        <v>2020</v>
      </c>
      <c r="AV610">
        <v>633</v>
      </c>
      <c r="AW610" t="s">
        <v>74</v>
      </c>
      <c r="AX610" t="s">
        <v>74</v>
      </c>
      <c r="AY610" t="s">
        <v>74</v>
      </c>
      <c r="AZ610" t="s">
        <v>74</v>
      </c>
      <c r="BA610" t="s">
        <v>74</v>
      </c>
      <c r="BB610">
        <v>55</v>
      </c>
      <c r="BC610">
        <v>69</v>
      </c>
      <c r="BD610" t="s">
        <v>74</v>
      </c>
      <c r="BE610" t="s">
        <v>11855</v>
      </c>
      <c r="BF610" t="str">
        <f>HYPERLINK("http://dx.doi.org/10.3354/meps13176","http://dx.doi.org/10.3354/meps13176")</f>
        <v>http://dx.doi.org/10.3354/meps13176</v>
      </c>
      <c r="BG610" t="s">
        <v>74</v>
      </c>
      <c r="BH610" t="s">
        <v>74</v>
      </c>
      <c r="BI610">
        <v>15</v>
      </c>
      <c r="BJ610" t="s">
        <v>1718</v>
      </c>
      <c r="BK610" t="s">
        <v>103</v>
      </c>
      <c r="BL610" t="s">
        <v>1719</v>
      </c>
      <c r="BM610" t="s">
        <v>11856</v>
      </c>
      <c r="BN610" t="s">
        <v>74</v>
      </c>
      <c r="BO610" t="s">
        <v>74</v>
      </c>
      <c r="BP610" t="s">
        <v>74</v>
      </c>
      <c r="BQ610" t="s">
        <v>74</v>
      </c>
      <c r="BR610" t="s">
        <v>106</v>
      </c>
      <c r="BS610" t="s">
        <v>11857</v>
      </c>
      <c r="BT610" t="str">
        <f>HYPERLINK("https%3A%2F%2Fwww.webofscience.com%2Fwos%2Fwoscc%2Ffull-record%2FWOS:000521190300004","View Full Record in Web of Science")</f>
        <v>View Full Record in Web of Science</v>
      </c>
    </row>
    <row r="611" spans="1:72" x14ac:dyDescent="0.15">
      <c r="A611" t="s">
        <v>72</v>
      </c>
      <c r="B611" t="s">
        <v>11858</v>
      </c>
      <c r="C611" t="s">
        <v>74</v>
      </c>
      <c r="D611" t="s">
        <v>74</v>
      </c>
      <c r="E611" t="s">
        <v>74</v>
      </c>
      <c r="F611" t="s">
        <v>11859</v>
      </c>
      <c r="G611" t="s">
        <v>74</v>
      </c>
      <c r="H611" t="s">
        <v>74</v>
      </c>
      <c r="I611" t="s">
        <v>11860</v>
      </c>
      <c r="J611" t="s">
        <v>1240</v>
      </c>
      <c r="K611" t="s">
        <v>74</v>
      </c>
      <c r="L611" t="s">
        <v>74</v>
      </c>
      <c r="M611" t="s">
        <v>78</v>
      </c>
      <c r="N611" t="s">
        <v>79</v>
      </c>
      <c r="O611" t="s">
        <v>74</v>
      </c>
      <c r="P611" t="s">
        <v>74</v>
      </c>
      <c r="Q611" t="s">
        <v>74</v>
      </c>
      <c r="R611" t="s">
        <v>74</v>
      </c>
      <c r="S611" t="s">
        <v>74</v>
      </c>
      <c r="T611" t="s">
        <v>74</v>
      </c>
      <c r="U611" t="s">
        <v>11861</v>
      </c>
      <c r="V611" t="s">
        <v>11862</v>
      </c>
      <c r="W611" t="s">
        <v>11863</v>
      </c>
      <c r="X611" t="s">
        <v>11864</v>
      </c>
      <c r="Y611" t="s">
        <v>11865</v>
      </c>
      <c r="Z611" t="s">
        <v>11866</v>
      </c>
      <c r="AA611" t="s">
        <v>11867</v>
      </c>
      <c r="AB611" t="s">
        <v>11868</v>
      </c>
      <c r="AC611" t="s">
        <v>11869</v>
      </c>
      <c r="AD611" t="s">
        <v>11870</v>
      </c>
      <c r="AE611" t="s">
        <v>11871</v>
      </c>
      <c r="AF611" t="s">
        <v>74</v>
      </c>
      <c r="AG611">
        <v>95</v>
      </c>
      <c r="AH611">
        <v>51</v>
      </c>
      <c r="AI611">
        <v>56</v>
      </c>
      <c r="AJ611">
        <v>4</v>
      </c>
      <c r="AK611">
        <v>48</v>
      </c>
      <c r="AL611" t="s">
        <v>753</v>
      </c>
      <c r="AM611" t="s">
        <v>545</v>
      </c>
      <c r="AN611" t="s">
        <v>1097</v>
      </c>
      <c r="AO611" t="s">
        <v>1252</v>
      </c>
      <c r="AP611" t="s">
        <v>74</v>
      </c>
      <c r="AQ611" t="s">
        <v>74</v>
      </c>
      <c r="AR611" t="s">
        <v>1253</v>
      </c>
      <c r="AS611" t="s">
        <v>1254</v>
      </c>
      <c r="AT611" t="s">
        <v>11854</v>
      </c>
      <c r="AU611">
        <v>2020</v>
      </c>
      <c r="AV611">
        <v>11</v>
      </c>
      <c r="AW611">
        <v>1</v>
      </c>
      <c r="AX611" t="s">
        <v>74</v>
      </c>
      <c r="AY611" t="s">
        <v>74</v>
      </c>
      <c r="AZ611" t="s">
        <v>74</v>
      </c>
      <c r="BA611" t="s">
        <v>74</v>
      </c>
      <c r="BB611" t="s">
        <v>74</v>
      </c>
      <c r="BC611" t="s">
        <v>74</v>
      </c>
      <c r="BD611">
        <v>134</v>
      </c>
      <c r="BE611" t="s">
        <v>11872</v>
      </c>
      <c r="BF611" t="str">
        <f>HYPERLINK("http://dx.doi.org/10.1038/s41467-019-13792-0","http://dx.doi.org/10.1038/s41467-019-13792-0")</f>
        <v>http://dx.doi.org/10.1038/s41467-019-13792-0</v>
      </c>
      <c r="BG611" t="s">
        <v>74</v>
      </c>
      <c r="BH611" t="s">
        <v>74</v>
      </c>
      <c r="BI611">
        <v>11</v>
      </c>
      <c r="BJ611" t="s">
        <v>322</v>
      </c>
      <c r="BK611" t="s">
        <v>103</v>
      </c>
      <c r="BL611" t="s">
        <v>323</v>
      </c>
      <c r="BM611" t="s">
        <v>11873</v>
      </c>
      <c r="BN611">
        <v>31919344</v>
      </c>
      <c r="BO611" t="s">
        <v>1518</v>
      </c>
      <c r="BP611" t="s">
        <v>74</v>
      </c>
      <c r="BQ611" t="s">
        <v>74</v>
      </c>
      <c r="BR611" t="s">
        <v>106</v>
      </c>
      <c r="BS611" t="s">
        <v>11874</v>
      </c>
      <c r="BT611" t="str">
        <f>HYPERLINK("https%3A%2F%2Fwww.webofscience.com%2Fwos%2Fwoscc%2Ffull-record%2FWOS:000511896900004","View Full Record in Web of Science")</f>
        <v>View Full Record in Web of Science</v>
      </c>
    </row>
    <row r="612" spans="1:72" x14ac:dyDescent="0.15">
      <c r="A612" t="s">
        <v>72</v>
      </c>
      <c r="B612" t="s">
        <v>11875</v>
      </c>
      <c r="C612" t="s">
        <v>74</v>
      </c>
      <c r="D612" t="s">
        <v>74</v>
      </c>
      <c r="E612" t="s">
        <v>74</v>
      </c>
      <c r="F612" t="s">
        <v>11876</v>
      </c>
      <c r="G612" t="s">
        <v>74</v>
      </c>
      <c r="H612" t="s">
        <v>74</v>
      </c>
      <c r="I612" t="s">
        <v>11877</v>
      </c>
      <c r="J612" t="s">
        <v>1339</v>
      </c>
      <c r="K612" t="s">
        <v>74</v>
      </c>
      <c r="L612" t="s">
        <v>74</v>
      </c>
      <c r="M612" t="s">
        <v>78</v>
      </c>
      <c r="N612" t="s">
        <v>79</v>
      </c>
      <c r="O612" t="s">
        <v>74</v>
      </c>
      <c r="P612" t="s">
        <v>74</v>
      </c>
      <c r="Q612" t="s">
        <v>74</v>
      </c>
      <c r="R612" t="s">
        <v>74</v>
      </c>
      <c r="S612" t="s">
        <v>74</v>
      </c>
      <c r="T612" t="s">
        <v>11878</v>
      </c>
      <c r="U612" t="s">
        <v>11879</v>
      </c>
      <c r="V612" t="s">
        <v>11880</v>
      </c>
      <c r="W612" t="s">
        <v>11881</v>
      </c>
      <c r="X612" t="s">
        <v>11882</v>
      </c>
      <c r="Y612" t="s">
        <v>11883</v>
      </c>
      <c r="Z612" t="s">
        <v>11884</v>
      </c>
      <c r="AA612" t="s">
        <v>11885</v>
      </c>
      <c r="AB612" t="s">
        <v>11886</v>
      </c>
      <c r="AC612" t="s">
        <v>11887</v>
      </c>
      <c r="AD612" t="s">
        <v>11888</v>
      </c>
      <c r="AE612" t="s">
        <v>11889</v>
      </c>
      <c r="AF612" t="s">
        <v>74</v>
      </c>
      <c r="AG612">
        <v>100</v>
      </c>
      <c r="AH612">
        <v>19</v>
      </c>
      <c r="AI612">
        <v>19</v>
      </c>
      <c r="AJ612">
        <v>3</v>
      </c>
      <c r="AK612">
        <v>32</v>
      </c>
      <c r="AL612" t="s">
        <v>658</v>
      </c>
      <c r="AM612" t="s">
        <v>659</v>
      </c>
      <c r="AN612" t="s">
        <v>660</v>
      </c>
      <c r="AO612" t="s">
        <v>74</v>
      </c>
      <c r="AP612" t="s">
        <v>1352</v>
      </c>
      <c r="AQ612" t="s">
        <v>74</v>
      </c>
      <c r="AR612" t="s">
        <v>1353</v>
      </c>
      <c r="AS612" t="s">
        <v>1354</v>
      </c>
      <c r="AT612" t="s">
        <v>11854</v>
      </c>
      <c r="AU612">
        <v>2020</v>
      </c>
      <c r="AV612">
        <v>6</v>
      </c>
      <c r="AW612" t="s">
        <v>74</v>
      </c>
      <c r="AX612" t="s">
        <v>74</v>
      </c>
      <c r="AY612" t="s">
        <v>74</v>
      </c>
      <c r="AZ612" t="s">
        <v>74</v>
      </c>
      <c r="BA612" t="s">
        <v>74</v>
      </c>
      <c r="BB612" t="s">
        <v>74</v>
      </c>
      <c r="BC612" t="s">
        <v>74</v>
      </c>
      <c r="BD612">
        <v>776</v>
      </c>
      <c r="BE612" t="s">
        <v>11890</v>
      </c>
      <c r="BF612" t="str">
        <f>HYPERLINK("http://dx.doi.org/10.3389/fmars.2019.00776","http://dx.doi.org/10.3389/fmars.2019.00776")</f>
        <v>http://dx.doi.org/10.3389/fmars.2019.00776</v>
      </c>
      <c r="BG612" t="s">
        <v>74</v>
      </c>
      <c r="BH612" t="s">
        <v>74</v>
      </c>
      <c r="BI612">
        <v>15</v>
      </c>
      <c r="BJ612" t="s">
        <v>1356</v>
      </c>
      <c r="BK612" t="s">
        <v>103</v>
      </c>
      <c r="BL612" t="s">
        <v>1357</v>
      </c>
      <c r="BM612" t="s">
        <v>11891</v>
      </c>
      <c r="BN612" t="s">
        <v>74</v>
      </c>
      <c r="BO612" t="s">
        <v>276</v>
      </c>
      <c r="BP612" t="s">
        <v>74</v>
      </c>
      <c r="BQ612" t="s">
        <v>74</v>
      </c>
      <c r="BR612" t="s">
        <v>106</v>
      </c>
      <c r="BS612" t="s">
        <v>11892</v>
      </c>
      <c r="BT612" t="str">
        <f>HYPERLINK("https%3A%2F%2Fwww.webofscience.com%2Fwos%2Fwoscc%2Ffull-record%2FWOS:000506838000001","View Full Record in Web of Science")</f>
        <v>View Full Record in Web of Science</v>
      </c>
    </row>
    <row r="613" spans="1:72" x14ac:dyDescent="0.15">
      <c r="A613" t="s">
        <v>72</v>
      </c>
      <c r="B613" t="s">
        <v>11893</v>
      </c>
      <c r="C613" t="s">
        <v>74</v>
      </c>
      <c r="D613" t="s">
        <v>74</v>
      </c>
      <c r="E613" t="s">
        <v>74</v>
      </c>
      <c r="F613" t="s">
        <v>11894</v>
      </c>
      <c r="G613" t="s">
        <v>74</v>
      </c>
      <c r="H613" t="s">
        <v>74</v>
      </c>
      <c r="I613" t="s">
        <v>11895</v>
      </c>
      <c r="J613" t="s">
        <v>5864</v>
      </c>
      <c r="K613" t="s">
        <v>74</v>
      </c>
      <c r="L613" t="s">
        <v>74</v>
      </c>
      <c r="M613" t="s">
        <v>78</v>
      </c>
      <c r="N613" t="s">
        <v>79</v>
      </c>
      <c r="O613" t="s">
        <v>74</v>
      </c>
      <c r="P613" t="s">
        <v>74</v>
      </c>
      <c r="Q613" t="s">
        <v>74</v>
      </c>
      <c r="R613" t="s">
        <v>74</v>
      </c>
      <c r="S613" t="s">
        <v>74</v>
      </c>
      <c r="T613" t="s">
        <v>11896</v>
      </c>
      <c r="U613" t="s">
        <v>11897</v>
      </c>
      <c r="V613" t="s">
        <v>11898</v>
      </c>
      <c r="W613" t="s">
        <v>11899</v>
      </c>
      <c r="X613" t="s">
        <v>11900</v>
      </c>
      <c r="Y613" t="s">
        <v>11901</v>
      </c>
      <c r="Z613" t="s">
        <v>11902</v>
      </c>
      <c r="AA613" t="s">
        <v>11903</v>
      </c>
      <c r="AB613" t="s">
        <v>11904</v>
      </c>
      <c r="AC613" t="s">
        <v>11905</v>
      </c>
      <c r="AD613" t="s">
        <v>11906</v>
      </c>
      <c r="AE613" t="s">
        <v>11907</v>
      </c>
      <c r="AF613" t="s">
        <v>74</v>
      </c>
      <c r="AG613">
        <v>124</v>
      </c>
      <c r="AH613">
        <v>4</v>
      </c>
      <c r="AI613">
        <v>5</v>
      </c>
      <c r="AJ613">
        <v>0</v>
      </c>
      <c r="AK613">
        <v>21</v>
      </c>
      <c r="AL613" t="s">
        <v>5876</v>
      </c>
      <c r="AM613" t="s">
        <v>545</v>
      </c>
      <c r="AN613" t="s">
        <v>5877</v>
      </c>
      <c r="AO613" t="s">
        <v>5878</v>
      </c>
      <c r="AP613" t="s">
        <v>74</v>
      </c>
      <c r="AQ613" t="s">
        <v>74</v>
      </c>
      <c r="AR613" t="s">
        <v>5864</v>
      </c>
      <c r="AS613" t="s">
        <v>5879</v>
      </c>
      <c r="AT613" t="s">
        <v>11854</v>
      </c>
      <c r="AU613">
        <v>2020</v>
      </c>
      <c r="AV613">
        <v>8</v>
      </c>
      <c r="AW613" t="s">
        <v>74</v>
      </c>
      <c r="AX613" t="s">
        <v>74</v>
      </c>
      <c r="AY613" t="s">
        <v>74</v>
      </c>
      <c r="AZ613" t="s">
        <v>74</v>
      </c>
      <c r="BA613" t="s">
        <v>74</v>
      </c>
      <c r="BB613" t="s">
        <v>74</v>
      </c>
      <c r="BC613" t="s">
        <v>74</v>
      </c>
      <c r="BD613" t="s">
        <v>11908</v>
      </c>
      <c r="BE613" t="s">
        <v>11909</v>
      </c>
      <c r="BF613" t="str">
        <f>HYPERLINK("http://dx.doi.org/10.7717/peerj.8268","http://dx.doi.org/10.7717/peerj.8268")</f>
        <v>http://dx.doi.org/10.7717/peerj.8268</v>
      </c>
      <c r="BG613" t="s">
        <v>74</v>
      </c>
      <c r="BH613" t="s">
        <v>74</v>
      </c>
      <c r="BI613">
        <v>27</v>
      </c>
      <c r="BJ613" t="s">
        <v>322</v>
      </c>
      <c r="BK613" t="s">
        <v>103</v>
      </c>
      <c r="BL613" t="s">
        <v>323</v>
      </c>
      <c r="BM613" t="s">
        <v>11910</v>
      </c>
      <c r="BN613">
        <v>31942255</v>
      </c>
      <c r="BO613" t="s">
        <v>1359</v>
      </c>
      <c r="BP613" t="s">
        <v>74</v>
      </c>
      <c r="BQ613" t="s">
        <v>74</v>
      </c>
      <c r="BR613" t="s">
        <v>106</v>
      </c>
      <c r="BS613" t="s">
        <v>11911</v>
      </c>
      <c r="BT613" t="str">
        <f>HYPERLINK("https%3A%2F%2Fwww.webofscience.com%2Fwos%2Fwoscc%2Ffull-record%2FWOS:000506576300006","View Full Record in Web of Science")</f>
        <v>View Full Record in Web of Science</v>
      </c>
    </row>
    <row r="614" spans="1:72" x14ac:dyDescent="0.15">
      <c r="A614" t="s">
        <v>72</v>
      </c>
      <c r="B614" t="s">
        <v>11912</v>
      </c>
      <c r="C614" t="s">
        <v>74</v>
      </c>
      <c r="D614" t="s">
        <v>74</v>
      </c>
      <c r="E614" t="s">
        <v>74</v>
      </c>
      <c r="F614" t="s">
        <v>11913</v>
      </c>
      <c r="G614" t="s">
        <v>74</v>
      </c>
      <c r="H614" t="s">
        <v>74</v>
      </c>
      <c r="I614" t="s">
        <v>11914</v>
      </c>
      <c r="J614" t="s">
        <v>2332</v>
      </c>
      <c r="K614" t="s">
        <v>74</v>
      </c>
      <c r="L614" t="s">
        <v>74</v>
      </c>
      <c r="M614" t="s">
        <v>78</v>
      </c>
      <c r="N614" t="s">
        <v>79</v>
      </c>
      <c r="O614" t="s">
        <v>74</v>
      </c>
      <c r="P614" t="s">
        <v>74</v>
      </c>
      <c r="Q614" t="s">
        <v>74</v>
      </c>
      <c r="R614" t="s">
        <v>74</v>
      </c>
      <c r="S614" t="s">
        <v>74</v>
      </c>
      <c r="T614" t="s">
        <v>74</v>
      </c>
      <c r="U614" t="s">
        <v>11915</v>
      </c>
      <c r="V614" t="s">
        <v>11916</v>
      </c>
      <c r="W614" t="s">
        <v>11917</v>
      </c>
      <c r="X614" t="s">
        <v>11918</v>
      </c>
      <c r="Y614" t="s">
        <v>11919</v>
      </c>
      <c r="Z614" t="s">
        <v>11920</v>
      </c>
      <c r="AA614" t="s">
        <v>11921</v>
      </c>
      <c r="AB614" t="s">
        <v>11922</v>
      </c>
      <c r="AC614" t="s">
        <v>11923</v>
      </c>
      <c r="AD614" t="s">
        <v>11924</v>
      </c>
      <c r="AE614" t="s">
        <v>11925</v>
      </c>
      <c r="AF614" t="s">
        <v>74</v>
      </c>
      <c r="AG614">
        <v>106</v>
      </c>
      <c r="AH614">
        <v>5</v>
      </c>
      <c r="AI614">
        <v>5</v>
      </c>
      <c r="AJ614">
        <v>0</v>
      </c>
      <c r="AK614">
        <v>4</v>
      </c>
      <c r="AL614" t="s">
        <v>976</v>
      </c>
      <c r="AM614" t="s">
        <v>977</v>
      </c>
      <c r="AN614" t="s">
        <v>978</v>
      </c>
      <c r="AO614" t="s">
        <v>2344</v>
      </c>
      <c r="AP614" t="s">
        <v>2345</v>
      </c>
      <c r="AQ614" t="s">
        <v>74</v>
      </c>
      <c r="AR614" t="s">
        <v>2346</v>
      </c>
      <c r="AS614" t="s">
        <v>2347</v>
      </c>
      <c r="AT614" t="s">
        <v>11854</v>
      </c>
      <c r="AU614">
        <v>2020</v>
      </c>
      <c r="AV614">
        <v>13</v>
      </c>
      <c r="AW614">
        <v>1</v>
      </c>
      <c r="AX614" t="s">
        <v>74</v>
      </c>
      <c r="AY614" t="s">
        <v>74</v>
      </c>
      <c r="AZ614" t="s">
        <v>74</v>
      </c>
      <c r="BA614" t="s">
        <v>74</v>
      </c>
      <c r="BB614">
        <v>71</v>
      </c>
      <c r="BC614">
        <v>97</v>
      </c>
      <c r="BD614" t="s">
        <v>74</v>
      </c>
      <c r="BE614" t="s">
        <v>11926</v>
      </c>
      <c r="BF614" t="str">
        <f>HYPERLINK("http://dx.doi.org/10.5194/gmd-13-71-2020","http://dx.doi.org/10.5194/gmd-13-71-2020")</f>
        <v>http://dx.doi.org/10.5194/gmd-13-71-2020</v>
      </c>
      <c r="BG614" t="s">
        <v>74</v>
      </c>
      <c r="BH614" t="s">
        <v>74</v>
      </c>
      <c r="BI614">
        <v>27</v>
      </c>
      <c r="BJ614" t="s">
        <v>246</v>
      </c>
      <c r="BK614" t="s">
        <v>103</v>
      </c>
      <c r="BL614" t="s">
        <v>247</v>
      </c>
      <c r="BM614" t="s">
        <v>11927</v>
      </c>
      <c r="BN614" t="s">
        <v>74</v>
      </c>
      <c r="BO614" t="s">
        <v>6143</v>
      </c>
      <c r="BP614" t="s">
        <v>74</v>
      </c>
      <c r="BQ614" t="s">
        <v>74</v>
      </c>
      <c r="BR614" t="s">
        <v>106</v>
      </c>
      <c r="BS614" t="s">
        <v>11928</v>
      </c>
      <c r="BT614" t="str">
        <f>HYPERLINK("https%3A%2F%2Fwww.webofscience.com%2Fwos%2Fwoscc%2Ffull-record%2FWOS:000506337200001","View Full Record in Web of Science")</f>
        <v>View Full Record in Web of Science</v>
      </c>
    </row>
    <row r="615" spans="1:72" x14ac:dyDescent="0.15">
      <c r="A615" t="s">
        <v>72</v>
      </c>
      <c r="B615" t="s">
        <v>11929</v>
      </c>
      <c r="C615" t="s">
        <v>74</v>
      </c>
      <c r="D615" t="s">
        <v>74</v>
      </c>
      <c r="E615" t="s">
        <v>74</v>
      </c>
      <c r="F615" t="s">
        <v>11930</v>
      </c>
      <c r="G615" t="s">
        <v>74</v>
      </c>
      <c r="H615" t="s">
        <v>74</v>
      </c>
      <c r="I615" t="s">
        <v>11931</v>
      </c>
      <c r="J615" t="s">
        <v>11932</v>
      </c>
      <c r="K615" t="s">
        <v>74</v>
      </c>
      <c r="L615" t="s">
        <v>74</v>
      </c>
      <c r="M615" t="s">
        <v>78</v>
      </c>
      <c r="N615" t="s">
        <v>79</v>
      </c>
      <c r="O615" t="s">
        <v>74</v>
      </c>
      <c r="P615" t="s">
        <v>74</v>
      </c>
      <c r="Q615" t="s">
        <v>74</v>
      </c>
      <c r="R615" t="s">
        <v>74</v>
      </c>
      <c r="S615" t="s">
        <v>74</v>
      </c>
      <c r="T615" t="s">
        <v>11933</v>
      </c>
      <c r="U615" t="s">
        <v>11934</v>
      </c>
      <c r="V615" t="s">
        <v>11935</v>
      </c>
      <c r="W615" t="s">
        <v>11936</v>
      </c>
      <c r="X615" t="s">
        <v>6315</v>
      </c>
      <c r="Y615" t="s">
        <v>11937</v>
      </c>
      <c r="Z615" t="s">
        <v>11938</v>
      </c>
      <c r="AA615" t="s">
        <v>11939</v>
      </c>
      <c r="AB615" t="s">
        <v>11940</v>
      </c>
      <c r="AC615" t="s">
        <v>11941</v>
      </c>
      <c r="AD615" t="s">
        <v>11942</v>
      </c>
      <c r="AE615" t="s">
        <v>11943</v>
      </c>
      <c r="AF615" t="s">
        <v>74</v>
      </c>
      <c r="AG615">
        <v>63</v>
      </c>
      <c r="AH615">
        <v>8</v>
      </c>
      <c r="AI615">
        <v>9</v>
      </c>
      <c r="AJ615">
        <v>0</v>
      </c>
      <c r="AK615">
        <v>10</v>
      </c>
      <c r="AL615" t="s">
        <v>211</v>
      </c>
      <c r="AM615" t="s">
        <v>212</v>
      </c>
      <c r="AN615" t="s">
        <v>213</v>
      </c>
      <c r="AO615" t="s">
        <v>11944</v>
      </c>
      <c r="AP615" t="s">
        <v>11945</v>
      </c>
      <c r="AQ615" t="s">
        <v>74</v>
      </c>
      <c r="AR615" t="s">
        <v>11946</v>
      </c>
      <c r="AS615" t="s">
        <v>11947</v>
      </c>
      <c r="AT615" t="s">
        <v>803</v>
      </c>
      <c r="AU615">
        <v>2020</v>
      </c>
      <c r="AV615">
        <v>39</v>
      </c>
      <c r="AW615">
        <v>2</v>
      </c>
      <c r="AX615" t="s">
        <v>74</v>
      </c>
      <c r="AY615" t="s">
        <v>74</v>
      </c>
      <c r="AZ615" t="s">
        <v>74</v>
      </c>
      <c r="BA615" t="s">
        <v>74</v>
      </c>
      <c r="BB615">
        <v>482</v>
      </c>
      <c r="BC615">
        <v>491</v>
      </c>
      <c r="BD615" t="s">
        <v>74</v>
      </c>
      <c r="BE615" t="s">
        <v>11948</v>
      </c>
      <c r="BF615" t="str">
        <f>HYPERLINK("http://dx.doi.org/10.1002/etc.4630","http://dx.doi.org/10.1002/etc.4630")</f>
        <v>http://dx.doi.org/10.1002/etc.4630</v>
      </c>
      <c r="BG615" t="s">
        <v>74</v>
      </c>
      <c r="BH615" t="s">
        <v>10613</v>
      </c>
      <c r="BI615">
        <v>10</v>
      </c>
      <c r="BJ615" t="s">
        <v>11949</v>
      </c>
      <c r="BK615" t="s">
        <v>103</v>
      </c>
      <c r="BL615" t="s">
        <v>11950</v>
      </c>
      <c r="BM615" t="s">
        <v>11951</v>
      </c>
      <c r="BN615">
        <v>31692101</v>
      </c>
      <c r="BO615" t="s">
        <v>74</v>
      </c>
      <c r="BP615" t="s">
        <v>74</v>
      </c>
      <c r="BQ615" t="s">
        <v>74</v>
      </c>
      <c r="BR615" t="s">
        <v>106</v>
      </c>
      <c r="BS615" t="s">
        <v>11952</v>
      </c>
      <c r="BT615" t="str">
        <f>HYPERLINK("https%3A%2F%2Fwww.webofscience.com%2Fwos%2Fwoscc%2Ffull-record%2FWOS:000506307400001","View Full Record in Web of Science")</f>
        <v>View Full Record in Web of Science</v>
      </c>
    </row>
    <row r="616" spans="1:72" x14ac:dyDescent="0.15">
      <c r="A616" t="s">
        <v>72</v>
      </c>
      <c r="B616" t="s">
        <v>11953</v>
      </c>
      <c r="C616" t="s">
        <v>74</v>
      </c>
      <c r="D616" t="s">
        <v>74</v>
      </c>
      <c r="E616" t="s">
        <v>74</v>
      </c>
      <c r="F616" t="s">
        <v>11954</v>
      </c>
      <c r="G616" t="s">
        <v>74</v>
      </c>
      <c r="H616" t="s">
        <v>74</v>
      </c>
      <c r="I616" t="s">
        <v>11955</v>
      </c>
      <c r="J616" t="s">
        <v>940</v>
      </c>
      <c r="K616" t="s">
        <v>74</v>
      </c>
      <c r="L616" t="s">
        <v>74</v>
      </c>
      <c r="M616" t="s">
        <v>78</v>
      </c>
      <c r="N616" t="s">
        <v>79</v>
      </c>
      <c r="O616" t="s">
        <v>74</v>
      </c>
      <c r="P616" t="s">
        <v>74</v>
      </c>
      <c r="Q616" t="s">
        <v>74</v>
      </c>
      <c r="R616" t="s">
        <v>74</v>
      </c>
      <c r="S616" t="s">
        <v>74</v>
      </c>
      <c r="T616" t="s">
        <v>74</v>
      </c>
      <c r="U616" t="s">
        <v>11956</v>
      </c>
      <c r="V616" t="s">
        <v>11957</v>
      </c>
      <c r="W616" t="s">
        <v>11958</v>
      </c>
      <c r="X616" t="s">
        <v>11959</v>
      </c>
      <c r="Y616" t="s">
        <v>11960</v>
      </c>
      <c r="Z616" t="s">
        <v>11961</v>
      </c>
      <c r="AA616" t="s">
        <v>11962</v>
      </c>
      <c r="AB616" t="s">
        <v>11963</v>
      </c>
      <c r="AC616" t="s">
        <v>11964</v>
      </c>
      <c r="AD616" t="s">
        <v>11965</v>
      </c>
      <c r="AE616" t="s">
        <v>11966</v>
      </c>
      <c r="AF616" t="s">
        <v>74</v>
      </c>
      <c r="AG616">
        <v>89</v>
      </c>
      <c r="AH616">
        <v>42</v>
      </c>
      <c r="AI616">
        <v>50</v>
      </c>
      <c r="AJ616">
        <v>2</v>
      </c>
      <c r="AK616">
        <v>26</v>
      </c>
      <c r="AL616" t="s">
        <v>951</v>
      </c>
      <c r="AM616" t="s">
        <v>952</v>
      </c>
      <c r="AN616" t="s">
        <v>953</v>
      </c>
      <c r="AO616" t="s">
        <v>954</v>
      </c>
      <c r="AP616" t="s">
        <v>74</v>
      </c>
      <c r="AQ616" t="s">
        <v>74</v>
      </c>
      <c r="AR616" t="s">
        <v>955</v>
      </c>
      <c r="AS616" t="s">
        <v>956</v>
      </c>
      <c r="AT616" t="s">
        <v>11854</v>
      </c>
      <c r="AU616">
        <v>2020</v>
      </c>
      <c r="AV616">
        <v>10</v>
      </c>
      <c r="AW616">
        <v>1</v>
      </c>
      <c r="AX616" t="s">
        <v>74</v>
      </c>
      <c r="AY616" t="s">
        <v>74</v>
      </c>
      <c r="AZ616" t="s">
        <v>74</v>
      </c>
      <c r="BA616" t="s">
        <v>74</v>
      </c>
      <c r="BB616" t="s">
        <v>74</v>
      </c>
      <c r="BC616" t="s">
        <v>74</v>
      </c>
      <c r="BD616">
        <v>101</v>
      </c>
      <c r="BE616" t="s">
        <v>11967</v>
      </c>
      <c r="BF616" t="str">
        <f>HYPERLINK("http://dx.doi.org/10.1038/s41598-019-56728-w","http://dx.doi.org/10.1038/s41598-019-56728-w")</f>
        <v>http://dx.doi.org/10.1038/s41598-019-56728-w</v>
      </c>
      <c r="BG616" t="s">
        <v>74</v>
      </c>
      <c r="BH616" t="s">
        <v>74</v>
      </c>
      <c r="BI616">
        <v>8</v>
      </c>
      <c r="BJ616" t="s">
        <v>322</v>
      </c>
      <c r="BK616" t="s">
        <v>103</v>
      </c>
      <c r="BL616" t="s">
        <v>323</v>
      </c>
      <c r="BM616" t="s">
        <v>11968</v>
      </c>
      <c r="BN616">
        <v>31919367</v>
      </c>
      <c r="BO616" t="s">
        <v>276</v>
      </c>
      <c r="BP616" t="s">
        <v>74</v>
      </c>
      <c r="BQ616" t="s">
        <v>74</v>
      </c>
      <c r="BR616" t="s">
        <v>106</v>
      </c>
      <c r="BS616" t="s">
        <v>11969</v>
      </c>
      <c r="BT616" t="str">
        <f>HYPERLINK("https%3A%2F%2Fwww.webofscience.com%2Fwos%2Fwoscc%2Ffull-record%2FWOS:000517989900052","View Full Record in Web of Science")</f>
        <v>View Full Record in Web of Science</v>
      </c>
    </row>
    <row r="617" spans="1:72" x14ac:dyDescent="0.15">
      <c r="A617" t="s">
        <v>72</v>
      </c>
      <c r="B617" t="s">
        <v>11970</v>
      </c>
      <c r="C617" t="s">
        <v>74</v>
      </c>
      <c r="D617" t="s">
        <v>74</v>
      </c>
      <c r="E617" t="s">
        <v>74</v>
      </c>
      <c r="F617" t="s">
        <v>11971</v>
      </c>
      <c r="G617" t="s">
        <v>74</v>
      </c>
      <c r="H617" t="s">
        <v>74</v>
      </c>
      <c r="I617" t="s">
        <v>11972</v>
      </c>
      <c r="J617" t="s">
        <v>1726</v>
      </c>
      <c r="K617" t="s">
        <v>74</v>
      </c>
      <c r="L617" t="s">
        <v>74</v>
      </c>
      <c r="M617" t="s">
        <v>78</v>
      </c>
      <c r="N617" t="s">
        <v>79</v>
      </c>
      <c r="O617" t="s">
        <v>74</v>
      </c>
      <c r="P617" t="s">
        <v>74</v>
      </c>
      <c r="Q617" t="s">
        <v>74</v>
      </c>
      <c r="R617" t="s">
        <v>74</v>
      </c>
      <c r="S617" t="s">
        <v>74</v>
      </c>
      <c r="T617" t="s">
        <v>74</v>
      </c>
      <c r="U617" t="s">
        <v>11973</v>
      </c>
      <c r="V617" t="s">
        <v>11974</v>
      </c>
      <c r="W617" t="s">
        <v>11975</v>
      </c>
      <c r="X617" t="s">
        <v>11976</v>
      </c>
      <c r="Y617" t="s">
        <v>11977</v>
      </c>
      <c r="Z617" t="s">
        <v>11978</v>
      </c>
      <c r="AA617" t="s">
        <v>11979</v>
      </c>
      <c r="AB617" t="s">
        <v>11980</v>
      </c>
      <c r="AC617" t="s">
        <v>11981</v>
      </c>
      <c r="AD617" t="s">
        <v>11982</v>
      </c>
      <c r="AE617" t="s">
        <v>11983</v>
      </c>
      <c r="AF617" t="s">
        <v>74</v>
      </c>
      <c r="AG617">
        <v>76</v>
      </c>
      <c r="AH617">
        <v>37</v>
      </c>
      <c r="AI617">
        <v>38</v>
      </c>
      <c r="AJ617">
        <v>0</v>
      </c>
      <c r="AK617">
        <v>7</v>
      </c>
      <c r="AL617" t="s">
        <v>976</v>
      </c>
      <c r="AM617" t="s">
        <v>977</v>
      </c>
      <c r="AN617" t="s">
        <v>978</v>
      </c>
      <c r="AO617" t="s">
        <v>1738</v>
      </c>
      <c r="AP617" t="s">
        <v>1739</v>
      </c>
      <c r="AQ617" t="s">
        <v>74</v>
      </c>
      <c r="AR617" t="s">
        <v>1740</v>
      </c>
      <c r="AS617" t="s">
        <v>1741</v>
      </c>
      <c r="AT617" t="s">
        <v>11984</v>
      </c>
      <c r="AU617">
        <v>2020</v>
      </c>
      <c r="AV617">
        <v>16</v>
      </c>
      <c r="AW617">
        <v>1</v>
      </c>
      <c r="AX617" t="s">
        <v>74</v>
      </c>
      <c r="AY617" t="s">
        <v>74</v>
      </c>
      <c r="AZ617" t="s">
        <v>74</v>
      </c>
      <c r="BA617" t="s">
        <v>74</v>
      </c>
      <c r="BB617">
        <v>29</v>
      </c>
      <c r="BC617">
        <v>50</v>
      </c>
      <c r="BD617" t="s">
        <v>74</v>
      </c>
      <c r="BE617" t="s">
        <v>11985</v>
      </c>
      <c r="BF617" t="str">
        <f>HYPERLINK("http://dx.doi.org/10.5194/cp-16-29-2020","http://dx.doi.org/10.5194/cp-16-29-2020")</f>
        <v>http://dx.doi.org/10.5194/cp-16-29-2020</v>
      </c>
      <c r="BG617" t="s">
        <v>74</v>
      </c>
      <c r="BH617" t="s">
        <v>74</v>
      </c>
      <c r="BI617">
        <v>22</v>
      </c>
      <c r="BJ617" t="s">
        <v>1743</v>
      </c>
      <c r="BK617" t="s">
        <v>103</v>
      </c>
      <c r="BL617" t="s">
        <v>1744</v>
      </c>
      <c r="BM617" t="s">
        <v>11986</v>
      </c>
      <c r="BN617" t="s">
        <v>74</v>
      </c>
      <c r="BO617" t="s">
        <v>276</v>
      </c>
      <c r="BP617" t="s">
        <v>74</v>
      </c>
      <c r="BQ617" t="s">
        <v>74</v>
      </c>
      <c r="BR617" t="s">
        <v>106</v>
      </c>
      <c r="BS617" t="s">
        <v>11987</v>
      </c>
      <c r="BT617" t="str">
        <f>HYPERLINK("https%3A%2F%2Fwww.webofscience.com%2Fwos%2Fwoscc%2Ffull-record%2FWOS:000506334800001","View Full Record in Web of Science")</f>
        <v>View Full Record in Web of Science</v>
      </c>
    </row>
    <row r="618" spans="1:72" x14ac:dyDescent="0.15">
      <c r="A618" t="s">
        <v>72</v>
      </c>
      <c r="B618" t="s">
        <v>11988</v>
      </c>
      <c r="C618" t="s">
        <v>74</v>
      </c>
      <c r="D618" t="s">
        <v>74</v>
      </c>
      <c r="E618" t="s">
        <v>74</v>
      </c>
      <c r="F618" t="s">
        <v>11989</v>
      </c>
      <c r="G618" t="s">
        <v>74</v>
      </c>
      <c r="H618" t="s">
        <v>74</v>
      </c>
      <c r="I618" t="s">
        <v>11990</v>
      </c>
      <c r="J618" t="s">
        <v>2826</v>
      </c>
      <c r="K618" t="s">
        <v>74</v>
      </c>
      <c r="L618" t="s">
        <v>74</v>
      </c>
      <c r="M618" t="s">
        <v>78</v>
      </c>
      <c r="N618" t="s">
        <v>79</v>
      </c>
      <c r="O618" t="s">
        <v>74</v>
      </c>
      <c r="P618" t="s">
        <v>74</v>
      </c>
      <c r="Q618" t="s">
        <v>74</v>
      </c>
      <c r="R618" t="s">
        <v>74</v>
      </c>
      <c r="S618" t="s">
        <v>74</v>
      </c>
      <c r="T618" t="s">
        <v>74</v>
      </c>
      <c r="U618" t="s">
        <v>11991</v>
      </c>
      <c r="V618" t="s">
        <v>11992</v>
      </c>
      <c r="W618" t="s">
        <v>11993</v>
      </c>
      <c r="X618" t="s">
        <v>11994</v>
      </c>
      <c r="Y618" t="s">
        <v>11995</v>
      </c>
      <c r="Z618" t="s">
        <v>11996</v>
      </c>
      <c r="AA618" t="s">
        <v>11997</v>
      </c>
      <c r="AB618" t="s">
        <v>11998</v>
      </c>
      <c r="AC618" t="s">
        <v>11999</v>
      </c>
      <c r="AD618" t="s">
        <v>12000</v>
      </c>
      <c r="AE618" t="s">
        <v>12001</v>
      </c>
      <c r="AF618" t="s">
        <v>74</v>
      </c>
      <c r="AG618">
        <v>65</v>
      </c>
      <c r="AH618">
        <v>16</v>
      </c>
      <c r="AI618">
        <v>16</v>
      </c>
      <c r="AJ618">
        <v>5</v>
      </c>
      <c r="AK618">
        <v>67</v>
      </c>
      <c r="AL618" t="s">
        <v>925</v>
      </c>
      <c r="AM618" t="s">
        <v>266</v>
      </c>
      <c r="AN618" t="s">
        <v>926</v>
      </c>
      <c r="AO618" t="s">
        <v>2838</v>
      </c>
      <c r="AP618" t="s">
        <v>2839</v>
      </c>
      <c r="AQ618" t="s">
        <v>74</v>
      </c>
      <c r="AR618" t="s">
        <v>2840</v>
      </c>
      <c r="AS618" t="s">
        <v>2841</v>
      </c>
      <c r="AT618" t="s">
        <v>12002</v>
      </c>
      <c r="AU618">
        <v>2020</v>
      </c>
      <c r="AV618">
        <v>54</v>
      </c>
      <c r="AW618">
        <v>1</v>
      </c>
      <c r="AX618" t="s">
        <v>74</v>
      </c>
      <c r="AY618" t="s">
        <v>74</v>
      </c>
      <c r="AZ618" t="s">
        <v>74</v>
      </c>
      <c r="BA618" t="s">
        <v>74</v>
      </c>
      <c r="BB618">
        <v>306</v>
      </c>
      <c r="BC618">
        <v>315</v>
      </c>
      <c r="BD618" t="s">
        <v>74</v>
      </c>
      <c r="BE618" t="s">
        <v>12003</v>
      </c>
      <c r="BF618" t="str">
        <f>HYPERLINK("http://dx.doi.org/10.1021/acs.est.9b04497","http://dx.doi.org/10.1021/acs.est.9b04497")</f>
        <v>http://dx.doi.org/10.1021/acs.est.9b04497</v>
      </c>
      <c r="BG618" t="s">
        <v>74</v>
      </c>
      <c r="BH618" t="s">
        <v>74</v>
      </c>
      <c r="BI618">
        <v>10</v>
      </c>
      <c r="BJ618" t="s">
        <v>2843</v>
      </c>
      <c r="BK618" t="s">
        <v>103</v>
      </c>
      <c r="BL618" t="s">
        <v>2844</v>
      </c>
      <c r="BM618" t="s">
        <v>12004</v>
      </c>
      <c r="BN618">
        <v>31657908</v>
      </c>
      <c r="BO618" t="s">
        <v>193</v>
      </c>
      <c r="BP618" t="s">
        <v>74</v>
      </c>
      <c r="BQ618" t="s">
        <v>74</v>
      </c>
      <c r="BR618" t="s">
        <v>106</v>
      </c>
      <c r="BS618" t="s">
        <v>12005</v>
      </c>
      <c r="BT618" t="str">
        <f>HYPERLINK("https%3A%2F%2Fwww.webofscience.com%2Fwos%2Fwoscc%2Ffull-record%2FWOS:000506723200033","View Full Record in Web of Science")</f>
        <v>View Full Record in Web of Science</v>
      </c>
    </row>
    <row r="619" spans="1:72" x14ac:dyDescent="0.15">
      <c r="A619" t="s">
        <v>72</v>
      </c>
      <c r="B619" t="s">
        <v>12006</v>
      </c>
      <c r="C619" t="s">
        <v>74</v>
      </c>
      <c r="D619" t="s">
        <v>74</v>
      </c>
      <c r="E619" t="s">
        <v>74</v>
      </c>
      <c r="F619" t="s">
        <v>12007</v>
      </c>
      <c r="G619" t="s">
        <v>74</v>
      </c>
      <c r="H619" t="s">
        <v>74</v>
      </c>
      <c r="I619" t="s">
        <v>12008</v>
      </c>
      <c r="J619" t="s">
        <v>12009</v>
      </c>
      <c r="K619" t="s">
        <v>74</v>
      </c>
      <c r="L619" t="s">
        <v>74</v>
      </c>
      <c r="M619" t="s">
        <v>78</v>
      </c>
      <c r="N619" t="s">
        <v>79</v>
      </c>
      <c r="O619" t="s">
        <v>74</v>
      </c>
      <c r="P619" t="s">
        <v>74</v>
      </c>
      <c r="Q619" t="s">
        <v>74</v>
      </c>
      <c r="R619" t="s">
        <v>74</v>
      </c>
      <c r="S619" t="s">
        <v>74</v>
      </c>
      <c r="T619" t="s">
        <v>12010</v>
      </c>
      <c r="U619" t="s">
        <v>12011</v>
      </c>
      <c r="V619" t="s">
        <v>12012</v>
      </c>
      <c r="W619" t="s">
        <v>12013</v>
      </c>
      <c r="X619" t="s">
        <v>12014</v>
      </c>
      <c r="Y619" t="s">
        <v>12015</v>
      </c>
      <c r="Z619" t="s">
        <v>12016</v>
      </c>
      <c r="AA619" t="s">
        <v>12017</v>
      </c>
      <c r="AB619" t="s">
        <v>12018</v>
      </c>
      <c r="AC619" t="s">
        <v>12019</v>
      </c>
      <c r="AD619" t="s">
        <v>12020</v>
      </c>
      <c r="AE619" t="s">
        <v>12021</v>
      </c>
      <c r="AF619" t="s">
        <v>74</v>
      </c>
      <c r="AG619">
        <v>74</v>
      </c>
      <c r="AH619">
        <v>13</v>
      </c>
      <c r="AI619">
        <v>14</v>
      </c>
      <c r="AJ619">
        <v>0</v>
      </c>
      <c r="AK619">
        <v>28</v>
      </c>
      <c r="AL619" t="s">
        <v>211</v>
      </c>
      <c r="AM619" t="s">
        <v>212</v>
      </c>
      <c r="AN619" t="s">
        <v>213</v>
      </c>
      <c r="AO619" t="s">
        <v>12022</v>
      </c>
      <c r="AP619" t="s">
        <v>12023</v>
      </c>
      <c r="AQ619" t="s">
        <v>74</v>
      </c>
      <c r="AR619" t="s">
        <v>12024</v>
      </c>
      <c r="AS619" t="s">
        <v>12025</v>
      </c>
      <c r="AT619" t="s">
        <v>12026</v>
      </c>
      <c r="AU619">
        <v>2020</v>
      </c>
      <c r="AV619">
        <v>34</v>
      </c>
      <c r="AW619">
        <v>7</v>
      </c>
      <c r="AX619" t="s">
        <v>74</v>
      </c>
      <c r="AY619" t="s">
        <v>74</v>
      </c>
      <c r="AZ619" t="s">
        <v>74</v>
      </c>
      <c r="BA619" t="s">
        <v>74</v>
      </c>
      <c r="BB619">
        <v>1616</v>
      </c>
      <c r="BC619">
        <v>1629</v>
      </c>
      <c r="BD619" t="s">
        <v>74</v>
      </c>
      <c r="BE619" t="s">
        <v>12027</v>
      </c>
      <c r="BF619" t="str">
        <f>HYPERLINK("http://dx.doi.org/10.1002/hyp.13686","http://dx.doi.org/10.1002/hyp.13686")</f>
        <v>http://dx.doi.org/10.1002/hyp.13686</v>
      </c>
      <c r="BG619" t="s">
        <v>74</v>
      </c>
      <c r="BH619" t="s">
        <v>10613</v>
      </c>
      <c r="BI619">
        <v>14</v>
      </c>
      <c r="BJ619" t="s">
        <v>12028</v>
      </c>
      <c r="BK619" t="s">
        <v>103</v>
      </c>
      <c r="BL619" t="s">
        <v>12028</v>
      </c>
      <c r="BM619" t="s">
        <v>12029</v>
      </c>
      <c r="BN619" t="s">
        <v>74</v>
      </c>
      <c r="BO619" t="s">
        <v>517</v>
      </c>
      <c r="BP619" t="s">
        <v>74</v>
      </c>
      <c r="BQ619" t="s">
        <v>74</v>
      </c>
      <c r="BR619" t="s">
        <v>106</v>
      </c>
      <c r="BS619" t="s">
        <v>12030</v>
      </c>
      <c r="BT619" t="str">
        <f>HYPERLINK("https%3A%2F%2Fwww.webofscience.com%2Fwos%2Fwoscc%2Ffull-record%2FWOS:000505667600001","View Full Record in Web of Science")</f>
        <v>View Full Record in Web of Science</v>
      </c>
    </row>
    <row r="620" spans="1:72" x14ac:dyDescent="0.15">
      <c r="A620" t="s">
        <v>72</v>
      </c>
      <c r="B620" t="s">
        <v>12031</v>
      </c>
      <c r="C620" t="s">
        <v>74</v>
      </c>
      <c r="D620" t="s">
        <v>74</v>
      </c>
      <c r="E620" t="s">
        <v>74</v>
      </c>
      <c r="F620" t="s">
        <v>12032</v>
      </c>
      <c r="G620" t="s">
        <v>74</v>
      </c>
      <c r="H620" t="s">
        <v>74</v>
      </c>
      <c r="I620" t="s">
        <v>12033</v>
      </c>
      <c r="J620" t="s">
        <v>12034</v>
      </c>
      <c r="K620" t="s">
        <v>74</v>
      </c>
      <c r="L620" t="s">
        <v>74</v>
      </c>
      <c r="M620" t="s">
        <v>78</v>
      </c>
      <c r="N620" t="s">
        <v>79</v>
      </c>
      <c r="O620" t="s">
        <v>74</v>
      </c>
      <c r="P620" t="s">
        <v>74</v>
      </c>
      <c r="Q620" t="s">
        <v>74</v>
      </c>
      <c r="R620" t="s">
        <v>74</v>
      </c>
      <c r="S620" t="s">
        <v>74</v>
      </c>
      <c r="T620" t="s">
        <v>12035</v>
      </c>
      <c r="U620" t="s">
        <v>12036</v>
      </c>
      <c r="V620" t="s">
        <v>12037</v>
      </c>
      <c r="W620" t="s">
        <v>12038</v>
      </c>
      <c r="X620" t="s">
        <v>12039</v>
      </c>
      <c r="Y620" t="s">
        <v>12040</v>
      </c>
      <c r="Z620" t="s">
        <v>12041</v>
      </c>
      <c r="AA620" t="s">
        <v>12042</v>
      </c>
      <c r="AB620" t="s">
        <v>12043</v>
      </c>
      <c r="AC620" t="s">
        <v>12044</v>
      </c>
      <c r="AD620" t="s">
        <v>12045</v>
      </c>
      <c r="AE620" t="s">
        <v>12046</v>
      </c>
      <c r="AF620" t="s">
        <v>74</v>
      </c>
      <c r="AG620">
        <v>57</v>
      </c>
      <c r="AH620">
        <v>25</v>
      </c>
      <c r="AI620">
        <v>26</v>
      </c>
      <c r="AJ620">
        <v>1</v>
      </c>
      <c r="AK620">
        <v>17</v>
      </c>
      <c r="AL620" t="s">
        <v>211</v>
      </c>
      <c r="AM620" t="s">
        <v>212</v>
      </c>
      <c r="AN620" t="s">
        <v>213</v>
      </c>
      <c r="AO620" t="s">
        <v>12047</v>
      </c>
      <c r="AP620" t="s">
        <v>12048</v>
      </c>
      <c r="AQ620" t="s">
        <v>74</v>
      </c>
      <c r="AR620" t="s">
        <v>12049</v>
      </c>
      <c r="AS620" t="s">
        <v>12050</v>
      </c>
      <c r="AT620" t="s">
        <v>2912</v>
      </c>
      <c r="AU620">
        <v>2020</v>
      </c>
      <c r="AV620">
        <v>21</v>
      </c>
      <c r="AW620">
        <v>2</v>
      </c>
      <c r="AX620" t="s">
        <v>74</v>
      </c>
      <c r="AY620" t="s">
        <v>74</v>
      </c>
      <c r="AZ620" t="s">
        <v>74</v>
      </c>
      <c r="BA620" t="s">
        <v>74</v>
      </c>
      <c r="BB620">
        <v>368</v>
      </c>
      <c r="BC620">
        <v>378</v>
      </c>
      <c r="BD620" t="s">
        <v>74</v>
      </c>
      <c r="BE620" t="s">
        <v>12051</v>
      </c>
      <c r="BF620" t="str">
        <f>HYPERLINK("http://dx.doi.org/10.1111/faf.12434","http://dx.doi.org/10.1111/faf.12434")</f>
        <v>http://dx.doi.org/10.1111/faf.12434</v>
      </c>
      <c r="BG620" t="s">
        <v>74</v>
      </c>
      <c r="BH620" t="s">
        <v>10613</v>
      </c>
      <c r="BI620">
        <v>11</v>
      </c>
      <c r="BJ620" t="s">
        <v>593</v>
      </c>
      <c r="BK620" t="s">
        <v>103</v>
      </c>
      <c r="BL620" t="s">
        <v>593</v>
      </c>
      <c r="BM620" t="s">
        <v>12052</v>
      </c>
      <c r="BN620" t="s">
        <v>74</v>
      </c>
      <c r="BO620" t="s">
        <v>12053</v>
      </c>
      <c r="BP620" t="s">
        <v>74</v>
      </c>
      <c r="BQ620" t="s">
        <v>74</v>
      </c>
      <c r="BR620" t="s">
        <v>106</v>
      </c>
      <c r="BS620" t="s">
        <v>12054</v>
      </c>
      <c r="BT620" t="str">
        <f>HYPERLINK("https%3A%2F%2Fwww.webofscience.com%2Fwos%2Fwoscc%2Ffull-record%2FWOS:000505754400001","View Full Record in Web of Science")</f>
        <v>View Full Record in Web of Science</v>
      </c>
    </row>
    <row r="621" spans="1:72" x14ac:dyDescent="0.15">
      <c r="A621" t="s">
        <v>72</v>
      </c>
      <c r="B621" t="s">
        <v>12055</v>
      </c>
      <c r="C621" t="s">
        <v>74</v>
      </c>
      <c r="D621" t="s">
        <v>74</v>
      </c>
      <c r="E621" t="s">
        <v>74</v>
      </c>
      <c r="F621" t="s">
        <v>12056</v>
      </c>
      <c r="G621" t="s">
        <v>74</v>
      </c>
      <c r="H621" t="s">
        <v>74</v>
      </c>
      <c r="I621" t="s">
        <v>12057</v>
      </c>
      <c r="J621" t="s">
        <v>7428</v>
      </c>
      <c r="K621" t="s">
        <v>74</v>
      </c>
      <c r="L621" t="s">
        <v>74</v>
      </c>
      <c r="M621" t="s">
        <v>78</v>
      </c>
      <c r="N621" t="s">
        <v>79</v>
      </c>
      <c r="O621" t="s">
        <v>74</v>
      </c>
      <c r="P621" t="s">
        <v>74</v>
      </c>
      <c r="Q621" t="s">
        <v>74</v>
      </c>
      <c r="R621" t="s">
        <v>74</v>
      </c>
      <c r="S621" t="s">
        <v>74</v>
      </c>
      <c r="T621" t="s">
        <v>12058</v>
      </c>
      <c r="U621" t="s">
        <v>12059</v>
      </c>
      <c r="V621" t="s">
        <v>12060</v>
      </c>
      <c r="W621" t="s">
        <v>12061</v>
      </c>
      <c r="X621" t="s">
        <v>12062</v>
      </c>
      <c r="Y621" t="s">
        <v>12063</v>
      </c>
      <c r="Z621" t="s">
        <v>12064</v>
      </c>
      <c r="AA621" t="s">
        <v>12065</v>
      </c>
      <c r="AB621" t="s">
        <v>12066</v>
      </c>
      <c r="AC621" t="s">
        <v>12067</v>
      </c>
      <c r="AD621" t="s">
        <v>6956</v>
      </c>
      <c r="AE621" t="s">
        <v>12068</v>
      </c>
      <c r="AF621" t="s">
        <v>74</v>
      </c>
      <c r="AG621">
        <v>51</v>
      </c>
      <c r="AH621">
        <v>10</v>
      </c>
      <c r="AI621">
        <v>10</v>
      </c>
      <c r="AJ621">
        <v>0</v>
      </c>
      <c r="AK621">
        <v>6</v>
      </c>
      <c r="AL621" t="s">
        <v>2627</v>
      </c>
      <c r="AM621" t="s">
        <v>2628</v>
      </c>
      <c r="AN621" t="s">
        <v>2629</v>
      </c>
      <c r="AO621" t="s">
        <v>7441</v>
      </c>
      <c r="AP621" t="s">
        <v>7442</v>
      </c>
      <c r="AQ621" t="s">
        <v>74</v>
      </c>
      <c r="AR621" t="s">
        <v>7443</v>
      </c>
      <c r="AS621" t="s">
        <v>7444</v>
      </c>
      <c r="AT621" t="s">
        <v>12069</v>
      </c>
      <c r="AU621">
        <v>2021</v>
      </c>
      <c r="AV621">
        <v>33</v>
      </c>
      <c r="AW621">
        <v>9</v>
      </c>
      <c r="AX621" t="s">
        <v>74</v>
      </c>
      <c r="AY621" t="s">
        <v>74</v>
      </c>
      <c r="AZ621" t="s">
        <v>74</v>
      </c>
      <c r="BA621" t="s">
        <v>74</v>
      </c>
      <c r="BB621">
        <v>1443</v>
      </c>
      <c r="BC621">
        <v>1456</v>
      </c>
      <c r="BD621" t="s">
        <v>74</v>
      </c>
      <c r="BE621" t="s">
        <v>12070</v>
      </c>
      <c r="BF621" t="str">
        <f>HYPERLINK("http://dx.doi.org/10.1080/08912963.2019.1705295","http://dx.doi.org/10.1080/08912963.2019.1705295")</f>
        <v>http://dx.doi.org/10.1080/08912963.2019.1705295</v>
      </c>
      <c r="BG621" t="s">
        <v>74</v>
      </c>
      <c r="BH621" t="s">
        <v>10613</v>
      </c>
      <c r="BI621">
        <v>14</v>
      </c>
      <c r="BJ621" t="s">
        <v>7446</v>
      </c>
      <c r="BK621" t="s">
        <v>103</v>
      </c>
      <c r="BL621" t="s">
        <v>7447</v>
      </c>
      <c r="BM621" t="s">
        <v>12071</v>
      </c>
      <c r="BN621" t="s">
        <v>74</v>
      </c>
      <c r="BO621" t="s">
        <v>3606</v>
      </c>
      <c r="BP621" t="s">
        <v>74</v>
      </c>
      <c r="BQ621" t="s">
        <v>74</v>
      </c>
      <c r="BR621" t="s">
        <v>106</v>
      </c>
      <c r="BS621" t="s">
        <v>12072</v>
      </c>
      <c r="BT621" t="str">
        <f>HYPERLINK("https%3A%2F%2Fwww.webofscience.com%2Fwos%2Fwoscc%2Ffull-record%2FWOS:000506339600001","View Full Record in Web of Science")</f>
        <v>View Full Record in Web of Science</v>
      </c>
    </row>
    <row r="622" spans="1:72" x14ac:dyDescent="0.15">
      <c r="A622" t="s">
        <v>72</v>
      </c>
      <c r="B622" t="s">
        <v>12073</v>
      </c>
      <c r="C622" t="s">
        <v>74</v>
      </c>
      <c r="D622" t="s">
        <v>74</v>
      </c>
      <c r="E622" t="s">
        <v>74</v>
      </c>
      <c r="F622" t="s">
        <v>12074</v>
      </c>
      <c r="G622" t="s">
        <v>74</v>
      </c>
      <c r="H622" t="s">
        <v>74</v>
      </c>
      <c r="I622" t="s">
        <v>12075</v>
      </c>
      <c r="J622" t="s">
        <v>11111</v>
      </c>
      <c r="K622" t="s">
        <v>74</v>
      </c>
      <c r="L622" t="s">
        <v>74</v>
      </c>
      <c r="M622" t="s">
        <v>78</v>
      </c>
      <c r="N622" t="s">
        <v>79</v>
      </c>
      <c r="O622" t="s">
        <v>74</v>
      </c>
      <c r="P622" t="s">
        <v>74</v>
      </c>
      <c r="Q622" t="s">
        <v>74</v>
      </c>
      <c r="R622" t="s">
        <v>74</v>
      </c>
      <c r="S622" t="s">
        <v>74</v>
      </c>
      <c r="T622" t="s">
        <v>12076</v>
      </c>
      <c r="U622" t="s">
        <v>12077</v>
      </c>
      <c r="V622" t="s">
        <v>12078</v>
      </c>
      <c r="W622" t="s">
        <v>12079</v>
      </c>
      <c r="X622" t="s">
        <v>12080</v>
      </c>
      <c r="Y622" t="s">
        <v>12081</v>
      </c>
      <c r="Z622" t="s">
        <v>12082</v>
      </c>
      <c r="AA622" t="s">
        <v>12083</v>
      </c>
      <c r="AB622" t="s">
        <v>12084</v>
      </c>
      <c r="AC622" t="s">
        <v>5043</v>
      </c>
      <c r="AD622" t="s">
        <v>1736</v>
      </c>
      <c r="AE622" t="s">
        <v>74</v>
      </c>
      <c r="AF622" t="s">
        <v>74</v>
      </c>
      <c r="AG622">
        <v>53</v>
      </c>
      <c r="AH622">
        <v>7</v>
      </c>
      <c r="AI622">
        <v>8</v>
      </c>
      <c r="AJ622">
        <v>1</v>
      </c>
      <c r="AK622">
        <v>28</v>
      </c>
      <c r="AL622" t="s">
        <v>289</v>
      </c>
      <c r="AM622" t="s">
        <v>290</v>
      </c>
      <c r="AN622" t="s">
        <v>291</v>
      </c>
      <c r="AO622" t="s">
        <v>11122</v>
      </c>
      <c r="AP622" t="s">
        <v>11123</v>
      </c>
      <c r="AQ622" t="s">
        <v>74</v>
      </c>
      <c r="AR622" t="s">
        <v>11124</v>
      </c>
      <c r="AS622" t="s">
        <v>11125</v>
      </c>
      <c r="AT622" t="s">
        <v>12085</v>
      </c>
      <c r="AU622">
        <v>2020</v>
      </c>
      <c r="AV622">
        <v>531</v>
      </c>
      <c r="AW622" t="s">
        <v>74</v>
      </c>
      <c r="AX622" t="s">
        <v>74</v>
      </c>
      <c r="AY622" t="s">
        <v>74</v>
      </c>
      <c r="AZ622" t="s">
        <v>74</v>
      </c>
      <c r="BA622" t="s">
        <v>74</v>
      </c>
      <c r="BB622" t="s">
        <v>74</v>
      </c>
      <c r="BC622" t="s">
        <v>74</v>
      </c>
      <c r="BD622">
        <v>119351</v>
      </c>
      <c r="BE622" t="s">
        <v>12086</v>
      </c>
      <c r="BF622" t="str">
        <f>HYPERLINK("http://dx.doi.org/10.1016/j.chemgeo.2019.119351","http://dx.doi.org/10.1016/j.chemgeo.2019.119351")</f>
        <v>http://dx.doi.org/10.1016/j.chemgeo.2019.119351</v>
      </c>
      <c r="BG622" t="s">
        <v>74</v>
      </c>
      <c r="BH622" t="s">
        <v>74</v>
      </c>
      <c r="BI622">
        <v>9</v>
      </c>
      <c r="BJ622" t="s">
        <v>442</v>
      </c>
      <c r="BK622" t="s">
        <v>103</v>
      </c>
      <c r="BL622" t="s">
        <v>442</v>
      </c>
      <c r="BM622" t="s">
        <v>12087</v>
      </c>
      <c r="BN622" t="s">
        <v>74</v>
      </c>
      <c r="BO622" t="s">
        <v>74</v>
      </c>
      <c r="BP622" t="s">
        <v>74</v>
      </c>
      <c r="BQ622" t="s">
        <v>74</v>
      </c>
      <c r="BR622" t="s">
        <v>106</v>
      </c>
      <c r="BS622" t="s">
        <v>12088</v>
      </c>
      <c r="BT622" t="str">
        <f>HYPERLINK("https%3A%2F%2Fwww.webofscience.com%2Fwos%2Fwoscc%2Ffull-record%2FWOS:000499092800009","View Full Record in Web of Science")</f>
        <v>View Full Record in Web of Science</v>
      </c>
    </row>
    <row r="623" spans="1:72" x14ac:dyDescent="0.15">
      <c r="A623" t="s">
        <v>72</v>
      </c>
      <c r="B623" t="s">
        <v>12089</v>
      </c>
      <c r="C623" t="s">
        <v>74</v>
      </c>
      <c r="D623" t="s">
        <v>74</v>
      </c>
      <c r="E623" t="s">
        <v>74</v>
      </c>
      <c r="F623" t="s">
        <v>12090</v>
      </c>
      <c r="G623" t="s">
        <v>74</v>
      </c>
      <c r="H623" t="s">
        <v>74</v>
      </c>
      <c r="I623" t="s">
        <v>12091</v>
      </c>
      <c r="J623" t="s">
        <v>672</v>
      </c>
      <c r="K623" t="s">
        <v>74</v>
      </c>
      <c r="L623" t="s">
        <v>74</v>
      </c>
      <c r="M623" t="s">
        <v>78</v>
      </c>
      <c r="N623" t="s">
        <v>79</v>
      </c>
      <c r="O623" t="s">
        <v>74</v>
      </c>
      <c r="P623" t="s">
        <v>74</v>
      </c>
      <c r="Q623" t="s">
        <v>74</v>
      </c>
      <c r="R623" t="s">
        <v>74</v>
      </c>
      <c r="S623" t="s">
        <v>74</v>
      </c>
      <c r="T623" t="s">
        <v>12092</v>
      </c>
      <c r="U623" t="s">
        <v>12093</v>
      </c>
      <c r="V623" t="s">
        <v>12094</v>
      </c>
      <c r="W623" t="s">
        <v>12095</v>
      </c>
      <c r="X623" t="s">
        <v>12096</v>
      </c>
      <c r="Y623" t="s">
        <v>12097</v>
      </c>
      <c r="Z623" t="s">
        <v>12098</v>
      </c>
      <c r="AA623" t="s">
        <v>12099</v>
      </c>
      <c r="AB623" t="s">
        <v>12100</v>
      </c>
      <c r="AC623" t="s">
        <v>12101</v>
      </c>
      <c r="AD623" t="s">
        <v>12102</v>
      </c>
      <c r="AE623" t="s">
        <v>12103</v>
      </c>
      <c r="AF623" t="s">
        <v>74</v>
      </c>
      <c r="AG623">
        <v>48</v>
      </c>
      <c r="AH623">
        <v>4</v>
      </c>
      <c r="AI623">
        <v>4</v>
      </c>
      <c r="AJ623">
        <v>1</v>
      </c>
      <c r="AK623">
        <v>14</v>
      </c>
      <c r="AL623" t="s">
        <v>121</v>
      </c>
      <c r="AM623" t="s">
        <v>166</v>
      </c>
      <c r="AN623" t="s">
        <v>685</v>
      </c>
      <c r="AO623" t="s">
        <v>686</v>
      </c>
      <c r="AP623" t="s">
        <v>687</v>
      </c>
      <c r="AQ623" t="s">
        <v>74</v>
      </c>
      <c r="AR623" t="s">
        <v>688</v>
      </c>
      <c r="AS623" t="s">
        <v>689</v>
      </c>
      <c r="AT623" t="s">
        <v>803</v>
      </c>
      <c r="AU623">
        <v>2020</v>
      </c>
      <c r="AV623">
        <v>43</v>
      </c>
      <c r="AW623">
        <v>2</v>
      </c>
      <c r="AX623" t="s">
        <v>74</v>
      </c>
      <c r="AY623" t="s">
        <v>74</v>
      </c>
      <c r="AZ623" t="s">
        <v>74</v>
      </c>
      <c r="BA623" t="s">
        <v>74</v>
      </c>
      <c r="BB623">
        <v>143</v>
      </c>
      <c r="BC623">
        <v>155</v>
      </c>
      <c r="BD623" t="s">
        <v>74</v>
      </c>
      <c r="BE623" t="s">
        <v>12104</v>
      </c>
      <c r="BF623" t="str">
        <f>HYPERLINK("http://dx.doi.org/10.1007/s00300-019-02617-x","http://dx.doi.org/10.1007/s00300-019-02617-x")</f>
        <v>http://dx.doi.org/10.1007/s00300-019-02617-x</v>
      </c>
      <c r="BG623" t="s">
        <v>74</v>
      </c>
      <c r="BH623" t="s">
        <v>10613</v>
      </c>
      <c r="BI623">
        <v>13</v>
      </c>
      <c r="BJ623" t="s">
        <v>130</v>
      </c>
      <c r="BK623" t="s">
        <v>103</v>
      </c>
      <c r="BL623" t="s">
        <v>131</v>
      </c>
      <c r="BM623" t="s">
        <v>8638</v>
      </c>
      <c r="BN623" t="s">
        <v>74</v>
      </c>
      <c r="BO623" t="s">
        <v>74</v>
      </c>
      <c r="BP623" t="s">
        <v>74</v>
      </c>
      <c r="BQ623" t="s">
        <v>74</v>
      </c>
      <c r="BR623" t="s">
        <v>106</v>
      </c>
      <c r="BS623" t="s">
        <v>12105</v>
      </c>
      <c r="BT623" t="str">
        <f>HYPERLINK("https%3A%2F%2Fwww.webofscience.com%2Fwos%2Fwoscc%2Ffull-record%2FWOS:000505428000001","View Full Record in Web of Science")</f>
        <v>View Full Record in Web of Science</v>
      </c>
    </row>
    <row r="624" spans="1:72" x14ac:dyDescent="0.15">
      <c r="A624" t="s">
        <v>72</v>
      </c>
      <c r="B624" t="s">
        <v>12106</v>
      </c>
      <c r="C624" t="s">
        <v>74</v>
      </c>
      <c r="D624" t="s">
        <v>74</v>
      </c>
      <c r="E624" t="s">
        <v>74</v>
      </c>
      <c r="F624" t="s">
        <v>12107</v>
      </c>
      <c r="G624" t="s">
        <v>74</v>
      </c>
      <c r="H624" t="s">
        <v>74</v>
      </c>
      <c r="I624" t="s">
        <v>12108</v>
      </c>
      <c r="J624" t="s">
        <v>10323</v>
      </c>
      <c r="K624" t="s">
        <v>74</v>
      </c>
      <c r="L624" t="s">
        <v>74</v>
      </c>
      <c r="M624" t="s">
        <v>78</v>
      </c>
      <c r="N624" t="s">
        <v>79</v>
      </c>
      <c r="O624" t="s">
        <v>74</v>
      </c>
      <c r="P624" t="s">
        <v>74</v>
      </c>
      <c r="Q624" t="s">
        <v>74</v>
      </c>
      <c r="R624" t="s">
        <v>74</v>
      </c>
      <c r="S624" t="s">
        <v>74</v>
      </c>
      <c r="T624" t="s">
        <v>12109</v>
      </c>
      <c r="U624" t="s">
        <v>12110</v>
      </c>
      <c r="V624" t="s">
        <v>12111</v>
      </c>
      <c r="W624" t="s">
        <v>12112</v>
      </c>
      <c r="X624" t="s">
        <v>12113</v>
      </c>
      <c r="Y624" t="s">
        <v>12114</v>
      </c>
      <c r="Z624" t="s">
        <v>12115</v>
      </c>
      <c r="AA624" t="s">
        <v>12116</v>
      </c>
      <c r="AB624" t="s">
        <v>12117</v>
      </c>
      <c r="AC624" t="s">
        <v>74</v>
      </c>
      <c r="AD624" t="s">
        <v>74</v>
      </c>
      <c r="AE624" t="s">
        <v>74</v>
      </c>
      <c r="AF624" t="s">
        <v>74</v>
      </c>
      <c r="AG624">
        <v>33</v>
      </c>
      <c r="AH624">
        <v>15</v>
      </c>
      <c r="AI624">
        <v>16</v>
      </c>
      <c r="AJ624">
        <v>0</v>
      </c>
      <c r="AK624">
        <v>9</v>
      </c>
      <c r="AL624" t="s">
        <v>382</v>
      </c>
      <c r="AM624" t="s">
        <v>383</v>
      </c>
      <c r="AN624" t="s">
        <v>384</v>
      </c>
      <c r="AO624" t="s">
        <v>10334</v>
      </c>
      <c r="AP624" t="s">
        <v>10335</v>
      </c>
      <c r="AQ624" t="s">
        <v>74</v>
      </c>
      <c r="AR624" t="s">
        <v>10336</v>
      </c>
      <c r="AS624" t="s">
        <v>10337</v>
      </c>
      <c r="AT624" t="s">
        <v>128</v>
      </c>
      <c r="AU624">
        <v>2020</v>
      </c>
      <c r="AV624">
        <v>140</v>
      </c>
      <c r="AW624" t="s">
        <v>3085</v>
      </c>
      <c r="AX624" t="s">
        <v>74</v>
      </c>
      <c r="AY624" t="s">
        <v>74</v>
      </c>
      <c r="AZ624" t="s">
        <v>74</v>
      </c>
      <c r="BA624" t="s">
        <v>74</v>
      </c>
      <c r="BB624">
        <v>219</v>
      </c>
      <c r="BC624">
        <v>230</v>
      </c>
      <c r="BD624" t="s">
        <v>74</v>
      </c>
      <c r="BE624" t="s">
        <v>12118</v>
      </c>
      <c r="BF624" t="str">
        <f>HYPERLINK("http://dx.doi.org/10.1007/s00704-019-03058-6","http://dx.doi.org/10.1007/s00704-019-03058-6")</f>
        <v>http://dx.doi.org/10.1007/s00704-019-03058-6</v>
      </c>
      <c r="BG624" t="s">
        <v>74</v>
      </c>
      <c r="BH624" t="s">
        <v>10613</v>
      </c>
      <c r="BI624">
        <v>12</v>
      </c>
      <c r="BJ624" t="s">
        <v>907</v>
      </c>
      <c r="BK624" t="s">
        <v>103</v>
      </c>
      <c r="BL624" t="s">
        <v>907</v>
      </c>
      <c r="BM624" t="s">
        <v>12119</v>
      </c>
      <c r="BN624" t="s">
        <v>74</v>
      </c>
      <c r="BO624" t="s">
        <v>74</v>
      </c>
      <c r="BP624" t="s">
        <v>74</v>
      </c>
      <c r="BQ624" t="s">
        <v>74</v>
      </c>
      <c r="BR624" t="s">
        <v>106</v>
      </c>
      <c r="BS624" t="s">
        <v>12120</v>
      </c>
      <c r="BT624" t="str">
        <f>HYPERLINK("https%3A%2F%2Fwww.webofscience.com%2Fwos%2Fwoscc%2Ffull-record%2FWOS:000505413200002","View Full Record in Web of Science")</f>
        <v>View Full Record in Web of Science</v>
      </c>
    </row>
    <row r="625" spans="1:72" x14ac:dyDescent="0.15">
      <c r="A625" t="s">
        <v>72</v>
      </c>
      <c r="B625" t="s">
        <v>12121</v>
      </c>
      <c r="C625" t="s">
        <v>74</v>
      </c>
      <c r="D625" t="s">
        <v>74</v>
      </c>
      <c r="E625" t="s">
        <v>74</v>
      </c>
      <c r="F625" t="s">
        <v>12122</v>
      </c>
      <c r="G625" t="s">
        <v>74</v>
      </c>
      <c r="H625" t="s">
        <v>74</v>
      </c>
      <c r="I625" t="s">
        <v>12123</v>
      </c>
      <c r="J625" t="s">
        <v>1240</v>
      </c>
      <c r="K625" t="s">
        <v>74</v>
      </c>
      <c r="L625" t="s">
        <v>74</v>
      </c>
      <c r="M625" t="s">
        <v>78</v>
      </c>
      <c r="N625" t="s">
        <v>79</v>
      </c>
      <c r="O625" t="s">
        <v>74</v>
      </c>
      <c r="P625" t="s">
        <v>74</v>
      </c>
      <c r="Q625" t="s">
        <v>74</v>
      </c>
      <c r="R625" t="s">
        <v>74</v>
      </c>
      <c r="S625" t="s">
        <v>74</v>
      </c>
      <c r="T625" t="s">
        <v>74</v>
      </c>
      <c r="U625" t="s">
        <v>12124</v>
      </c>
      <c r="V625" t="s">
        <v>12125</v>
      </c>
      <c r="W625" t="s">
        <v>12126</v>
      </c>
      <c r="X625" t="s">
        <v>12127</v>
      </c>
      <c r="Y625" t="s">
        <v>12128</v>
      </c>
      <c r="Z625" t="s">
        <v>12129</v>
      </c>
      <c r="AA625" t="s">
        <v>12130</v>
      </c>
      <c r="AB625" t="s">
        <v>12131</v>
      </c>
      <c r="AC625" t="s">
        <v>12132</v>
      </c>
      <c r="AD625" t="s">
        <v>12133</v>
      </c>
      <c r="AE625" t="s">
        <v>12134</v>
      </c>
      <c r="AF625" t="s">
        <v>74</v>
      </c>
      <c r="AG625">
        <v>93</v>
      </c>
      <c r="AH625">
        <v>93</v>
      </c>
      <c r="AI625">
        <v>100</v>
      </c>
      <c r="AJ625">
        <v>5</v>
      </c>
      <c r="AK625">
        <v>35</v>
      </c>
      <c r="AL625" t="s">
        <v>753</v>
      </c>
      <c r="AM625" t="s">
        <v>545</v>
      </c>
      <c r="AN625" t="s">
        <v>1097</v>
      </c>
      <c r="AO625" t="s">
        <v>1252</v>
      </c>
      <c r="AP625" t="s">
        <v>74</v>
      </c>
      <c r="AQ625" t="s">
        <v>74</v>
      </c>
      <c r="AR625" t="s">
        <v>1253</v>
      </c>
      <c r="AS625" t="s">
        <v>1254</v>
      </c>
      <c r="AT625" t="s">
        <v>12135</v>
      </c>
      <c r="AU625">
        <v>2020</v>
      </c>
      <c r="AV625">
        <v>11</v>
      </c>
      <c r="AW625">
        <v>1</v>
      </c>
      <c r="AX625" t="s">
        <v>74</v>
      </c>
      <c r="AY625" t="s">
        <v>74</v>
      </c>
      <c r="AZ625" t="s">
        <v>74</v>
      </c>
      <c r="BA625" t="s">
        <v>74</v>
      </c>
      <c r="BB625" t="s">
        <v>74</v>
      </c>
      <c r="BC625" t="s">
        <v>74</v>
      </c>
      <c r="BD625">
        <v>49</v>
      </c>
      <c r="BE625" t="s">
        <v>12136</v>
      </c>
      <c r="BF625" t="str">
        <f>HYPERLINK("http://dx.doi.org/10.1038/s41467-019-13823-w","http://dx.doi.org/10.1038/s41467-019-13823-w")</f>
        <v>http://dx.doi.org/10.1038/s41467-019-13823-w</v>
      </c>
      <c r="BG625" t="s">
        <v>74</v>
      </c>
      <c r="BH625" t="s">
        <v>74</v>
      </c>
      <c r="BI625">
        <v>9</v>
      </c>
      <c r="BJ625" t="s">
        <v>322</v>
      </c>
      <c r="BK625" t="s">
        <v>103</v>
      </c>
      <c r="BL625" t="s">
        <v>323</v>
      </c>
      <c r="BM625" t="s">
        <v>12137</v>
      </c>
      <c r="BN625">
        <v>31900412</v>
      </c>
      <c r="BO625" t="s">
        <v>276</v>
      </c>
      <c r="BP625" t="s">
        <v>74</v>
      </c>
      <c r="BQ625" t="s">
        <v>74</v>
      </c>
      <c r="BR625" t="s">
        <v>106</v>
      </c>
      <c r="BS625" t="s">
        <v>12138</v>
      </c>
      <c r="BT625" t="str">
        <f>HYPERLINK("https%3A%2F%2Fwww.webofscience.com%2Fwos%2Fwoscc%2Ffull-record%2FWOS:000551405500001","View Full Record in Web of Science")</f>
        <v>View Full Record in Web of Science</v>
      </c>
    </row>
    <row r="626" spans="1:72" x14ac:dyDescent="0.15">
      <c r="A626" t="s">
        <v>72</v>
      </c>
      <c r="B626" t="s">
        <v>12139</v>
      </c>
      <c r="C626" t="s">
        <v>74</v>
      </c>
      <c r="D626" t="s">
        <v>74</v>
      </c>
      <c r="E626" t="s">
        <v>74</v>
      </c>
      <c r="F626" t="s">
        <v>12140</v>
      </c>
      <c r="G626" t="s">
        <v>74</v>
      </c>
      <c r="H626" t="s">
        <v>74</v>
      </c>
      <c r="I626" t="s">
        <v>12141</v>
      </c>
      <c r="J626" t="s">
        <v>12142</v>
      </c>
      <c r="K626" t="s">
        <v>74</v>
      </c>
      <c r="L626" t="s">
        <v>74</v>
      </c>
      <c r="M626" t="s">
        <v>78</v>
      </c>
      <c r="N626" t="s">
        <v>79</v>
      </c>
      <c r="O626" t="s">
        <v>74</v>
      </c>
      <c r="P626" t="s">
        <v>74</v>
      </c>
      <c r="Q626" t="s">
        <v>74</v>
      </c>
      <c r="R626" t="s">
        <v>74</v>
      </c>
      <c r="S626" t="s">
        <v>74</v>
      </c>
      <c r="T626" t="s">
        <v>12143</v>
      </c>
      <c r="U626" t="s">
        <v>12144</v>
      </c>
      <c r="V626" t="s">
        <v>12145</v>
      </c>
      <c r="W626" t="s">
        <v>12146</v>
      </c>
      <c r="X626" t="s">
        <v>12147</v>
      </c>
      <c r="Y626" t="s">
        <v>12148</v>
      </c>
      <c r="Z626" t="s">
        <v>12149</v>
      </c>
      <c r="AA626" t="s">
        <v>12150</v>
      </c>
      <c r="AB626" t="s">
        <v>12151</v>
      </c>
      <c r="AC626" t="s">
        <v>12152</v>
      </c>
      <c r="AD626" t="s">
        <v>12153</v>
      </c>
      <c r="AE626" t="s">
        <v>12154</v>
      </c>
      <c r="AF626" t="s">
        <v>74</v>
      </c>
      <c r="AG626">
        <v>52</v>
      </c>
      <c r="AH626">
        <v>12</v>
      </c>
      <c r="AI626">
        <v>13</v>
      </c>
      <c r="AJ626">
        <v>1</v>
      </c>
      <c r="AK626">
        <v>29</v>
      </c>
      <c r="AL626" t="s">
        <v>12155</v>
      </c>
      <c r="AM626" t="s">
        <v>12156</v>
      </c>
      <c r="AN626" t="s">
        <v>12157</v>
      </c>
      <c r="AO626" t="s">
        <v>12158</v>
      </c>
      <c r="AP626" t="s">
        <v>12159</v>
      </c>
      <c r="AQ626" t="s">
        <v>74</v>
      </c>
      <c r="AR626" t="s">
        <v>12142</v>
      </c>
      <c r="AS626" t="s">
        <v>12160</v>
      </c>
      <c r="AT626" t="s">
        <v>12161</v>
      </c>
      <c r="AU626">
        <v>2020</v>
      </c>
      <c r="AV626">
        <v>20</v>
      </c>
      <c r="AW626">
        <v>1</v>
      </c>
      <c r="AX626" t="s">
        <v>74</v>
      </c>
      <c r="AY626" t="s">
        <v>74</v>
      </c>
      <c r="AZ626" t="s">
        <v>74</v>
      </c>
      <c r="BA626" t="s">
        <v>74</v>
      </c>
      <c r="BB626">
        <v>142</v>
      </c>
      <c r="BC626">
        <v>156</v>
      </c>
      <c r="BD626" t="s">
        <v>74</v>
      </c>
      <c r="BE626" t="s">
        <v>12162</v>
      </c>
      <c r="BF626" t="str">
        <f>HYPERLINK("http://dx.doi.org/10.1089/ast.2019.2103","http://dx.doi.org/10.1089/ast.2019.2103")</f>
        <v>http://dx.doi.org/10.1089/ast.2019.2103</v>
      </c>
      <c r="BG626" t="s">
        <v>74</v>
      </c>
      <c r="BH626" t="s">
        <v>10613</v>
      </c>
      <c r="BI626">
        <v>15</v>
      </c>
      <c r="BJ626" t="s">
        <v>12163</v>
      </c>
      <c r="BK626" t="s">
        <v>103</v>
      </c>
      <c r="BL626" t="s">
        <v>12164</v>
      </c>
      <c r="BM626" t="s">
        <v>12165</v>
      </c>
      <c r="BN626">
        <v>31905000</v>
      </c>
      <c r="BO626" t="s">
        <v>74</v>
      </c>
      <c r="BP626" t="s">
        <v>74</v>
      </c>
      <c r="BQ626" t="s">
        <v>74</v>
      </c>
      <c r="BR626" t="s">
        <v>106</v>
      </c>
      <c r="BS626" t="s">
        <v>12166</v>
      </c>
      <c r="BT626" t="str">
        <f>HYPERLINK("https%3A%2F%2Fwww.webofscience.com%2Fwos%2Fwoscc%2Ffull-record%2FWOS:000505706500001","View Full Record in Web of Science")</f>
        <v>View Full Record in Web of Science</v>
      </c>
    </row>
    <row r="627" spans="1:72" x14ac:dyDescent="0.15">
      <c r="A627" t="s">
        <v>72</v>
      </c>
      <c r="B627" t="s">
        <v>12167</v>
      </c>
      <c r="C627" t="s">
        <v>74</v>
      </c>
      <c r="D627" t="s">
        <v>74</v>
      </c>
      <c r="E627" t="s">
        <v>74</v>
      </c>
      <c r="F627" t="s">
        <v>12168</v>
      </c>
      <c r="G627" t="s">
        <v>74</v>
      </c>
      <c r="H627" t="s">
        <v>74</v>
      </c>
      <c r="I627" t="s">
        <v>12169</v>
      </c>
      <c r="J627" t="s">
        <v>1106</v>
      </c>
      <c r="K627" t="s">
        <v>74</v>
      </c>
      <c r="L627" t="s">
        <v>74</v>
      </c>
      <c r="M627" t="s">
        <v>78</v>
      </c>
      <c r="N627" t="s">
        <v>79</v>
      </c>
      <c r="O627" t="s">
        <v>74</v>
      </c>
      <c r="P627" t="s">
        <v>74</v>
      </c>
      <c r="Q627" t="s">
        <v>74</v>
      </c>
      <c r="R627" t="s">
        <v>74</v>
      </c>
      <c r="S627" t="s">
        <v>74</v>
      </c>
      <c r="T627" t="s">
        <v>12170</v>
      </c>
      <c r="U627" t="s">
        <v>12171</v>
      </c>
      <c r="V627" t="s">
        <v>12172</v>
      </c>
      <c r="W627" t="s">
        <v>12173</v>
      </c>
      <c r="X627" t="s">
        <v>12174</v>
      </c>
      <c r="Y627" t="s">
        <v>12175</v>
      </c>
      <c r="Z627" t="s">
        <v>12176</v>
      </c>
      <c r="AA627" t="s">
        <v>12177</v>
      </c>
      <c r="AB627" t="s">
        <v>12178</v>
      </c>
      <c r="AC627" t="s">
        <v>12179</v>
      </c>
      <c r="AD627" t="s">
        <v>12180</v>
      </c>
      <c r="AE627" t="s">
        <v>12181</v>
      </c>
      <c r="AF627" t="s">
        <v>74</v>
      </c>
      <c r="AG627">
        <v>36</v>
      </c>
      <c r="AH627">
        <v>7</v>
      </c>
      <c r="AI627">
        <v>7</v>
      </c>
      <c r="AJ627">
        <v>1</v>
      </c>
      <c r="AK627">
        <v>6</v>
      </c>
      <c r="AL627" t="s">
        <v>121</v>
      </c>
      <c r="AM627" t="s">
        <v>166</v>
      </c>
      <c r="AN627" t="s">
        <v>685</v>
      </c>
      <c r="AO627" t="s">
        <v>1119</v>
      </c>
      <c r="AP627" t="s">
        <v>1120</v>
      </c>
      <c r="AQ627" t="s">
        <v>74</v>
      </c>
      <c r="AR627" t="s">
        <v>1121</v>
      </c>
      <c r="AS627" t="s">
        <v>1122</v>
      </c>
      <c r="AT627" t="s">
        <v>803</v>
      </c>
      <c r="AU627">
        <v>2020</v>
      </c>
      <c r="AV627">
        <v>54</v>
      </c>
      <c r="AW627" t="s">
        <v>4623</v>
      </c>
      <c r="AX627" t="s">
        <v>74</v>
      </c>
      <c r="AY627" t="s">
        <v>74</v>
      </c>
      <c r="AZ627" t="s">
        <v>74</v>
      </c>
      <c r="BA627" t="s">
        <v>74</v>
      </c>
      <c r="BB627">
        <v>1937</v>
      </c>
      <c r="BC627">
        <v>1952</v>
      </c>
      <c r="BD627" t="s">
        <v>74</v>
      </c>
      <c r="BE627" t="s">
        <v>12182</v>
      </c>
      <c r="BF627" t="str">
        <f>HYPERLINK("http://dx.doi.org/10.1007/s00382-019-05095-3","http://dx.doi.org/10.1007/s00382-019-05095-3")</f>
        <v>http://dx.doi.org/10.1007/s00382-019-05095-3</v>
      </c>
      <c r="BG627" t="s">
        <v>74</v>
      </c>
      <c r="BH627" t="s">
        <v>10613</v>
      </c>
      <c r="BI627">
        <v>16</v>
      </c>
      <c r="BJ627" t="s">
        <v>907</v>
      </c>
      <c r="BK627" t="s">
        <v>103</v>
      </c>
      <c r="BL627" t="s">
        <v>907</v>
      </c>
      <c r="BM627" t="s">
        <v>9901</v>
      </c>
      <c r="BN627" t="s">
        <v>74</v>
      </c>
      <c r="BO627" t="s">
        <v>298</v>
      </c>
      <c r="BP627" t="s">
        <v>74</v>
      </c>
      <c r="BQ627" t="s">
        <v>74</v>
      </c>
      <c r="BR627" t="s">
        <v>106</v>
      </c>
      <c r="BS627" t="s">
        <v>12183</v>
      </c>
      <c r="BT627" t="str">
        <f>HYPERLINK("https%3A%2F%2Fwww.webofscience.com%2Fwos%2Fwoscc%2Ffull-record%2FWOS:000505516100003","View Full Record in Web of Science")</f>
        <v>View Full Record in Web of Science</v>
      </c>
    </row>
    <row r="628" spans="1:72" x14ac:dyDescent="0.15">
      <c r="A628" t="s">
        <v>72</v>
      </c>
      <c r="B628" t="s">
        <v>12184</v>
      </c>
      <c r="C628" t="s">
        <v>74</v>
      </c>
      <c r="D628" t="s">
        <v>74</v>
      </c>
      <c r="E628" t="s">
        <v>74</v>
      </c>
      <c r="F628" t="s">
        <v>12185</v>
      </c>
      <c r="G628" t="s">
        <v>74</v>
      </c>
      <c r="H628" t="s">
        <v>74</v>
      </c>
      <c r="I628" t="s">
        <v>12186</v>
      </c>
      <c r="J628" t="s">
        <v>12187</v>
      </c>
      <c r="K628" t="s">
        <v>74</v>
      </c>
      <c r="L628" t="s">
        <v>74</v>
      </c>
      <c r="M628" t="s">
        <v>78</v>
      </c>
      <c r="N628" t="s">
        <v>79</v>
      </c>
      <c r="O628" t="s">
        <v>74</v>
      </c>
      <c r="P628" t="s">
        <v>74</v>
      </c>
      <c r="Q628" t="s">
        <v>74</v>
      </c>
      <c r="R628" t="s">
        <v>74</v>
      </c>
      <c r="S628" t="s">
        <v>74</v>
      </c>
      <c r="T628" t="s">
        <v>74</v>
      </c>
      <c r="U628" t="s">
        <v>12188</v>
      </c>
      <c r="V628" t="s">
        <v>12189</v>
      </c>
      <c r="W628" t="s">
        <v>12190</v>
      </c>
      <c r="X628" t="s">
        <v>12191</v>
      </c>
      <c r="Y628" t="s">
        <v>12192</v>
      </c>
      <c r="Z628" t="s">
        <v>12193</v>
      </c>
      <c r="AA628" t="s">
        <v>12194</v>
      </c>
      <c r="AB628" t="s">
        <v>12195</v>
      </c>
      <c r="AC628" t="s">
        <v>12196</v>
      </c>
      <c r="AD628" t="s">
        <v>12197</v>
      </c>
      <c r="AE628" t="s">
        <v>12198</v>
      </c>
      <c r="AF628" t="s">
        <v>74</v>
      </c>
      <c r="AG628">
        <v>115</v>
      </c>
      <c r="AH628">
        <v>2</v>
      </c>
      <c r="AI628">
        <v>2</v>
      </c>
      <c r="AJ628">
        <v>0</v>
      </c>
      <c r="AK628">
        <v>2</v>
      </c>
      <c r="AL628" t="s">
        <v>976</v>
      </c>
      <c r="AM628" t="s">
        <v>977</v>
      </c>
      <c r="AN628" t="s">
        <v>978</v>
      </c>
      <c r="AO628" t="s">
        <v>12199</v>
      </c>
      <c r="AP628" t="s">
        <v>12200</v>
      </c>
      <c r="AQ628" t="s">
        <v>74</v>
      </c>
      <c r="AR628" t="s">
        <v>12201</v>
      </c>
      <c r="AS628" t="s">
        <v>12202</v>
      </c>
      <c r="AT628" t="s">
        <v>12135</v>
      </c>
      <c r="AU628">
        <v>2020</v>
      </c>
      <c r="AV628">
        <v>39</v>
      </c>
      <c r="AW628">
        <v>1</v>
      </c>
      <c r="AX628" t="s">
        <v>74</v>
      </c>
      <c r="AY628" t="s">
        <v>74</v>
      </c>
      <c r="AZ628" t="s">
        <v>74</v>
      </c>
      <c r="BA628" t="s">
        <v>74</v>
      </c>
      <c r="BB628">
        <v>1</v>
      </c>
      <c r="BC628">
        <v>26</v>
      </c>
      <c r="BD628" t="s">
        <v>74</v>
      </c>
      <c r="BE628" t="s">
        <v>12203</v>
      </c>
      <c r="BF628" t="str">
        <f>HYPERLINK("http://dx.doi.org/10.5194/jm-39-1-2020","http://dx.doi.org/10.5194/jm-39-1-2020")</f>
        <v>http://dx.doi.org/10.5194/jm-39-1-2020</v>
      </c>
      <c r="BG628" t="s">
        <v>74</v>
      </c>
      <c r="BH628" t="s">
        <v>74</v>
      </c>
      <c r="BI628">
        <v>26</v>
      </c>
      <c r="BJ628" t="s">
        <v>7592</v>
      </c>
      <c r="BK628" t="s">
        <v>103</v>
      </c>
      <c r="BL628" t="s">
        <v>7592</v>
      </c>
      <c r="BM628" t="s">
        <v>12204</v>
      </c>
      <c r="BN628" t="s">
        <v>74</v>
      </c>
      <c r="BO628" t="s">
        <v>987</v>
      </c>
      <c r="BP628" t="s">
        <v>74</v>
      </c>
      <c r="BQ628" t="s">
        <v>74</v>
      </c>
      <c r="BR628" t="s">
        <v>106</v>
      </c>
      <c r="BS628" t="s">
        <v>12205</v>
      </c>
      <c r="BT628" t="str">
        <f>HYPERLINK("https%3A%2F%2Fwww.webofscience.com%2Fwos%2Fwoscc%2Ffull-record%2FWOS:000505677100001","View Full Record in Web of Science")</f>
        <v>View Full Record in Web of Science</v>
      </c>
    </row>
    <row r="629" spans="1:72" x14ac:dyDescent="0.15">
      <c r="A629" t="s">
        <v>72</v>
      </c>
      <c r="B629" t="s">
        <v>12206</v>
      </c>
      <c r="C629" t="s">
        <v>74</v>
      </c>
      <c r="D629" t="s">
        <v>74</v>
      </c>
      <c r="E629" t="s">
        <v>74</v>
      </c>
      <c r="F629" t="s">
        <v>12207</v>
      </c>
      <c r="G629" t="s">
        <v>74</v>
      </c>
      <c r="H629" t="s">
        <v>74</v>
      </c>
      <c r="I629" t="s">
        <v>12208</v>
      </c>
      <c r="J629" t="s">
        <v>12209</v>
      </c>
      <c r="K629" t="s">
        <v>74</v>
      </c>
      <c r="L629" t="s">
        <v>74</v>
      </c>
      <c r="M629" t="s">
        <v>78</v>
      </c>
      <c r="N629" t="s">
        <v>79</v>
      </c>
      <c r="O629" t="s">
        <v>74</v>
      </c>
      <c r="P629" t="s">
        <v>74</v>
      </c>
      <c r="Q629" t="s">
        <v>74</v>
      </c>
      <c r="R629" t="s">
        <v>74</v>
      </c>
      <c r="S629" t="s">
        <v>74</v>
      </c>
      <c r="T629" t="s">
        <v>12210</v>
      </c>
      <c r="U629" t="s">
        <v>74</v>
      </c>
      <c r="V629" t="s">
        <v>12211</v>
      </c>
      <c r="W629" t="s">
        <v>12212</v>
      </c>
      <c r="X629" t="s">
        <v>12213</v>
      </c>
      <c r="Y629" t="s">
        <v>12214</v>
      </c>
      <c r="Z629" t="s">
        <v>12215</v>
      </c>
      <c r="AA629" t="s">
        <v>12216</v>
      </c>
      <c r="AB629" t="s">
        <v>12217</v>
      </c>
      <c r="AC629" t="s">
        <v>12218</v>
      </c>
      <c r="AD629" t="s">
        <v>12219</v>
      </c>
      <c r="AE629" t="s">
        <v>12220</v>
      </c>
      <c r="AF629" t="s">
        <v>74</v>
      </c>
      <c r="AG629">
        <v>7</v>
      </c>
      <c r="AH629">
        <v>4</v>
      </c>
      <c r="AI629">
        <v>4</v>
      </c>
      <c r="AJ629">
        <v>1</v>
      </c>
      <c r="AK629">
        <v>3</v>
      </c>
      <c r="AL629" t="s">
        <v>2627</v>
      </c>
      <c r="AM629" t="s">
        <v>2628</v>
      </c>
      <c r="AN629" t="s">
        <v>2629</v>
      </c>
      <c r="AO629" t="s">
        <v>74</v>
      </c>
      <c r="AP629" t="s">
        <v>12221</v>
      </c>
      <c r="AQ629" t="s">
        <v>74</v>
      </c>
      <c r="AR629" t="s">
        <v>12222</v>
      </c>
      <c r="AS629" t="s">
        <v>12223</v>
      </c>
      <c r="AT629" t="s">
        <v>2634</v>
      </c>
      <c r="AU629">
        <v>2020</v>
      </c>
      <c r="AV629">
        <v>5</v>
      </c>
      <c r="AW629">
        <v>1</v>
      </c>
      <c r="AX629" t="s">
        <v>74</v>
      </c>
      <c r="AY629" t="s">
        <v>74</v>
      </c>
      <c r="AZ629" t="s">
        <v>74</v>
      </c>
      <c r="BA629" t="s">
        <v>74</v>
      </c>
      <c r="BB629">
        <v>156</v>
      </c>
      <c r="BC629">
        <v>157</v>
      </c>
      <c r="BD629" t="s">
        <v>74</v>
      </c>
      <c r="BE629" t="s">
        <v>12224</v>
      </c>
      <c r="BF629" t="str">
        <f>HYPERLINK("http://dx.doi.org/10.1080/23802359.2019.1698361","http://dx.doi.org/10.1080/23802359.2019.1698361")</f>
        <v>http://dx.doi.org/10.1080/23802359.2019.1698361</v>
      </c>
      <c r="BG629" t="s">
        <v>74</v>
      </c>
      <c r="BH629" t="s">
        <v>74</v>
      </c>
      <c r="BI629">
        <v>2</v>
      </c>
      <c r="BJ629" t="s">
        <v>3824</v>
      </c>
      <c r="BK629" t="s">
        <v>103</v>
      </c>
      <c r="BL629" t="s">
        <v>3824</v>
      </c>
      <c r="BM629" t="s">
        <v>12225</v>
      </c>
      <c r="BN629">
        <v>33366465</v>
      </c>
      <c r="BO629" t="s">
        <v>276</v>
      </c>
      <c r="BP629" t="s">
        <v>74</v>
      </c>
      <c r="BQ629" t="s">
        <v>74</v>
      </c>
      <c r="BR629" t="s">
        <v>106</v>
      </c>
      <c r="BS629" t="s">
        <v>12226</v>
      </c>
      <c r="BT629" t="str">
        <f>HYPERLINK("https%3A%2F%2Fwww.webofscience.com%2Fwos%2Fwoscc%2Ffull-record%2FWOS:000589833400002","View Full Record in Web of Science")</f>
        <v>View Full Record in Web of Science</v>
      </c>
    </row>
    <row r="630" spans="1:72" x14ac:dyDescent="0.15">
      <c r="A630" t="s">
        <v>72</v>
      </c>
      <c r="B630" t="s">
        <v>12227</v>
      </c>
      <c r="C630" t="s">
        <v>74</v>
      </c>
      <c r="D630" t="s">
        <v>74</v>
      </c>
      <c r="E630" t="s">
        <v>74</v>
      </c>
      <c r="F630" t="s">
        <v>12228</v>
      </c>
      <c r="G630" t="s">
        <v>74</v>
      </c>
      <c r="H630" t="s">
        <v>74</v>
      </c>
      <c r="I630" t="s">
        <v>12229</v>
      </c>
      <c r="J630" t="s">
        <v>12230</v>
      </c>
      <c r="K630" t="s">
        <v>74</v>
      </c>
      <c r="L630" t="s">
        <v>74</v>
      </c>
      <c r="M630" t="s">
        <v>78</v>
      </c>
      <c r="N630" t="s">
        <v>79</v>
      </c>
      <c r="O630" t="s">
        <v>74</v>
      </c>
      <c r="P630" t="s">
        <v>74</v>
      </c>
      <c r="Q630" t="s">
        <v>74</v>
      </c>
      <c r="R630" t="s">
        <v>74</v>
      </c>
      <c r="S630" t="s">
        <v>74</v>
      </c>
      <c r="T630" t="s">
        <v>12231</v>
      </c>
      <c r="U630" t="s">
        <v>1547</v>
      </c>
      <c r="V630" t="s">
        <v>12232</v>
      </c>
      <c r="W630" t="s">
        <v>12233</v>
      </c>
      <c r="X630" t="s">
        <v>12234</v>
      </c>
      <c r="Y630" t="s">
        <v>12235</v>
      </c>
      <c r="Z630" t="s">
        <v>74</v>
      </c>
      <c r="AA630" t="s">
        <v>74</v>
      </c>
      <c r="AB630" t="s">
        <v>74</v>
      </c>
      <c r="AC630" t="s">
        <v>74</v>
      </c>
      <c r="AD630" t="s">
        <v>74</v>
      </c>
      <c r="AE630" t="s">
        <v>74</v>
      </c>
      <c r="AF630" t="s">
        <v>74</v>
      </c>
      <c r="AG630">
        <v>29</v>
      </c>
      <c r="AH630">
        <v>0</v>
      </c>
      <c r="AI630">
        <v>0</v>
      </c>
      <c r="AJ630">
        <v>0</v>
      </c>
      <c r="AK630">
        <v>3</v>
      </c>
      <c r="AL630" t="s">
        <v>7321</v>
      </c>
      <c r="AM630" t="s">
        <v>7322</v>
      </c>
      <c r="AN630" t="s">
        <v>7323</v>
      </c>
      <c r="AO630" t="s">
        <v>12236</v>
      </c>
      <c r="AP630" t="s">
        <v>12237</v>
      </c>
      <c r="AQ630" t="s">
        <v>74</v>
      </c>
      <c r="AR630" t="s">
        <v>12238</v>
      </c>
      <c r="AS630" t="s">
        <v>12239</v>
      </c>
      <c r="AT630" t="s">
        <v>2634</v>
      </c>
      <c r="AU630">
        <v>2020</v>
      </c>
      <c r="AV630">
        <v>74</v>
      </c>
      <c r="AW630">
        <v>1</v>
      </c>
      <c r="AX630" t="s">
        <v>74</v>
      </c>
      <c r="AY630" t="s">
        <v>74</v>
      </c>
      <c r="AZ630" t="s">
        <v>74</v>
      </c>
      <c r="BA630" t="s">
        <v>74</v>
      </c>
      <c r="BB630">
        <v>60</v>
      </c>
      <c r="BC630">
        <v>69</v>
      </c>
      <c r="BD630" t="s">
        <v>74</v>
      </c>
      <c r="BE630" t="s">
        <v>12240</v>
      </c>
      <c r="BF630" t="str">
        <f>HYPERLINK("http://dx.doi.org/10.1080/10464883.2020.1693828","http://dx.doi.org/10.1080/10464883.2020.1693828")</f>
        <v>http://dx.doi.org/10.1080/10464883.2020.1693828</v>
      </c>
      <c r="BG630" t="s">
        <v>74</v>
      </c>
      <c r="BH630" t="s">
        <v>74</v>
      </c>
      <c r="BI630">
        <v>10</v>
      </c>
      <c r="BJ630" t="s">
        <v>12241</v>
      </c>
      <c r="BK630" t="s">
        <v>3088</v>
      </c>
      <c r="BL630" t="s">
        <v>12241</v>
      </c>
      <c r="BM630" t="s">
        <v>12242</v>
      </c>
      <c r="BN630" t="s">
        <v>74</v>
      </c>
      <c r="BO630" t="s">
        <v>74</v>
      </c>
      <c r="BP630" t="s">
        <v>74</v>
      </c>
      <c r="BQ630" t="s">
        <v>74</v>
      </c>
      <c r="BR630" t="s">
        <v>106</v>
      </c>
      <c r="BS630" t="s">
        <v>12243</v>
      </c>
      <c r="BT630" t="str">
        <f>HYPERLINK("https%3A%2F%2Fwww.webofscience.com%2Fwos%2Fwoscc%2Ffull-record%2FWOS:000519158600010","View Full Record in Web of Science")</f>
        <v>View Full Record in Web of Science</v>
      </c>
    </row>
    <row r="631" spans="1:72" x14ac:dyDescent="0.15">
      <c r="A631" t="s">
        <v>72</v>
      </c>
      <c r="B631" t="s">
        <v>12244</v>
      </c>
      <c r="C631" t="s">
        <v>74</v>
      </c>
      <c r="D631" t="s">
        <v>74</v>
      </c>
      <c r="E631" t="s">
        <v>74</v>
      </c>
      <c r="F631" t="s">
        <v>12245</v>
      </c>
      <c r="G631" t="s">
        <v>74</v>
      </c>
      <c r="H631" t="s">
        <v>74</v>
      </c>
      <c r="I631" t="s">
        <v>12246</v>
      </c>
      <c r="J631" t="s">
        <v>12247</v>
      </c>
      <c r="K631" t="s">
        <v>74</v>
      </c>
      <c r="L631" t="s">
        <v>74</v>
      </c>
      <c r="M631" t="s">
        <v>78</v>
      </c>
      <c r="N631" t="s">
        <v>79</v>
      </c>
      <c r="O631" t="s">
        <v>74</v>
      </c>
      <c r="P631" t="s">
        <v>74</v>
      </c>
      <c r="Q631" t="s">
        <v>74</v>
      </c>
      <c r="R631" t="s">
        <v>74</v>
      </c>
      <c r="S631" t="s">
        <v>74</v>
      </c>
      <c r="T631" t="s">
        <v>12248</v>
      </c>
      <c r="U631" t="s">
        <v>12249</v>
      </c>
      <c r="V631" t="s">
        <v>12250</v>
      </c>
      <c r="W631" t="s">
        <v>12251</v>
      </c>
      <c r="X631" t="s">
        <v>12252</v>
      </c>
      <c r="Y631" t="s">
        <v>12253</v>
      </c>
      <c r="Z631" t="s">
        <v>12254</v>
      </c>
      <c r="AA631" t="s">
        <v>74</v>
      </c>
      <c r="AB631" t="s">
        <v>12255</v>
      </c>
      <c r="AC631" t="s">
        <v>12256</v>
      </c>
      <c r="AD631" t="s">
        <v>12257</v>
      </c>
      <c r="AE631" t="s">
        <v>12258</v>
      </c>
      <c r="AF631" t="s">
        <v>74</v>
      </c>
      <c r="AG631">
        <v>90</v>
      </c>
      <c r="AH631">
        <v>3</v>
      </c>
      <c r="AI631">
        <v>3</v>
      </c>
      <c r="AJ631">
        <v>0</v>
      </c>
      <c r="AK631">
        <v>19</v>
      </c>
      <c r="AL631" t="s">
        <v>7321</v>
      </c>
      <c r="AM631" t="s">
        <v>7322</v>
      </c>
      <c r="AN631" t="s">
        <v>7323</v>
      </c>
      <c r="AO631" t="s">
        <v>12259</v>
      </c>
      <c r="AP631" t="s">
        <v>12260</v>
      </c>
      <c r="AQ631" t="s">
        <v>74</v>
      </c>
      <c r="AR631" t="s">
        <v>12261</v>
      </c>
      <c r="AS631" t="s">
        <v>12262</v>
      </c>
      <c r="AT631" t="s">
        <v>2634</v>
      </c>
      <c r="AU631">
        <v>2020</v>
      </c>
      <c r="AV631">
        <v>43</v>
      </c>
      <c r="AW631">
        <v>1</v>
      </c>
      <c r="AX631" t="s">
        <v>74</v>
      </c>
      <c r="AY631" t="s">
        <v>74</v>
      </c>
      <c r="AZ631" t="s">
        <v>74</v>
      </c>
      <c r="BA631" t="s">
        <v>74</v>
      </c>
      <c r="BB631">
        <v>46</v>
      </c>
      <c r="BC631">
        <v>63</v>
      </c>
      <c r="BD631" t="s">
        <v>74</v>
      </c>
      <c r="BE631" t="s">
        <v>12263</v>
      </c>
      <c r="BF631" t="str">
        <f>HYPERLINK("http://dx.doi.org/10.1080/1088937X.2019.1707321","http://dx.doi.org/10.1080/1088937X.2019.1707321")</f>
        <v>http://dx.doi.org/10.1080/1088937X.2019.1707321</v>
      </c>
      <c r="BG631" t="s">
        <v>74</v>
      </c>
      <c r="BH631" t="s">
        <v>74</v>
      </c>
      <c r="BI631">
        <v>18</v>
      </c>
      <c r="BJ631" t="s">
        <v>12264</v>
      </c>
      <c r="BK631" t="s">
        <v>274</v>
      </c>
      <c r="BL631" t="s">
        <v>12265</v>
      </c>
      <c r="BM631" t="s">
        <v>12266</v>
      </c>
      <c r="BN631" t="s">
        <v>74</v>
      </c>
      <c r="BO631" t="s">
        <v>74</v>
      </c>
      <c r="BP631" t="s">
        <v>74</v>
      </c>
      <c r="BQ631" t="s">
        <v>74</v>
      </c>
      <c r="BR631" t="s">
        <v>106</v>
      </c>
      <c r="BS631" t="s">
        <v>12267</v>
      </c>
      <c r="BT631" t="str">
        <f>HYPERLINK("https%3A%2F%2Fwww.webofscience.com%2Fwos%2Fwoscc%2Ffull-record%2FWOS:000519544100003","View Full Record in Web of Science")</f>
        <v>View Full Record in Web of Science</v>
      </c>
    </row>
    <row r="632" spans="1:72" x14ac:dyDescent="0.15">
      <c r="A632" t="s">
        <v>72</v>
      </c>
      <c r="B632" t="s">
        <v>12268</v>
      </c>
      <c r="C632" t="s">
        <v>74</v>
      </c>
      <c r="D632" t="s">
        <v>74</v>
      </c>
      <c r="E632" t="s">
        <v>74</v>
      </c>
      <c r="F632" t="s">
        <v>12269</v>
      </c>
      <c r="G632" t="s">
        <v>74</v>
      </c>
      <c r="H632" t="s">
        <v>74</v>
      </c>
      <c r="I632" t="s">
        <v>12270</v>
      </c>
      <c r="J632" t="s">
        <v>4161</v>
      </c>
      <c r="K632" t="s">
        <v>74</v>
      </c>
      <c r="L632" t="s">
        <v>74</v>
      </c>
      <c r="M632" t="s">
        <v>78</v>
      </c>
      <c r="N632" t="s">
        <v>79</v>
      </c>
      <c r="O632" t="s">
        <v>74</v>
      </c>
      <c r="P632" t="s">
        <v>74</v>
      </c>
      <c r="Q632" t="s">
        <v>74</v>
      </c>
      <c r="R632" t="s">
        <v>74</v>
      </c>
      <c r="S632" t="s">
        <v>74</v>
      </c>
      <c r="T632" t="s">
        <v>12271</v>
      </c>
      <c r="U632" t="s">
        <v>12272</v>
      </c>
      <c r="V632" t="s">
        <v>12273</v>
      </c>
      <c r="W632" t="s">
        <v>12274</v>
      </c>
      <c r="X632" t="s">
        <v>12275</v>
      </c>
      <c r="Y632" t="s">
        <v>12276</v>
      </c>
      <c r="Z632" t="s">
        <v>12277</v>
      </c>
      <c r="AA632" t="s">
        <v>12278</v>
      </c>
      <c r="AB632" t="s">
        <v>74</v>
      </c>
      <c r="AC632" t="s">
        <v>12279</v>
      </c>
      <c r="AD632" t="s">
        <v>12280</v>
      </c>
      <c r="AE632" t="s">
        <v>12281</v>
      </c>
      <c r="AF632" t="s">
        <v>74</v>
      </c>
      <c r="AG632">
        <v>41</v>
      </c>
      <c r="AH632">
        <v>11</v>
      </c>
      <c r="AI632">
        <v>13</v>
      </c>
      <c r="AJ632">
        <v>3</v>
      </c>
      <c r="AK632">
        <v>25</v>
      </c>
      <c r="AL632" t="s">
        <v>3817</v>
      </c>
      <c r="AM632" t="s">
        <v>3818</v>
      </c>
      <c r="AN632" t="s">
        <v>3819</v>
      </c>
      <c r="AO632" t="s">
        <v>74</v>
      </c>
      <c r="AP632" t="s">
        <v>4173</v>
      </c>
      <c r="AQ632" t="s">
        <v>74</v>
      </c>
      <c r="AR632" t="s">
        <v>4174</v>
      </c>
      <c r="AS632" t="s">
        <v>4175</v>
      </c>
      <c r="AT632" t="s">
        <v>2634</v>
      </c>
      <c r="AU632">
        <v>2020</v>
      </c>
      <c r="AV632">
        <v>21</v>
      </c>
      <c r="AW632">
        <v>2</v>
      </c>
      <c r="AX632" t="s">
        <v>74</v>
      </c>
      <c r="AY632" t="s">
        <v>74</v>
      </c>
      <c r="AZ632" t="s">
        <v>74</v>
      </c>
      <c r="BA632" t="s">
        <v>74</v>
      </c>
      <c r="BB632" t="s">
        <v>74</v>
      </c>
      <c r="BC632" t="s">
        <v>74</v>
      </c>
      <c r="BD632">
        <v>420</v>
      </c>
      <c r="BE632" t="s">
        <v>12282</v>
      </c>
      <c r="BF632" t="str">
        <f>HYPERLINK("http://dx.doi.org/10.3390/ijms21020420","http://dx.doi.org/10.3390/ijms21020420")</f>
        <v>http://dx.doi.org/10.3390/ijms21020420</v>
      </c>
      <c r="BG632" t="s">
        <v>74</v>
      </c>
      <c r="BH632" t="s">
        <v>74</v>
      </c>
      <c r="BI632">
        <v>14</v>
      </c>
      <c r="BJ632" t="s">
        <v>4177</v>
      </c>
      <c r="BK632" t="s">
        <v>103</v>
      </c>
      <c r="BL632" t="s">
        <v>2116</v>
      </c>
      <c r="BM632" t="s">
        <v>12283</v>
      </c>
      <c r="BN632">
        <v>31936518</v>
      </c>
      <c r="BO632" t="s">
        <v>276</v>
      </c>
      <c r="BP632" t="s">
        <v>74</v>
      </c>
      <c r="BQ632" t="s">
        <v>74</v>
      </c>
      <c r="BR632" t="s">
        <v>106</v>
      </c>
      <c r="BS632" t="s">
        <v>12284</v>
      </c>
      <c r="BT632" t="str">
        <f>HYPERLINK("https%3A%2F%2Fwww.webofscience.com%2Fwos%2Fwoscc%2Ffull-record%2FWOS:000515380000050","View Full Record in Web of Science")</f>
        <v>View Full Record in Web of Science</v>
      </c>
    </row>
    <row r="633" spans="1:72" x14ac:dyDescent="0.15">
      <c r="A633" t="s">
        <v>72</v>
      </c>
      <c r="B633" t="s">
        <v>12285</v>
      </c>
      <c r="C633" t="s">
        <v>74</v>
      </c>
      <c r="D633" t="s">
        <v>74</v>
      </c>
      <c r="E633" t="s">
        <v>74</v>
      </c>
      <c r="F633" t="s">
        <v>12286</v>
      </c>
      <c r="G633" t="s">
        <v>74</v>
      </c>
      <c r="H633" t="s">
        <v>74</v>
      </c>
      <c r="I633" t="s">
        <v>12287</v>
      </c>
      <c r="J633" t="s">
        <v>12209</v>
      </c>
      <c r="K633" t="s">
        <v>74</v>
      </c>
      <c r="L633" t="s">
        <v>74</v>
      </c>
      <c r="M633" t="s">
        <v>78</v>
      </c>
      <c r="N633" t="s">
        <v>79</v>
      </c>
      <c r="O633" t="s">
        <v>74</v>
      </c>
      <c r="P633" t="s">
        <v>74</v>
      </c>
      <c r="Q633" t="s">
        <v>74</v>
      </c>
      <c r="R633" t="s">
        <v>74</v>
      </c>
      <c r="S633" t="s">
        <v>74</v>
      </c>
      <c r="T633" t="s">
        <v>12288</v>
      </c>
      <c r="U633" t="s">
        <v>74</v>
      </c>
      <c r="V633" t="s">
        <v>12289</v>
      </c>
      <c r="W633" t="s">
        <v>12290</v>
      </c>
      <c r="X633" t="s">
        <v>12291</v>
      </c>
      <c r="Y633" t="s">
        <v>12292</v>
      </c>
      <c r="Z633" t="s">
        <v>12293</v>
      </c>
      <c r="AA633" t="s">
        <v>12294</v>
      </c>
      <c r="AB633" t="s">
        <v>12295</v>
      </c>
      <c r="AC633" t="s">
        <v>12296</v>
      </c>
      <c r="AD633" t="s">
        <v>12297</v>
      </c>
      <c r="AE633" t="s">
        <v>12298</v>
      </c>
      <c r="AF633" t="s">
        <v>74</v>
      </c>
      <c r="AG633">
        <v>7</v>
      </c>
      <c r="AH633">
        <v>3</v>
      </c>
      <c r="AI633">
        <v>3</v>
      </c>
      <c r="AJ633">
        <v>2</v>
      </c>
      <c r="AK633">
        <v>9</v>
      </c>
      <c r="AL633" t="s">
        <v>2627</v>
      </c>
      <c r="AM633" t="s">
        <v>2628</v>
      </c>
      <c r="AN633" t="s">
        <v>2629</v>
      </c>
      <c r="AO633" t="s">
        <v>74</v>
      </c>
      <c r="AP633" t="s">
        <v>12221</v>
      </c>
      <c r="AQ633" t="s">
        <v>74</v>
      </c>
      <c r="AR633" t="s">
        <v>12222</v>
      </c>
      <c r="AS633" t="s">
        <v>12223</v>
      </c>
      <c r="AT633" t="s">
        <v>2634</v>
      </c>
      <c r="AU633">
        <v>2020</v>
      </c>
      <c r="AV633">
        <v>5</v>
      </c>
      <c r="AW633">
        <v>1</v>
      </c>
      <c r="AX633" t="s">
        <v>74</v>
      </c>
      <c r="AY633" t="s">
        <v>74</v>
      </c>
      <c r="AZ633" t="s">
        <v>74</v>
      </c>
      <c r="BA633" t="s">
        <v>74</v>
      </c>
      <c r="BB633">
        <v>1096</v>
      </c>
      <c r="BC633">
        <v>1097</v>
      </c>
      <c r="BD633" t="s">
        <v>74</v>
      </c>
      <c r="BE633" t="s">
        <v>12299</v>
      </c>
      <c r="BF633" t="str">
        <f>HYPERLINK("http://dx.doi.org/10.1080/23802359.2020.1721368","http://dx.doi.org/10.1080/23802359.2020.1721368")</f>
        <v>http://dx.doi.org/10.1080/23802359.2020.1721368</v>
      </c>
      <c r="BG633" t="s">
        <v>74</v>
      </c>
      <c r="BH633" t="s">
        <v>74</v>
      </c>
      <c r="BI633">
        <v>2</v>
      </c>
      <c r="BJ633" t="s">
        <v>3824</v>
      </c>
      <c r="BK633" t="s">
        <v>103</v>
      </c>
      <c r="BL633" t="s">
        <v>3824</v>
      </c>
      <c r="BM633" t="s">
        <v>12300</v>
      </c>
      <c r="BN633">
        <v>33366890</v>
      </c>
      <c r="BO633" t="s">
        <v>276</v>
      </c>
      <c r="BP633" t="s">
        <v>74</v>
      </c>
      <c r="BQ633" t="s">
        <v>74</v>
      </c>
      <c r="BR633" t="s">
        <v>106</v>
      </c>
      <c r="BS633" t="s">
        <v>12301</v>
      </c>
      <c r="BT633" t="str">
        <f>HYPERLINK("https%3A%2F%2Fwww.webofscience.com%2Fwos%2Fwoscc%2Ffull-record%2FWOS:000514364300001","View Full Record in Web of Science")</f>
        <v>View Full Record in Web of Science</v>
      </c>
    </row>
    <row r="634" spans="1:72" x14ac:dyDescent="0.15">
      <c r="A634" t="s">
        <v>72</v>
      </c>
      <c r="B634" t="s">
        <v>12302</v>
      </c>
      <c r="C634" t="s">
        <v>74</v>
      </c>
      <c r="D634" t="s">
        <v>74</v>
      </c>
      <c r="E634" t="s">
        <v>74</v>
      </c>
      <c r="F634" t="s">
        <v>12303</v>
      </c>
      <c r="G634" t="s">
        <v>74</v>
      </c>
      <c r="H634" t="s">
        <v>74</v>
      </c>
      <c r="I634" t="s">
        <v>12304</v>
      </c>
      <c r="J634" t="s">
        <v>12209</v>
      </c>
      <c r="K634" t="s">
        <v>74</v>
      </c>
      <c r="L634" t="s">
        <v>74</v>
      </c>
      <c r="M634" t="s">
        <v>78</v>
      </c>
      <c r="N634" t="s">
        <v>79</v>
      </c>
      <c r="O634" t="s">
        <v>74</v>
      </c>
      <c r="P634" t="s">
        <v>74</v>
      </c>
      <c r="Q634" t="s">
        <v>74</v>
      </c>
      <c r="R634" t="s">
        <v>74</v>
      </c>
      <c r="S634" t="s">
        <v>74</v>
      </c>
      <c r="T634" t="s">
        <v>12305</v>
      </c>
      <c r="U634" t="s">
        <v>74</v>
      </c>
      <c r="V634" t="s">
        <v>12306</v>
      </c>
      <c r="W634" t="s">
        <v>12307</v>
      </c>
      <c r="X634" t="s">
        <v>12308</v>
      </c>
      <c r="Y634" t="s">
        <v>12309</v>
      </c>
      <c r="Z634" t="s">
        <v>12310</v>
      </c>
      <c r="AA634" t="s">
        <v>12311</v>
      </c>
      <c r="AB634" t="s">
        <v>74</v>
      </c>
      <c r="AC634" t="s">
        <v>12312</v>
      </c>
      <c r="AD634" t="s">
        <v>12313</v>
      </c>
      <c r="AE634" t="s">
        <v>12314</v>
      </c>
      <c r="AF634" t="s">
        <v>74</v>
      </c>
      <c r="AG634">
        <v>5</v>
      </c>
      <c r="AH634">
        <v>0</v>
      </c>
      <c r="AI634">
        <v>0</v>
      </c>
      <c r="AJ634">
        <v>1</v>
      </c>
      <c r="AK634">
        <v>3</v>
      </c>
      <c r="AL634" t="s">
        <v>2627</v>
      </c>
      <c r="AM634" t="s">
        <v>2628</v>
      </c>
      <c r="AN634" t="s">
        <v>2629</v>
      </c>
      <c r="AO634" t="s">
        <v>74</v>
      </c>
      <c r="AP634" t="s">
        <v>12221</v>
      </c>
      <c r="AQ634" t="s">
        <v>74</v>
      </c>
      <c r="AR634" t="s">
        <v>12222</v>
      </c>
      <c r="AS634" t="s">
        <v>12223</v>
      </c>
      <c r="AT634" t="s">
        <v>2634</v>
      </c>
      <c r="AU634">
        <v>2020</v>
      </c>
      <c r="AV634">
        <v>5</v>
      </c>
      <c r="AW634">
        <v>1</v>
      </c>
      <c r="AX634" t="s">
        <v>74</v>
      </c>
      <c r="AY634" t="s">
        <v>74</v>
      </c>
      <c r="AZ634" t="s">
        <v>74</v>
      </c>
      <c r="BA634" t="s">
        <v>74</v>
      </c>
      <c r="BB634">
        <v>968</v>
      </c>
      <c r="BC634">
        <v>969</v>
      </c>
      <c r="BD634" t="s">
        <v>74</v>
      </c>
      <c r="BE634" t="s">
        <v>12315</v>
      </c>
      <c r="BF634" t="str">
        <f>HYPERLINK("http://dx.doi.org/10.1080/23802359.2020.1718023","http://dx.doi.org/10.1080/23802359.2020.1718023")</f>
        <v>http://dx.doi.org/10.1080/23802359.2020.1718023</v>
      </c>
      <c r="BG634" t="s">
        <v>74</v>
      </c>
      <c r="BH634" t="s">
        <v>74</v>
      </c>
      <c r="BI634">
        <v>2</v>
      </c>
      <c r="BJ634" t="s">
        <v>3824</v>
      </c>
      <c r="BK634" t="s">
        <v>103</v>
      </c>
      <c r="BL634" t="s">
        <v>3824</v>
      </c>
      <c r="BM634" t="s">
        <v>12316</v>
      </c>
      <c r="BN634">
        <v>33366830</v>
      </c>
      <c r="BO634" t="s">
        <v>1359</v>
      </c>
      <c r="BP634" t="s">
        <v>74</v>
      </c>
      <c r="BQ634" t="s">
        <v>74</v>
      </c>
      <c r="BR634" t="s">
        <v>106</v>
      </c>
      <c r="BS634" t="s">
        <v>12317</v>
      </c>
      <c r="BT634" t="str">
        <f>HYPERLINK("https%3A%2F%2Fwww.webofscience.com%2Fwos%2Fwoscc%2Ffull-record%2FWOS:000511453300001","View Full Record in Web of Science")</f>
        <v>View Full Record in Web of Science</v>
      </c>
    </row>
    <row r="635" spans="1:72" x14ac:dyDescent="0.15">
      <c r="A635" t="s">
        <v>72</v>
      </c>
      <c r="B635" t="s">
        <v>12318</v>
      </c>
      <c r="C635" t="s">
        <v>74</v>
      </c>
      <c r="D635" t="s">
        <v>74</v>
      </c>
      <c r="E635" t="s">
        <v>74</v>
      </c>
      <c r="F635" t="s">
        <v>12319</v>
      </c>
      <c r="G635" t="s">
        <v>74</v>
      </c>
      <c r="H635" t="s">
        <v>74</v>
      </c>
      <c r="I635" t="s">
        <v>12320</v>
      </c>
      <c r="J635" t="s">
        <v>12321</v>
      </c>
      <c r="K635" t="s">
        <v>74</v>
      </c>
      <c r="L635" t="s">
        <v>74</v>
      </c>
      <c r="M635" t="s">
        <v>78</v>
      </c>
      <c r="N635" t="s">
        <v>12322</v>
      </c>
      <c r="O635" t="s">
        <v>74</v>
      </c>
      <c r="P635" t="s">
        <v>74</v>
      </c>
      <c r="Q635" t="s">
        <v>74</v>
      </c>
      <c r="R635" t="s">
        <v>74</v>
      </c>
      <c r="S635" t="s">
        <v>74</v>
      </c>
      <c r="T635" t="s">
        <v>74</v>
      </c>
      <c r="U635" t="s">
        <v>74</v>
      </c>
      <c r="V635" t="s">
        <v>74</v>
      </c>
      <c r="W635" t="s">
        <v>74</v>
      </c>
      <c r="X635" t="s">
        <v>74</v>
      </c>
      <c r="Y635" t="s">
        <v>74</v>
      </c>
      <c r="Z635" t="s">
        <v>74</v>
      </c>
      <c r="AA635" t="s">
        <v>74</v>
      </c>
      <c r="AB635" t="s">
        <v>74</v>
      </c>
      <c r="AC635" t="s">
        <v>74</v>
      </c>
      <c r="AD635" t="s">
        <v>74</v>
      </c>
      <c r="AE635" t="s">
        <v>74</v>
      </c>
      <c r="AF635" t="s">
        <v>74</v>
      </c>
      <c r="AG635">
        <v>1</v>
      </c>
      <c r="AH635">
        <v>0</v>
      </c>
      <c r="AI635">
        <v>0</v>
      </c>
      <c r="AJ635">
        <v>0</v>
      </c>
      <c r="AK635">
        <v>0</v>
      </c>
      <c r="AL635" t="s">
        <v>12323</v>
      </c>
      <c r="AM635" t="s">
        <v>2628</v>
      </c>
      <c r="AN635" t="s">
        <v>12324</v>
      </c>
      <c r="AO635" t="s">
        <v>12325</v>
      </c>
      <c r="AP635" t="s">
        <v>12326</v>
      </c>
      <c r="AQ635" t="s">
        <v>74</v>
      </c>
      <c r="AR635" t="s">
        <v>12321</v>
      </c>
      <c r="AS635" t="s">
        <v>12327</v>
      </c>
      <c r="AT635" t="s">
        <v>2634</v>
      </c>
      <c r="AU635">
        <v>2020</v>
      </c>
      <c r="AV635">
        <v>106</v>
      </c>
      <c r="AW635">
        <v>1</v>
      </c>
      <c r="AX635" t="s">
        <v>74</v>
      </c>
      <c r="AY635" t="s">
        <v>74</v>
      </c>
      <c r="AZ635" t="s">
        <v>74</v>
      </c>
      <c r="BA635" t="s">
        <v>74</v>
      </c>
      <c r="BB635">
        <v>108</v>
      </c>
      <c r="BC635">
        <v>109</v>
      </c>
      <c r="BD635" t="s">
        <v>74</v>
      </c>
      <c r="BE635" t="s">
        <v>12328</v>
      </c>
      <c r="BF635" t="str">
        <f>HYPERLINK("http://dx.doi.org/10.1080/00253359.2020.1703405","http://dx.doi.org/10.1080/00253359.2020.1703405")</f>
        <v>http://dx.doi.org/10.1080/00253359.2020.1703405</v>
      </c>
      <c r="BG635" t="s">
        <v>74</v>
      </c>
      <c r="BH635" t="s">
        <v>74</v>
      </c>
      <c r="BI635">
        <v>2</v>
      </c>
      <c r="BJ635" t="s">
        <v>12329</v>
      </c>
      <c r="BK635" t="s">
        <v>3088</v>
      </c>
      <c r="BL635" t="s">
        <v>12329</v>
      </c>
      <c r="BM635" t="s">
        <v>12330</v>
      </c>
      <c r="BN635" t="s">
        <v>74</v>
      </c>
      <c r="BO635" t="s">
        <v>74</v>
      </c>
      <c r="BP635" t="s">
        <v>74</v>
      </c>
      <c r="BQ635" t="s">
        <v>74</v>
      </c>
      <c r="BR635" t="s">
        <v>106</v>
      </c>
      <c r="BS635" t="s">
        <v>12331</v>
      </c>
      <c r="BT635" t="str">
        <f>HYPERLINK("https%3A%2F%2Fwww.webofscience.com%2Fwos%2Fwoscc%2Ffull-record%2FWOS:000509675700020","View Full Record in Web of Science")</f>
        <v>View Full Record in Web of Science</v>
      </c>
    </row>
    <row r="636" spans="1:72" x14ac:dyDescent="0.15">
      <c r="A636" t="s">
        <v>72</v>
      </c>
      <c r="B636" t="s">
        <v>12332</v>
      </c>
      <c r="C636" t="s">
        <v>74</v>
      </c>
      <c r="D636" t="s">
        <v>74</v>
      </c>
      <c r="E636" t="s">
        <v>74</v>
      </c>
      <c r="F636" t="s">
        <v>12333</v>
      </c>
      <c r="G636" t="s">
        <v>74</v>
      </c>
      <c r="H636" t="s">
        <v>74</v>
      </c>
      <c r="I636" t="s">
        <v>12334</v>
      </c>
      <c r="J636" t="s">
        <v>1390</v>
      </c>
      <c r="K636" t="s">
        <v>74</v>
      </c>
      <c r="L636" t="s">
        <v>74</v>
      </c>
      <c r="M636" t="s">
        <v>78</v>
      </c>
      <c r="N636" t="s">
        <v>79</v>
      </c>
      <c r="O636" t="s">
        <v>74</v>
      </c>
      <c r="P636" t="s">
        <v>74</v>
      </c>
      <c r="Q636" t="s">
        <v>74</v>
      </c>
      <c r="R636" t="s">
        <v>74</v>
      </c>
      <c r="S636" t="s">
        <v>74</v>
      </c>
      <c r="T636" t="s">
        <v>74</v>
      </c>
      <c r="U636" t="s">
        <v>12335</v>
      </c>
      <c r="V636" t="s">
        <v>12336</v>
      </c>
      <c r="W636" t="s">
        <v>12337</v>
      </c>
      <c r="X636" t="s">
        <v>12338</v>
      </c>
      <c r="Y636" t="s">
        <v>12339</v>
      </c>
      <c r="Z636" t="s">
        <v>12340</v>
      </c>
      <c r="AA636" t="s">
        <v>12341</v>
      </c>
      <c r="AB636" t="s">
        <v>12342</v>
      </c>
      <c r="AC636" t="s">
        <v>12343</v>
      </c>
      <c r="AD636" t="s">
        <v>12344</v>
      </c>
      <c r="AE636" t="s">
        <v>12345</v>
      </c>
      <c r="AF636" t="s">
        <v>74</v>
      </c>
      <c r="AG636">
        <v>40</v>
      </c>
      <c r="AH636">
        <v>4</v>
      </c>
      <c r="AI636">
        <v>4</v>
      </c>
      <c r="AJ636">
        <v>6</v>
      </c>
      <c r="AK636">
        <v>18</v>
      </c>
      <c r="AL636" t="s">
        <v>976</v>
      </c>
      <c r="AM636" t="s">
        <v>977</v>
      </c>
      <c r="AN636" t="s">
        <v>978</v>
      </c>
      <c r="AO636" t="s">
        <v>1399</v>
      </c>
      <c r="AP636" t="s">
        <v>1400</v>
      </c>
      <c r="AQ636" t="s">
        <v>74</v>
      </c>
      <c r="AR636" t="s">
        <v>1390</v>
      </c>
      <c r="AS636" t="s">
        <v>1401</v>
      </c>
      <c r="AT636" t="s">
        <v>2634</v>
      </c>
      <c r="AU636">
        <v>2020</v>
      </c>
      <c r="AV636">
        <v>17</v>
      </c>
      <c r="AW636">
        <v>1</v>
      </c>
      <c r="AX636" t="s">
        <v>74</v>
      </c>
      <c r="AY636" t="s">
        <v>74</v>
      </c>
      <c r="AZ636" t="s">
        <v>74</v>
      </c>
      <c r="BA636" t="s">
        <v>74</v>
      </c>
      <c r="BB636">
        <v>1</v>
      </c>
      <c r="BC636">
        <v>12</v>
      </c>
      <c r="BD636" t="s">
        <v>74</v>
      </c>
      <c r="BE636" t="s">
        <v>12346</v>
      </c>
      <c r="BF636" t="str">
        <f>HYPERLINK("http://dx.doi.org/10.5194/bg-17-1-2020","http://dx.doi.org/10.5194/bg-17-1-2020")</f>
        <v>http://dx.doi.org/10.5194/bg-17-1-2020</v>
      </c>
      <c r="BG636" t="s">
        <v>74</v>
      </c>
      <c r="BH636" t="s">
        <v>74</v>
      </c>
      <c r="BI636">
        <v>12</v>
      </c>
      <c r="BJ636" t="s">
        <v>1404</v>
      </c>
      <c r="BK636" t="s">
        <v>103</v>
      </c>
      <c r="BL636" t="s">
        <v>1405</v>
      </c>
      <c r="BM636" t="s">
        <v>12347</v>
      </c>
      <c r="BN636" t="s">
        <v>74</v>
      </c>
      <c r="BO636" t="s">
        <v>12348</v>
      </c>
      <c r="BP636" t="s">
        <v>74</v>
      </c>
      <c r="BQ636" t="s">
        <v>74</v>
      </c>
      <c r="BR636" t="s">
        <v>106</v>
      </c>
      <c r="BS636" t="s">
        <v>12349</v>
      </c>
      <c r="BT636" t="str">
        <f>HYPERLINK("https%3A%2F%2Fwww.webofscience.com%2Fwos%2Fwoscc%2Ffull-record%2FWOS:000505669100001","View Full Record in Web of Science")</f>
        <v>View Full Record in Web of Science</v>
      </c>
    </row>
    <row r="637" spans="1:72" x14ac:dyDescent="0.15">
      <c r="A637" t="s">
        <v>72</v>
      </c>
      <c r="B637" t="s">
        <v>12350</v>
      </c>
      <c r="C637" t="s">
        <v>74</v>
      </c>
      <c r="D637" t="s">
        <v>74</v>
      </c>
      <c r="E637" t="s">
        <v>74</v>
      </c>
      <c r="F637" t="s">
        <v>12351</v>
      </c>
      <c r="G637" t="s">
        <v>74</v>
      </c>
      <c r="H637" t="s">
        <v>74</v>
      </c>
      <c r="I637" t="s">
        <v>12352</v>
      </c>
      <c r="J637" t="s">
        <v>12353</v>
      </c>
      <c r="K637" t="s">
        <v>74</v>
      </c>
      <c r="L637" t="s">
        <v>74</v>
      </c>
      <c r="M637" t="s">
        <v>78</v>
      </c>
      <c r="N637" t="s">
        <v>79</v>
      </c>
      <c r="O637" t="s">
        <v>74</v>
      </c>
      <c r="P637" t="s">
        <v>74</v>
      </c>
      <c r="Q637" t="s">
        <v>74</v>
      </c>
      <c r="R637" t="s">
        <v>74</v>
      </c>
      <c r="S637" t="s">
        <v>74</v>
      </c>
      <c r="T637" t="s">
        <v>12354</v>
      </c>
      <c r="U637" t="s">
        <v>12355</v>
      </c>
      <c r="V637" t="s">
        <v>12356</v>
      </c>
      <c r="W637" t="s">
        <v>12357</v>
      </c>
      <c r="X637" t="s">
        <v>12358</v>
      </c>
      <c r="Y637" t="s">
        <v>12359</v>
      </c>
      <c r="Z637" t="s">
        <v>12360</v>
      </c>
      <c r="AA637" t="s">
        <v>74</v>
      </c>
      <c r="AB637" t="s">
        <v>12361</v>
      </c>
      <c r="AC637" t="s">
        <v>12362</v>
      </c>
      <c r="AD637" t="s">
        <v>12362</v>
      </c>
      <c r="AE637" t="s">
        <v>12363</v>
      </c>
      <c r="AF637" t="s">
        <v>74</v>
      </c>
      <c r="AG637">
        <v>62</v>
      </c>
      <c r="AH637">
        <v>3</v>
      </c>
      <c r="AI637">
        <v>3</v>
      </c>
      <c r="AJ637">
        <v>0</v>
      </c>
      <c r="AK637">
        <v>18</v>
      </c>
      <c r="AL637" t="s">
        <v>121</v>
      </c>
      <c r="AM637" t="s">
        <v>122</v>
      </c>
      <c r="AN637" t="s">
        <v>123</v>
      </c>
      <c r="AO637" t="s">
        <v>12364</v>
      </c>
      <c r="AP637" t="s">
        <v>12365</v>
      </c>
      <c r="AQ637" t="s">
        <v>74</v>
      </c>
      <c r="AR637" t="s">
        <v>12366</v>
      </c>
      <c r="AS637" t="s">
        <v>12367</v>
      </c>
      <c r="AT637" t="s">
        <v>2912</v>
      </c>
      <c r="AU637">
        <v>2020</v>
      </c>
      <c r="AV637">
        <v>54</v>
      </c>
      <c r="AW637">
        <v>1</v>
      </c>
      <c r="AX637" t="s">
        <v>74</v>
      </c>
      <c r="AY637" t="s">
        <v>74</v>
      </c>
      <c r="AZ637" t="s">
        <v>74</v>
      </c>
      <c r="BA637" t="s">
        <v>74</v>
      </c>
      <c r="BB637">
        <v>281</v>
      </c>
      <c r="BC637">
        <v>294</v>
      </c>
      <c r="BD637" t="s">
        <v>74</v>
      </c>
      <c r="BE637" t="s">
        <v>12368</v>
      </c>
      <c r="BF637" t="str">
        <f>HYPERLINK("http://dx.doi.org/10.1007/s10452-019-09742-z","http://dx.doi.org/10.1007/s10452-019-09742-z")</f>
        <v>http://dx.doi.org/10.1007/s10452-019-09742-z</v>
      </c>
      <c r="BG637" t="s">
        <v>74</v>
      </c>
      <c r="BH637" t="s">
        <v>10613</v>
      </c>
      <c r="BI637">
        <v>14</v>
      </c>
      <c r="BJ637" t="s">
        <v>12369</v>
      </c>
      <c r="BK637" t="s">
        <v>103</v>
      </c>
      <c r="BL637" t="s">
        <v>1357</v>
      </c>
      <c r="BM637" t="s">
        <v>12370</v>
      </c>
      <c r="BN637" t="s">
        <v>74</v>
      </c>
      <c r="BO637" t="s">
        <v>74</v>
      </c>
      <c r="BP637" t="s">
        <v>74</v>
      </c>
      <c r="BQ637" t="s">
        <v>74</v>
      </c>
      <c r="BR637" t="s">
        <v>106</v>
      </c>
      <c r="BS637" t="s">
        <v>12371</v>
      </c>
      <c r="BT637" t="str">
        <f>HYPERLINK("https%3A%2F%2Fwww.webofscience.com%2Fwos%2Fwoscc%2Ffull-record%2FWOS:000505365700001","View Full Record in Web of Science")</f>
        <v>View Full Record in Web of Science</v>
      </c>
    </row>
    <row r="638" spans="1:72" x14ac:dyDescent="0.15">
      <c r="A638" t="s">
        <v>72</v>
      </c>
      <c r="B638" t="s">
        <v>12372</v>
      </c>
      <c r="C638" t="s">
        <v>74</v>
      </c>
      <c r="D638" t="s">
        <v>74</v>
      </c>
      <c r="E638" t="s">
        <v>74</v>
      </c>
      <c r="F638" t="s">
        <v>12373</v>
      </c>
      <c r="G638" t="s">
        <v>74</v>
      </c>
      <c r="H638" t="s">
        <v>74</v>
      </c>
      <c r="I638" t="s">
        <v>12374</v>
      </c>
      <c r="J638" t="s">
        <v>12375</v>
      </c>
      <c r="K638" t="s">
        <v>74</v>
      </c>
      <c r="L638" t="s">
        <v>74</v>
      </c>
      <c r="M638" t="s">
        <v>78</v>
      </c>
      <c r="N638" t="s">
        <v>79</v>
      </c>
      <c r="O638" t="s">
        <v>74</v>
      </c>
      <c r="P638" t="s">
        <v>74</v>
      </c>
      <c r="Q638" t="s">
        <v>74</v>
      </c>
      <c r="R638" t="s">
        <v>74</v>
      </c>
      <c r="S638" t="s">
        <v>74</v>
      </c>
      <c r="T638" t="s">
        <v>12376</v>
      </c>
      <c r="U638" t="s">
        <v>12377</v>
      </c>
      <c r="V638" t="s">
        <v>12378</v>
      </c>
      <c r="W638" t="s">
        <v>12379</v>
      </c>
      <c r="X638" t="s">
        <v>12380</v>
      </c>
      <c r="Y638" t="s">
        <v>12381</v>
      </c>
      <c r="Z638" t="s">
        <v>12382</v>
      </c>
      <c r="AA638" t="s">
        <v>12383</v>
      </c>
      <c r="AB638" t="s">
        <v>74</v>
      </c>
      <c r="AC638" t="s">
        <v>12384</v>
      </c>
      <c r="AD638" t="s">
        <v>12385</v>
      </c>
      <c r="AE638" t="s">
        <v>12386</v>
      </c>
      <c r="AF638" t="s">
        <v>74</v>
      </c>
      <c r="AG638">
        <v>49</v>
      </c>
      <c r="AH638">
        <v>8</v>
      </c>
      <c r="AI638">
        <v>8</v>
      </c>
      <c r="AJ638">
        <v>2</v>
      </c>
      <c r="AK638">
        <v>38</v>
      </c>
      <c r="AL638" t="s">
        <v>12387</v>
      </c>
      <c r="AM638" t="s">
        <v>4659</v>
      </c>
      <c r="AN638" t="s">
        <v>12388</v>
      </c>
      <c r="AO638" t="s">
        <v>12389</v>
      </c>
      <c r="AP638" t="s">
        <v>12390</v>
      </c>
      <c r="AQ638" t="s">
        <v>74</v>
      </c>
      <c r="AR638" t="s">
        <v>12391</v>
      </c>
      <c r="AS638" t="s">
        <v>12392</v>
      </c>
      <c r="AT638" t="s">
        <v>803</v>
      </c>
      <c r="AU638">
        <v>2021</v>
      </c>
      <c r="AV638">
        <v>57</v>
      </c>
      <c r="AW638">
        <v>1</v>
      </c>
      <c r="AX638" t="s">
        <v>74</v>
      </c>
      <c r="AY638" t="s">
        <v>74</v>
      </c>
      <c r="AZ638" t="s">
        <v>74</v>
      </c>
      <c r="BA638" t="s">
        <v>74</v>
      </c>
      <c r="BB638">
        <v>1</v>
      </c>
      <c r="BC638">
        <v>16</v>
      </c>
      <c r="BD638" t="s">
        <v>74</v>
      </c>
      <c r="BE638" t="s">
        <v>12393</v>
      </c>
      <c r="BF638" t="str">
        <f>HYPERLINK("http://dx.doi.org/10.1007/s13143-019-00157-2","http://dx.doi.org/10.1007/s13143-019-00157-2")</f>
        <v>http://dx.doi.org/10.1007/s13143-019-00157-2</v>
      </c>
      <c r="BG638" t="s">
        <v>74</v>
      </c>
      <c r="BH638" t="s">
        <v>10613</v>
      </c>
      <c r="BI638">
        <v>16</v>
      </c>
      <c r="BJ638" t="s">
        <v>907</v>
      </c>
      <c r="BK638" t="s">
        <v>103</v>
      </c>
      <c r="BL638" t="s">
        <v>907</v>
      </c>
      <c r="BM638" t="s">
        <v>12394</v>
      </c>
      <c r="BN638" t="s">
        <v>74</v>
      </c>
      <c r="BO638" t="s">
        <v>74</v>
      </c>
      <c r="BP638" t="s">
        <v>74</v>
      </c>
      <c r="BQ638" t="s">
        <v>74</v>
      </c>
      <c r="BR638" t="s">
        <v>106</v>
      </c>
      <c r="BS638" t="s">
        <v>12395</v>
      </c>
      <c r="BT638" t="str">
        <f>HYPERLINK("https%3A%2F%2Fwww.webofscience.com%2Fwos%2Fwoscc%2Ffull-record%2FWOS:000505487600001","View Full Record in Web of Science")</f>
        <v>View Full Record in Web of Science</v>
      </c>
    </row>
    <row r="639" spans="1:72" x14ac:dyDescent="0.15">
      <c r="A639" t="s">
        <v>72</v>
      </c>
      <c r="B639" t="s">
        <v>12396</v>
      </c>
      <c r="C639" t="s">
        <v>74</v>
      </c>
      <c r="D639" t="s">
        <v>74</v>
      </c>
      <c r="E639" t="s">
        <v>74</v>
      </c>
      <c r="F639" t="s">
        <v>12397</v>
      </c>
      <c r="G639" t="s">
        <v>74</v>
      </c>
      <c r="H639" t="s">
        <v>74</v>
      </c>
      <c r="I639" t="s">
        <v>12398</v>
      </c>
      <c r="J639" t="s">
        <v>12399</v>
      </c>
      <c r="K639" t="s">
        <v>74</v>
      </c>
      <c r="L639" t="s">
        <v>74</v>
      </c>
      <c r="M639" t="s">
        <v>78</v>
      </c>
      <c r="N639" t="s">
        <v>79</v>
      </c>
      <c r="O639" t="s">
        <v>74</v>
      </c>
      <c r="P639" t="s">
        <v>74</v>
      </c>
      <c r="Q639" t="s">
        <v>74</v>
      </c>
      <c r="R639" t="s">
        <v>74</v>
      </c>
      <c r="S639" t="s">
        <v>74</v>
      </c>
      <c r="T639" t="s">
        <v>12400</v>
      </c>
      <c r="U639" t="s">
        <v>74</v>
      </c>
      <c r="V639" t="s">
        <v>12401</v>
      </c>
      <c r="W639" t="s">
        <v>12402</v>
      </c>
      <c r="X639" t="s">
        <v>12403</v>
      </c>
      <c r="Y639" t="s">
        <v>12404</v>
      </c>
      <c r="Z639" t="s">
        <v>12405</v>
      </c>
      <c r="AA639" t="s">
        <v>74</v>
      </c>
      <c r="AB639" t="s">
        <v>12406</v>
      </c>
      <c r="AC639" t="s">
        <v>12407</v>
      </c>
      <c r="AD639" t="s">
        <v>1736</v>
      </c>
      <c r="AE639" t="s">
        <v>74</v>
      </c>
      <c r="AF639" t="s">
        <v>74</v>
      </c>
      <c r="AG639">
        <v>53</v>
      </c>
      <c r="AH639">
        <v>2</v>
      </c>
      <c r="AI639">
        <v>3</v>
      </c>
      <c r="AJ639">
        <v>3</v>
      </c>
      <c r="AK639">
        <v>26</v>
      </c>
      <c r="AL639" t="s">
        <v>12323</v>
      </c>
      <c r="AM639" t="s">
        <v>2628</v>
      </c>
      <c r="AN639" t="s">
        <v>12324</v>
      </c>
      <c r="AO639" t="s">
        <v>12408</v>
      </c>
      <c r="AP639" t="s">
        <v>12409</v>
      </c>
      <c r="AQ639" t="s">
        <v>74</v>
      </c>
      <c r="AR639" t="s">
        <v>12410</v>
      </c>
      <c r="AS639" t="s">
        <v>12411</v>
      </c>
      <c r="AT639" t="s">
        <v>2634</v>
      </c>
      <c r="AU639">
        <v>2020</v>
      </c>
      <c r="AV639">
        <v>136</v>
      </c>
      <c r="AW639" t="s">
        <v>12412</v>
      </c>
      <c r="AX639" t="s">
        <v>74</v>
      </c>
      <c r="AY639" t="s">
        <v>74</v>
      </c>
      <c r="AZ639" t="s">
        <v>342</v>
      </c>
      <c r="BA639" t="s">
        <v>74</v>
      </c>
      <c r="BB639">
        <v>13</v>
      </c>
      <c r="BC639">
        <v>23</v>
      </c>
      <c r="BD639" t="s">
        <v>74</v>
      </c>
      <c r="BE639" t="s">
        <v>12413</v>
      </c>
      <c r="BF639" t="str">
        <f>HYPERLINK("http://dx.doi.org/10.1080/14702541.2020.1853870","http://dx.doi.org/10.1080/14702541.2020.1853870")</f>
        <v>http://dx.doi.org/10.1080/14702541.2020.1853870</v>
      </c>
      <c r="BG639" t="s">
        <v>74</v>
      </c>
      <c r="BH639" t="s">
        <v>74</v>
      </c>
      <c r="BI639">
        <v>11</v>
      </c>
      <c r="BJ639" t="s">
        <v>4572</v>
      </c>
      <c r="BK639" t="s">
        <v>3467</v>
      </c>
      <c r="BL639" t="s">
        <v>4572</v>
      </c>
      <c r="BM639" t="s">
        <v>12414</v>
      </c>
      <c r="BN639" t="s">
        <v>74</v>
      </c>
      <c r="BO639" t="s">
        <v>133</v>
      </c>
      <c r="BP639" t="s">
        <v>74</v>
      </c>
      <c r="BQ639" t="s">
        <v>74</v>
      </c>
      <c r="BR639" t="s">
        <v>106</v>
      </c>
      <c r="BS639" t="s">
        <v>12415</v>
      </c>
      <c r="BT639" t="str">
        <f>HYPERLINK("https%3A%2F%2Fwww.webofscience.com%2Fwos%2Fwoscc%2Ffull-record%2FWOS:000617980600003","View Full Record in Web of Science")</f>
        <v>View Full Record in Web of Science</v>
      </c>
    </row>
    <row r="640" spans="1:72" x14ac:dyDescent="0.15">
      <c r="A640" t="s">
        <v>12416</v>
      </c>
      <c r="B640" t="s">
        <v>12417</v>
      </c>
      <c r="C640" t="s">
        <v>12417</v>
      </c>
      <c r="D640" t="s">
        <v>74</v>
      </c>
      <c r="E640" t="s">
        <v>74</v>
      </c>
      <c r="F640" t="s">
        <v>12418</v>
      </c>
      <c r="G640" t="s">
        <v>12417</v>
      </c>
      <c r="H640" t="s">
        <v>74</v>
      </c>
      <c r="I640" t="s">
        <v>12419</v>
      </c>
      <c r="J640" t="s">
        <v>12420</v>
      </c>
      <c r="K640" t="s">
        <v>74</v>
      </c>
      <c r="L640" t="s">
        <v>74</v>
      </c>
      <c r="M640" t="s">
        <v>12421</v>
      </c>
      <c r="N640" t="s">
        <v>12422</v>
      </c>
      <c r="O640" t="s">
        <v>74</v>
      </c>
      <c r="P640" t="s">
        <v>74</v>
      </c>
      <c r="Q640" t="s">
        <v>74</v>
      </c>
      <c r="R640" t="s">
        <v>74</v>
      </c>
      <c r="S640" t="s">
        <v>74</v>
      </c>
      <c r="T640" t="s">
        <v>74</v>
      </c>
      <c r="U640" t="s">
        <v>12423</v>
      </c>
      <c r="V640" t="s">
        <v>74</v>
      </c>
      <c r="W640" t="s">
        <v>12424</v>
      </c>
      <c r="X640" t="s">
        <v>12425</v>
      </c>
      <c r="Y640" t="s">
        <v>12426</v>
      </c>
      <c r="Z640" t="s">
        <v>74</v>
      </c>
      <c r="AA640" t="s">
        <v>12427</v>
      </c>
      <c r="AB640" t="s">
        <v>12428</v>
      </c>
      <c r="AC640" t="s">
        <v>74</v>
      </c>
      <c r="AD640" t="s">
        <v>74</v>
      </c>
      <c r="AE640" t="s">
        <v>74</v>
      </c>
      <c r="AF640" t="s">
        <v>74</v>
      </c>
      <c r="AG640">
        <v>531</v>
      </c>
      <c r="AH640">
        <v>0</v>
      </c>
      <c r="AI640">
        <v>0</v>
      </c>
      <c r="AJ640">
        <v>0</v>
      </c>
      <c r="AK640">
        <v>2</v>
      </c>
      <c r="AL640" t="s">
        <v>12429</v>
      </c>
      <c r="AM640" t="s">
        <v>12430</v>
      </c>
      <c r="AN640" t="s">
        <v>12431</v>
      </c>
      <c r="AO640" t="s">
        <v>74</v>
      </c>
      <c r="AP640" t="s">
        <v>74</v>
      </c>
      <c r="AQ640" t="s">
        <v>12432</v>
      </c>
      <c r="AR640" t="s">
        <v>74</v>
      </c>
      <c r="AS640" t="s">
        <v>74</v>
      </c>
      <c r="AT640" t="s">
        <v>74</v>
      </c>
      <c r="AU640">
        <v>2020</v>
      </c>
      <c r="AV640" t="s">
        <v>74</v>
      </c>
      <c r="AW640" t="s">
        <v>74</v>
      </c>
      <c r="AX640" t="s">
        <v>74</v>
      </c>
      <c r="AY640" t="s">
        <v>74</v>
      </c>
      <c r="AZ640" t="s">
        <v>74</v>
      </c>
      <c r="BA640" t="s">
        <v>74</v>
      </c>
      <c r="BB640">
        <v>43</v>
      </c>
      <c r="BC640">
        <v>116</v>
      </c>
      <c r="BD640" t="s">
        <v>74</v>
      </c>
      <c r="BE640" t="s">
        <v>12433</v>
      </c>
      <c r="BF640" t="str">
        <f>HYPERLINK("http://dx.doi.org/10.1007/978-3-662-59791-0_3","http://dx.doi.org/10.1007/978-3-662-59791-0_3")</f>
        <v>http://dx.doi.org/10.1007/978-3-662-59791-0_3</v>
      </c>
      <c r="BG640" t="s">
        <v>12434</v>
      </c>
      <c r="BH640" t="s">
        <v>74</v>
      </c>
      <c r="BI640">
        <v>74</v>
      </c>
      <c r="BJ640" t="s">
        <v>12435</v>
      </c>
      <c r="BK640" t="s">
        <v>12436</v>
      </c>
      <c r="BL640" t="s">
        <v>12437</v>
      </c>
      <c r="BM640" t="s">
        <v>12438</v>
      </c>
      <c r="BN640" t="s">
        <v>74</v>
      </c>
      <c r="BO640" t="s">
        <v>74</v>
      </c>
      <c r="BP640" t="s">
        <v>74</v>
      </c>
      <c r="BQ640" t="s">
        <v>74</v>
      </c>
      <c r="BR640" t="s">
        <v>106</v>
      </c>
      <c r="BS640" t="s">
        <v>12439</v>
      </c>
      <c r="BT640" t="str">
        <f>HYPERLINK("https%3A%2F%2Fwww.webofscience.com%2Fwos%2Fwoscc%2Ffull-record%2FWOS:000717158700004","View Full Record in Web of Science")</f>
        <v>View Full Record in Web of Science</v>
      </c>
    </row>
    <row r="641" spans="1:72" x14ac:dyDescent="0.15">
      <c r="A641" t="s">
        <v>12440</v>
      </c>
      <c r="B641" t="s">
        <v>12441</v>
      </c>
      <c r="C641" t="s">
        <v>74</v>
      </c>
      <c r="D641" t="s">
        <v>74</v>
      </c>
      <c r="E641" t="s">
        <v>12442</v>
      </c>
      <c r="F641" t="s">
        <v>12443</v>
      </c>
      <c r="G641" t="s">
        <v>74</v>
      </c>
      <c r="H641" t="s">
        <v>74</v>
      </c>
      <c r="I641" t="s">
        <v>12444</v>
      </c>
      <c r="J641" t="s">
        <v>12445</v>
      </c>
      <c r="K641" t="s">
        <v>12446</v>
      </c>
      <c r="L641" t="s">
        <v>74</v>
      </c>
      <c r="M641" t="s">
        <v>78</v>
      </c>
      <c r="N641" t="s">
        <v>12447</v>
      </c>
      <c r="O641" t="s">
        <v>12448</v>
      </c>
      <c r="P641" t="s">
        <v>12449</v>
      </c>
      <c r="Q641" t="s">
        <v>12450</v>
      </c>
      <c r="R641" t="s">
        <v>74</v>
      </c>
      <c r="S641" t="s">
        <v>74</v>
      </c>
      <c r="T641" t="s">
        <v>74</v>
      </c>
      <c r="U641" t="s">
        <v>74</v>
      </c>
      <c r="V641" t="s">
        <v>12451</v>
      </c>
      <c r="W641" t="s">
        <v>12452</v>
      </c>
      <c r="X641" t="s">
        <v>12453</v>
      </c>
      <c r="Y641" t="s">
        <v>12454</v>
      </c>
      <c r="Z641" t="s">
        <v>74</v>
      </c>
      <c r="AA641" t="s">
        <v>74</v>
      </c>
      <c r="AB641" t="s">
        <v>12455</v>
      </c>
      <c r="AC641" t="s">
        <v>12456</v>
      </c>
      <c r="AD641" t="s">
        <v>12457</v>
      </c>
      <c r="AE641" t="s">
        <v>12458</v>
      </c>
      <c r="AF641" t="s">
        <v>74</v>
      </c>
      <c r="AG641">
        <v>15</v>
      </c>
      <c r="AH641">
        <v>0</v>
      </c>
      <c r="AI641">
        <v>0</v>
      </c>
      <c r="AJ641">
        <v>0</v>
      </c>
      <c r="AK641">
        <v>0</v>
      </c>
      <c r="AL641" t="s">
        <v>12442</v>
      </c>
      <c r="AM641" t="s">
        <v>166</v>
      </c>
      <c r="AN641" t="s">
        <v>12459</v>
      </c>
      <c r="AO641" t="s">
        <v>12460</v>
      </c>
      <c r="AP641" t="s">
        <v>74</v>
      </c>
      <c r="AQ641" t="s">
        <v>12461</v>
      </c>
      <c r="AR641" t="s">
        <v>12446</v>
      </c>
      <c r="AS641" t="s">
        <v>74</v>
      </c>
      <c r="AT641" t="s">
        <v>74</v>
      </c>
      <c r="AU641">
        <v>2020</v>
      </c>
      <c r="AV641" t="s">
        <v>74</v>
      </c>
      <c r="AW641" t="s">
        <v>74</v>
      </c>
      <c r="AX641" t="s">
        <v>74</v>
      </c>
      <c r="AY641" t="s">
        <v>74</v>
      </c>
      <c r="AZ641" t="s">
        <v>74</v>
      </c>
      <c r="BA641" t="s">
        <v>74</v>
      </c>
      <c r="BB641" t="s">
        <v>74</v>
      </c>
      <c r="BC641" t="s">
        <v>74</v>
      </c>
      <c r="BD641" t="s">
        <v>74</v>
      </c>
      <c r="BE641" t="s">
        <v>12462</v>
      </c>
      <c r="BF641" t="str">
        <f>HYPERLINK("http://dx.doi.org/10.1109/IEEECONF38699.2020.9389420","http://dx.doi.org/10.1109/IEEECONF38699.2020.9389420")</f>
        <v>http://dx.doi.org/10.1109/IEEECONF38699.2020.9389420</v>
      </c>
      <c r="BG641" t="s">
        <v>74</v>
      </c>
      <c r="BH641" t="s">
        <v>74</v>
      </c>
      <c r="BI641">
        <v>9</v>
      </c>
      <c r="BJ641" t="s">
        <v>12463</v>
      </c>
      <c r="BK641" t="s">
        <v>12464</v>
      </c>
      <c r="BL641" t="s">
        <v>9885</v>
      </c>
      <c r="BM641" t="s">
        <v>12465</v>
      </c>
      <c r="BN641" t="s">
        <v>74</v>
      </c>
      <c r="BO641" t="s">
        <v>74</v>
      </c>
      <c r="BP641" t="s">
        <v>74</v>
      </c>
      <c r="BQ641" t="s">
        <v>74</v>
      </c>
      <c r="BR641" t="s">
        <v>106</v>
      </c>
      <c r="BS641" t="s">
        <v>12466</v>
      </c>
      <c r="BT641" t="str">
        <f>HYPERLINK("https%3A%2F%2Fwww.webofscience.com%2Fwos%2Fwoscc%2Ffull-record%2FWOS:000669813302120","View Full Record in Web of Science")</f>
        <v>View Full Record in Web of Science</v>
      </c>
    </row>
    <row r="642" spans="1:72" x14ac:dyDescent="0.15">
      <c r="A642" t="s">
        <v>12440</v>
      </c>
      <c r="B642" t="s">
        <v>12467</v>
      </c>
      <c r="C642" t="s">
        <v>74</v>
      </c>
      <c r="D642" t="s">
        <v>74</v>
      </c>
      <c r="E642" t="s">
        <v>12442</v>
      </c>
      <c r="F642" t="s">
        <v>12468</v>
      </c>
      <c r="G642" t="s">
        <v>74</v>
      </c>
      <c r="H642" t="s">
        <v>74</v>
      </c>
      <c r="I642" t="s">
        <v>12469</v>
      </c>
      <c r="J642" t="s">
        <v>12445</v>
      </c>
      <c r="K642" t="s">
        <v>12446</v>
      </c>
      <c r="L642" t="s">
        <v>74</v>
      </c>
      <c r="M642" t="s">
        <v>78</v>
      </c>
      <c r="N642" t="s">
        <v>12447</v>
      </c>
      <c r="O642" t="s">
        <v>12448</v>
      </c>
      <c r="P642" t="s">
        <v>12449</v>
      </c>
      <c r="Q642" t="s">
        <v>12450</v>
      </c>
      <c r="R642" t="s">
        <v>74</v>
      </c>
      <c r="S642" t="s">
        <v>74</v>
      </c>
      <c r="T642" t="s">
        <v>12470</v>
      </c>
      <c r="U642" t="s">
        <v>74</v>
      </c>
      <c r="V642" t="s">
        <v>12471</v>
      </c>
      <c r="W642" t="s">
        <v>12472</v>
      </c>
      <c r="X642" t="s">
        <v>12473</v>
      </c>
      <c r="Y642" t="s">
        <v>12474</v>
      </c>
      <c r="Z642" t="s">
        <v>74</v>
      </c>
      <c r="AA642" t="s">
        <v>12475</v>
      </c>
      <c r="AB642" t="s">
        <v>12476</v>
      </c>
      <c r="AC642" t="s">
        <v>12477</v>
      </c>
      <c r="AD642" t="s">
        <v>12478</v>
      </c>
      <c r="AE642" t="s">
        <v>12479</v>
      </c>
      <c r="AF642" t="s">
        <v>74</v>
      </c>
      <c r="AG642">
        <v>16</v>
      </c>
      <c r="AH642">
        <v>1</v>
      </c>
      <c r="AI642">
        <v>1</v>
      </c>
      <c r="AJ642">
        <v>3</v>
      </c>
      <c r="AK642">
        <v>7</v>
      </c>
      <c r="AL642" t="s">
        <v>12442</v>
      </c>
      <c r="AM642" t="s">
        <v>166</v>
      </c>
      <c r="AN642" t="s">
        <v>12459</v>
      </c>
      <c r="AO642" t="s">
        <v>12460</v>
      </c>
      <c r="AP642" t="s">
        <v>74</v>
      </c>
      <c r="AQ642" t="s">
        <v>12461</v>
      </c>
      <c r="AR642" t="s">
        <v>12446</v>
      </c>
      <c r="AS642" t="s">
        <v>74</v>
      </c>
      <c r="AT642" t="s">
        <v>74</v>
      </c>
      <c r="AU642">
        <v>2020</v>
      </c>
      <c r="AV642" t="s">
        <v>74</v>
      </c>
      <c r="AW642" t="s">
        <v>74</v>
      </c>
      <c r="AX642" t="s">
        <v>74</v>
      </c>
      <c r="AY642" t="s">
        <v>74</v>
      </c>
      <c r="AZ642" t="s">
        <v>74</v>
      </c>
      <c r="BA642" t="s">
        <v>74</v>
      </c>
      <c r="BB642" t="s">
        <v>74</v>
      </c>
      <c r="BC642" t="s">
        <v>74</v>
      </c>
      <c r="BD642" t="s">
        <v>74</v>
      </c>
      <c r="BE642" t="s">
        <v>12480</v>
      </c>
      <c r="BF642" t="str">
        <f>HYPERLINK("http://dx.doi.org/10.1109/IEEECONF38699.2020.9389229","http://dx.doi.org/10.1109/IEEECONF38699.2020.9389229")</f>
        <v>http://dx.doi.org/10.1109/IEEECONF38699.2020.9389229</v>
      </c>
      <c r="BG642" t="s">
        <v>74</v>
      </c>
      <c r="BH642" t="s">
        <v>74</v>
      </c>
      <c r="BI642">
        <v>5</v>
      </c>
      <c r="BJ642" t="s">
        <v>12463</v>
      </c>
      <c r="BK642" t="s">
        <v>12464</v>
      </c>
      <c r="BL642" t="s">
        <v>9885</v>
      </c>
      <c r="BM642" t="s">
        <v>12465</v>
      </c>
      <c r="BN642" t="s">
        <v>74</v>
      </c>
      <c r="BO642" t="s">
        <v>74</v>
      </c>
      <c r="BP642" t="s">
        <v>74</v>
      </c>
      <c r="BQ642" t="s">
        <v>74</v>
      </c>
      <c r="BR642" t="s">
        <v>106</v>
      </c>
      <c r="BS642" t="s">
        <v>12481</v>
      </c>
      <c r="BT642" t="str">
        <f>HYPERLINK("https%3A%2F%2Fwww.webofscience.com%2Fwos%2Fwoscc%2Ffull-record%2FWOS:000669813301092","View Full Record in Web of Science")</f>
        <v>View Full Record in Web of Science</v>
      </c>
    </row>
    <row r="643" spans="1:72" x14ac:dyDescent="0.15">
      <c r="A643" t="s">
        <v>12440</v>
      </c>
      <c r="B643" t="s">
        <v>12482</v>
      </c>
      <c r="C643" t="s">
        <v>74</v>
      </c>
      <c r="D643" t="s">
        <v>74</v>
      </c>
      <c r="E643" t="s">
        <v>12442</v>
      </c>
      <c r="F643" t="s">
        <v>12483</v>
      </c>
      <c r="G643" t="s">
        <v>74</v>
      </c>
      <c r="H643" t="s">
        <v>74</v>
      </c>
      <c r="I643" t="s">
        <v>12484</v>
      </c>
      <c r="J643" t="s">
        <v>12445</v>
      </c>
      <c r="K643" t="s">
        <v>12446</v>
      </c>
      <c r="L643" t="s">
        <v>74</v>
      </c>
      <c r="M643" t="s">
        <v>78</v>
      </c>
      <c r="N643" t="s">
        <v>12447</v>
      </c>
      <c r="O643" t="s">
        <v>12448</v>
      </c>
      <c r="P643" t="s">
        <v>12449</v>
      </c>
      <c r="Q643" t="s">
        <v>12450</v>
      </c>
      <c r="R643" t="s">
        <v>74</v>
      </c>
      <c r="S643" t="s">
        <v>74</v>
      </c>
      <c r="T643" t="s">
        <v>12485</v>
      </c>
      <c r="U643" t="s">
        <v>74</v>
      </c>
      <c r="V643" t="s">
        <v>12486</v>
      </c>
      <c r="W643" t="s">
        <v>12487</v>
      </c>
      <c r="X643" t="s">
        <v>12488</v>
      </c>
      <c r="Y643" t="s">
        <v>12489</v>
      </c>
      <c r="Z643" t="s">
        <v>74</v>
      </c>
      <c r="AA643" t="s">
        <v>12490</v>
      </c>
      <c r="AB643" t="s">
        <v>12491</v>
      </c>
      <c r="AC643" t="s">
        <v>12492</v>
      </c>
      <c r="AD643" t="s">
        <v>12493</v>
      </c>
      <c r="AE643" t="s">
        <v>12494</v>
      </c>
      <c r="AF643" t="s">
        <v>74</v>
      </c>
      <c r="AG643">
        <v>2</v>
      </c>
      <c r="AH643">
        <v>2</v>
      </c>
      <c r="AI643">
        <v>2</v>
      </c>
      <c r="AJ643">
        <v>1</v>
      </c>
      <c r="AK643">
        <v>13</v>
      </c>
      <c r="AL643" t="s">
        <v>12442</v>
      </c>
      <c r="AM643" t="s">
        <v>166</v>
      </c>
      <c r="AN643" t="s">
        <v>12459</v>
      </c>
      <c r="AO643" t="s">
        <v>12460</v>
      </c>
      <c r="AP643" t="s">
        <v>74</v>
      </c>
      <c r="AQ643" t="s">
        <v>12461</v>
      </c>
      <c r="AR643" t="s">
        <v>12446</v>
      </c>
      <c r="AS643" t="s">
        <v>74</v>
      </c>
      <c r="AT643" t="s">
        <v>74</v>
      </c>
      <c r="AU643">
        <v>2020</v>
      </c>
      <c r="AV643" t="s">
        <v>74</v>
      </c>
      <c r="AW643" t="s">
        <v>74</v>
      </c>
      <c r="AX643" t="s">
        <v>74</v>
      </c>
      <c r="AY643" t="s">
        <v>74</v>
      </c>
      <c r="AZ643" t="s">
        <v>74</v>
      </c>
      <c r="BA643" t="s">
        <v>74</v>
      </c>
      <c r="BB643" t="s">
        <v>74</v>
      </c>
      <c r="BC643" t="s">
        <v>74</v>
      </c>
      <c r="BD643" t="s">
        <v>74</v>
      </c>
      <c r="BE643" t="s">
        <v>12495</v>
      </c>
      <c r="BF643" t="str">
        <f>HYPERLINK("http://dx.doi.org/10.1109/IEEECONF38699.2020.9389361","http://dx.doi.org/10.1109/IEEECONF38699.2020.9389361")</f>
        <v>http://dx.doi.org/10.1109/IEEECONF38699.2020.9389361</v>
      </c>
      <c r="BG643" t="s">
        <v>74</v>
      </c>
      <c r="BH643" t="s">
        <v>74</v>
      </c>
      <c r="BI643">
        <v>5</v>
      </c>
      <c r="BJ643" t="s">
        <v>12463</v>
      </c>
      <c r="BK643" t="s">
        <v>12464</v>
      </c>
      <c r="BL643" t="s">
        <v>9885</v>
      </c>
      <c r="BM643" t="s">
        <v>12465</v>
      </c>
      <c r="BN643" t="s">
        <v>74</v>
      </c>
      <c r="BO643" t="s">
        <v>74</v>
      </c>
      <c r="BP643" t="s">
        <v>74</v>
      </c>
      <c r="BQ643" t="s">
        <v>74</v>
      </c>
      <c r="BR643" t="s">
        <v>106</v>
      </c>
      <c r="BS643" t="s">
        <v>12496</v>
      </c>
      <c r="BT643" t="str">
        <f>HYPERLINK("https%3A%2F%2Fwww.webofscience.com%2Fwos%2Fwoscc%2Ffull-record%2FWOS:000669813302061","View Full Record in Web of Science")</f>
        <v>View Full Record in Web of Science</v>
      </c>
    </row>
    <row r="644" spans="1:72" x14ac:dyDescent="0.15">
      <c r="A644" t="s">
        <v>12440</v>
      </c>
      <c r="B644" t="s">
        <v>12497</v>
      </c>
      <c r="C644" t="s">
        <v>74</v>
      </c>
      <c r="D644" t="s">
        <v>74</v>
      </c>
      <c r="E644" t="s">
        <v>12442</v>
      </c>
      <c r="F644" t="s">
        <v>12498</v>
      </c>
      <c r="G644" t="s">
        <v>74</v>
      </c>
      <c r="H644" t="s">
        <v>74</v>
      </c>
      <c r="I644" t="s">
        <v>12499</v>
      </c>
      <c r="J644" t="s">
        <v>12445</v>
      </c>
      <c r="K644" t="s">
        <v>12446</v>
      </c>
      <c r="L644" t="s">
        <v>74</v>
      </c>
      <c r="M644" t="s">
        <v>78</v>
      </c>
      <c r="N644" t="s">
        <v>12447</v>
      </c>
      <c r="O644" t="s">
        <v>12448</v>
      </c>
      <c r="P644" t="s">
        <v>12449</v>
      </c>
      <c r="Q644" t="s">
        <v>12450</v>
      </c>
      <c r="R644" t="s">
        <v>74</v>
      </c>
      <c r="S644" t="s">
        <v>74</v>
      </c>
      <c r="T644" t="s">
        <v>12500</v>
      </c>
      <c r="U644" t="s">
        <v>12501</v>
      </c>
      <c r="V644" t="s">
        <v>12502</v>
      </c>
      <c r="W644" t="s">
        <v>12503</v>
      </c>
      <c r="X644" t="s">
        <v>12453</v>
      </c>
      <c r="Y644" t="s">
        <v>12504</v>
      </c>
      <c r="Z644" t="s">
        <v>74</v>
      </c>
      <c r="AA644" t="s">
        <v>74</v>
      </c>
      <c r="AB644" t="s">
        <v>12505</v>
      </c>
      <c r="AC644" t="s">
        <v>12506</v>
      </c>
      <c r="AD644" t="s">
        <v>12507</v>
      </c>
      <c r="AE644" t="s">
        <v>12508</v>
      </c>
      <c r="AF644" t="s">
        <v>74</v>
      </c>
      <c r="AG644">
        <v>21</v>
      </c>
      <c r="AH644">
        <v>2</v>
      </c>
      <c r="AI644">
        <v>2</v>
      </c>
      <c r="AJ644">
        <v>0</v>
      </c>
      <c r="AK644">
        <v>2</v>
      </c>
      <c r="AL644" t="s">
        <v>12442</v>
      </c>
      <c r="AM644" t="s">
        <v>166</v>
      </c>
      <c r="AN644" t="s">
        <v>12459</v>
      </c>
      <c r="AO644" t="s">
        <v>12460</v>
      </c>
      <c r="AP644" t="s">
        <v>74</v>
      </c>
      <c r="AQ644" t="s">
        <v>12461</v>
      </c>
      <c r="AR644" t="s">
        <v>12446</v>
      </c>
      <c r="AS644" t="s">
        <v>74</v>
      </c>
      <c r="AT644" t="s">
        <v>74</v>
      </c>
      <c r="AU644">
        <v>2020</v>
      </c>
      <c r="AV644" t="s">
        <v>74</v>
      </c>
      <c r="AW644" t="s">
        <v>74</v>
      </c>
      <c r="AX644" t="s">
        <v>74</v>
      </c>
      <c r="AY644" t="s">
        <v>74</v>
      </c>
      <c r="AZ644" t="s">
        <v>74</v>
      </c>
      <c r="BA644" t="s">
        <v>74</v>
      </c>
      <c r="BB644" t="s">
        <v>74</v>
      </c>
      <c r="BC644" t="s">
        <v>74</v>
      </c>
      <c r="BD644" t="s">
        <v>74</v>
      </c>
      <c r="BE644" t="s">
        <v>12509</v>
      </c>
      <c r="BF644" t="str">
        <f>HYPERLINK("http://dx.doi.org/10.1109/IEEECONF38699.2020.9389327","http://dx.doi.org/10.1109/IEEECONF38699.2020.9389327")</f>
        <v>http://dx.doi.org/10.1109/IEEECONF38699.2020.9389327</v>
      </c>
      <c r="BG644" t="s">
        <v>74</v>
      </c>
      <c r="BH644" t="s">
        <v>74</v>
      </c>
      <c r="BI644">
        <v>5</v>
      </c>
      <c r="BJ644" t="s">
        <v>12463</v>
      </c>
      <c r="BK644" t="s">
        <v>12464</v>
      </c>
      <c r="BL644" t="s">
        <v>9885</v>
      </c>
      <c r="BM644" t="s">
        <v>12465</v>
      </c>
      <c r="BN644" t="s">
        <v>74</v>
      </c>
      <c r="BO644" t="s">
        <v>74</v>
      </c>
      <c r="BP644" t="s">
        <v>74</v>
      </c>
      <c r="BQ644" t="s">
        <v>74</v>
      </c>
      <c r="BR644" t="s">
        <v>106</v>
      </c>
      <c r="BS644" t="s">
        <v>12510</v>
      </c>
      <c r="BT644" t="str">
        <f>HYPERLINK("https%3A%2F%2Fwww.webofscience.com%2Fwos%2Fwoscc%2Ffull-record%2FWOS:000669813302027","View Full Record in Web of Science")</f>
        <v>View Full Record in Web of Science</v>
      </c>
    </row>
    <row r="645" spans="1:72" x14ac:dyDescent="0.15">
      <c r="A645" t="s">
        <v>12440</v>
      </c>
      <c r="B645" t="s">
        <v>12511</v>
      </c>
      <c r="C645" t="s">
        <v>74</v>
      </c>
      <c r="D645" t="s">
        <v>74</v>
      </c>
      <c r="E645" t="s">
        <v>12442</v>
      </c>
      <c r="F645" t="s">
        <v>12512</v>
      </c>
      <c r="G645" t="s">
        <v>74</v>
      </c>
      <c r="H645" t="s">
        <v>74</v>
      </c>
      <c r="I645" t="s">
        <v>12513</v>
      </c>
      <c r="J645" t="s">
        <v>12445</v>
      </c>
      <c r="K645" t="s">
        <v>12446</v>
      </c>
      <c r="L645" t="s">
        <v>74</v>
      </c>
      <c r="M645" t="s">
        <v>78</v>
      </c>
      <c r="N645" t="s">
        <v>12447</v>
      </c>
      <c r="O645" t="s">
        <v>12448</v>
      </c>
      <c r="P645" t="s">
        <v>12449</v>
      </c>
      <c r="Q645" t="s">
        <v>12450</v>
      </c>
      <c r="R645" t="s">
        <v>74</v>
      </c>
      <c r="S645" t="s">
        <v>74</v>
      </c>
      <c r="T645" t="s">
        <v>12514</v>
      </c>
      <c r="U645" t="s">
        <v>12515</v>
      </c>
      <c r="V645" t="s">
        <v>12516</v>
      </c>
      <c r="W645" t="s">
        <v>12517</v>
      </c>
      <c r="X645" t="s">
        <v>12518</v>
      </c>
      <c r="Y645" t="s">
        <v>12519</v>
      </c>
      <c r="Z645" t="s">
        <v>12520</v>
      </c>
      <c r="AA645" t="s">
        <v>74</v>
      </c>
      <c r="AB645" t="s">
        <v>74</v>
      </c>
      <c r="AC645" t="s">
        <v>74</v>
      </c>
      <c r="AD645" t="s">
        <v>74</v>
      </c>
      <c r="AE645" t="s">
        <v>74</v>
      </c>
      <c r="AF645" t="s">
        <v>74</v>
      </c>
      <c r="AG645">
        <v>17</v>
      </c>
      <c r="AH645">
        <v>0</v>
      </c>
      <c r="AI645">
        <v>0</v>
      </c>
      <c r="AJ645">
        <v>2</v>
      </c>
      <c r="AK645">
        <v>5</v>
      </c>
      <c r="AL645" t="s">
        <v>12442</v>
      </c>
      <c r="AM645" t="s">
        <v>166</v>
      </c>
      <c r="AN645" t="s">
        <v>12459</v>
      </c>
      <c r="AO645" t="s">
        <v>12460</v>
      </c>
      <c r="AP645" t="s">
        <v>74</v>
      </c>
      <c r="AQ645" t="s">
        <v>12461</v>
      </c>
      <c r="AR645" t="s">
        <v>12446</v>
      </c>
      <c r="AS645" t="s">
        <v>74</v>
      </c>
      <c r="AT645" t="s">
        <v>74</v>
      </c>
      <c r="AU645">
        <v>2020</v>
      </c>
      <c r="AV645" t="s">
        <v>74</v>
      </c>
      <c r="AW645" t="s">
        <v>74</v>
      </c>
      <c r="AX645" t="s">
        <v>74</v>
      </c>
      <c r="AY645" t="s">
        <v>74</v>
      </c>
      <c r="AZ645" t="s">
        <v>74</v>
      </c>
      <c r="BA645" t="s">
        <v>74</v>
      </c>
      <c r="BB645" t="s">
        <v>74</v>
      </c>
      <c r="BC645" t="s">
        <v>74</v>
      </c>
      <c r="BD645" t="s">
        <v>74</v>
      </c>
      <c r="BE645" t="s">
        <v>12521</v>
      </c>
      <c r="BF645" t="str">
        <f>HYPERLINK("http://dx.doi.org/10.1109/IEEECONF38699.2020.9388976","http://dx.doi.org/10.1109/IEEECONF38699.2020.9388976")</f>
        <v>http://dx.doi.org/10.1109/IEEECONF38699.2020.9388976</v>
      </c>
      <c r="BG645" t="s">
        <v>74</v>
      </c>
      <c r="BH645" t="s">
        <v>74</v>
      </c>
      <c r="BI645">
        <v>5</v>
      </c>
      <c r="BJ645" t="s">
        <v>12463</v>
      </c>
      <c r="BK645" t="s">
        <v>12464</v>
      </c>
      <c r="BL645" t="s">
        <v>9885</v>
      </c>
      <c r="BM645" t="s">
        <v>12465</v>
      </c>
      <c r="BN645" t="s">
        <v>74</v>
      </c>
      <c r="BO645" t="s">
        <v>74</v>
      </c>
      <c r="BP645" t="s">
        <v>74</v>
      </c>
      <c r="BQ645" t="s">
        <v>74</v>
      </c>
      <c r="BR645" t="s">
        <v>106</v>
      </c>
      <c r="BS645" t="s">
        <v>12522</v>
      </c>
      <c r="BT645" t="str">
        <f>HYPERLINK("https%3A%2F%2Fwww.webofscience.com%2Fwos%2Fwoscc%2Ffull-record%2FWOS:000669813300008","View Full Record in Web of Science")</f>
        <v>View Full Record in Web of Science</v>
      </c>
    </row>
    <row r="646" spans="1:72" x14ac:dyDescent="0.15">
      <c r="A646" t="s">
        <v>12440</v>
      </c>
      <c r="B646" t="s">
        <v>12523</v>
      </c>
      <c r="C646" t="s">
        <v>74</v>
      </c>
      <c r="D646" t="s">
        <v>74</v>
      </c>
      <c r="E646" t="s">
        <v>12442</v>
      </c>
      <c r="F646" t="s">
        <v>12524</v>
      </c>
      <c r="G646" t="s">
        <v>74</v>
      </c>
      <c r="H646" t="s">
        <v>74</v>
      </c>
      <c r="I646" t="s">
        <v>12525</v>
      </c>
      <c r="J646" t="s">
        <v>12445</v>
      </c>
      <c r="K646" t="s">
        <v>12446</v>
      </c>
      <c r="L646" t="s">
        <v>74</v>
      </c>
      <c r="M646" t="s">
        <v>78</v>
      </c>
      <c r="N646" t="s">
        <v>12447</v>
      </c>
      <c r="O646" t="s">
        <v>12448</v>
      </c>
      <c r="P646" t="s">
        <v>12449</v>
      </c>
      <c r="Q646" t="s">
        <v>12450</v>
      </c>
      <c r="R646" t="s">
        <v>74</v>
      </c>
      <c r="S646" t="s">
        <v>74</v>
      </c>
      <c r="T646" t="s">
        <v>12526</v>
      </c>
      <c r="U646" t="s">
        <v>12527</v>
      </c>
      <c r="V646" t="s">
        <v>12528</v>
      </c>
      <c r="W646" t="s">
        <v>12529</v>
      </c>
      <c r="X646" t="s">
        <v>12453</v>
      </c>
      <c r="Y646" t="s">
        <v>12530</v>
      </c>
      <c r="Z646" t="s">
        <v>74</v>
      </c>
      <c r="AA646" t="s">
        <v>74</v>
      </c>
      <c r="AB646" t="s">
        <v>12531</v>
      </c>
      <c r="AC646" t="s">
        <v>12532</v>
      </c>
      <c r="AD646" t="s">
        <v>12533</v>
      </c>
      <c r="AE646" t="s">
        <v>12534</v>
      </c>
      <c r="AF646" t="s">
        <v>74</v>
      </c>
      <c r="AG646">
        <v>16</v>
      </c>
      <c r="AH646">
        <v>0</v>
      </c>
      <c r="AI646">
        <v>0</v>
      </c>
      <c r="AJ646">
        <v>3</v>
      </c>
      <c r="AK646">
        <v>16</v>
      </c>
      <c r="AL646" t="s">
        <v>12442</v>
      </c>
      <c r="AM646" t="s">
        <v>166</v>
      </c>
      <c r="AN646" t="s">
        <v>12459</v>
      </c>
      <c r="AO646" t="s">
        <v>12460</v>
      </c>
      <c r="AP646" t="s">
        <v>74</v>
      </c>
      <c r="AQ646" t="s">
        <v>12461</v>
      </c>
      <c r="AR646" t="s">
        <v>12446</v>
      </c>
      <c r="AS646" t="s">
        <v>74</v>
      </c>
      <c r="AT646" t="s">
        <v>74</v>
      </c>
      <c r="AU646">
        <v>2020</v>
      </c>
      <c r="AV646" t="s">
        <v>74</v>
      </c>
      <c r="AW646" t="s">
        <v>74</v>
      </c>
      <c r="AX646" t="s">
        <v>74</v>
      </c>
      <c r="AY646" t="s">
        <v>74</v>
      </c>
      <c r="AZ646" t="s">
        <v>74</v>
      </c>
      <c r="BA646" t="s">
        <v>74</v>
      </c>
      <c r="BB646" t="s">
        <v>74</v>
      </c>
      <c r="BC646" t="s">
        <v>74</v>
      </c>
      <c r="BD646" t="s">
        <v>74</v>
      </c>
      <c r="BE646" t="s">
        <v>12535</v>
      </c>
      <c r="BF646" t="str">
        <f>HYPERLINK("http://dx.doi.org/10.1109/IEEECONF38699.2020.9389296","http://dx.doi.org/10.1109/IEEECONF38699.2020.9389296")</f>
        <v>http://dx.doi.org/10.1109/IEEECONF38699.2020.9389296</v>
      </c>
      <c r="BG646" t="s">
        <v>74</v>
      </c>
      <c r="BH646" t="s">
        <v>74</v>
      </c>
      <c r="BI646">
        <v>6</v>
      </c>
      <c r="BJ646" t="s">
        <v>12463</v>
      </c>
      <c r="BK646" t="s">
        <v>12464</v>
      </c>
      <c r="BL646" t="s">
        <v>9885</v>
      </c>
      <c r="BM646" t="s">
        <v>12465</v>
      </c>
      <c r="BN646" t="s">
        <v>74</v>
      </c>
      <c r="BO646" t="s">
        <v>74</v>
      </c>
      <c r="BP646" t="s">
        <v>74</v>
      </c>
      <c r="BQ646" t="s">
        <v>74</v>
      </c>
      <c r="BR646" t="s">
        <v>106</v>
      </c>
      <c r="BS646" t="s">
        <v>12536</v>
      </c>
      <c r="BT646" t="str">
        <f>HYPERLINK("https%3A%2F%2Fwww.webofscience.com%2Fwos%2Fwoscc%2Ffull-record%2FWOS:000669813301159","View Full Record in Web of Science")</f>
        <v>View Full Record in Web of Science</v>
      </c>
    </row>
    <row r="647" spans="1:72" x14ac:dyDescent="0.15">
      <c r="A647" t="s">
        <v>12416</v>
      </c>
      <c r="B647" t="s">
        <v>12537</v>
      </c>
      <c r="C647" t="s">
        <v>74</v>
      </c>
      <c r="D647" t="s">
        <v>12538</v>
      </c>
      <c r="E647" t="s">
        <v>74</v>
      </c>
      <c r="F647" t="s">
        <v>12539</v>
      </c>
      <c r="G647" t="s">
        <v>74</v>
      </c>
      <c r="H647" t="s">
        <v>74</v>
      </c>
      <c r="I647" t="s">
        <v>12540</v>
      </c>
      <c r="J647" t="s">
        <v>12541</v>
      </c>
      <c r="K647" t="s">
        <v>74</v>
      </c>
      <c r="L647" t="s">
        <v>74</v>
      </c>
      <c r="M647" t="s">
        <v>78</v>
      </c>
      <c r="N647" t="s">
        <v>12422</v>
      </c>
      <c r="O647" t="s">
        <v>74</v>
      </c>
      <c r="P647" t="s">
        <v>74</v>
      </c>
      <c r="Q647" t="s">
        <v>74</v>
      </c>
      <c r="R647" t="s">
        <v>74</v>
      </c>
      <c r="S647" t="s">
        <v>74</v>
      </c>
      <c r="T647" t="s">
        <v>74</v>
      </c>
      <c r="U647" t="s">
        <v>12542</v>
      </c>
      <c r="V647" t="s">
        <v>74</v>
      </c>
      <c r="W647" t="s">
        <v>12543</v>
      </c>
      <c r="X647" t="s">
        <v>12544</v>
      </c>
      <c r="Y647" t="s">
        <v>12545</v>
      </c>
      <c r="Z647" t="s">
        <v>74</v>
      </c>
      <c r="AA647" t="s">
        <v>74</v>
      </c>
      <c r="AB647" t="s">
        <v>74</v>
      </c>
      <c r="AC647" t="s">
        <v>74</v>
      </c>
      <c r="AD647" t="s">
        <v>74</v>
      </c>
      <c r="AE647" t="s">
        <v>74</v>
      </c>
      <c r="AF647" t="s">
        <v>74</v>
      </c>
      <c r="AG647">
        <v>58</v>
      </c>
      <c r="AH647">
        <v>2</v>
      </c>
      <c r="AI647">
        <v>2</v>
      </c>
      <c r="AJ647">
        <v>0</v>
      </c>
      <c r="AK647">
        <v>0</v>
      </c>
      <c r="AL647" t="s">
        <v>12546</v>
      </c>
      <c r="AM647" t="s">
        <v>12547</v>
      </c>
      <c r="AN647" t="s">
        <v>12548</v>
      </c>
      <c r="AO647" t="s">
        <v>74</v>
      </c>
      <c r="AP647" t="s">
        <v>74</v>
      </c>
      <c r="AQ647" t="s">
        <v>12549</v>
      </c>
      <c r="AR647" t="s">
        <v>74</v>
      </c>
      <c r="AS647" t="s">
        <v>74</v>
      </c>
      <c r="AT647" t="s">
        <v>74</v>
      </c>
      <c r="AU647">
        <v>2020</v>
      </c>
      <c r="AV647" t="s">
        <v>74</v>
      </c>
      <c r="AW647" t="s">
        <v>74</v>
      </c>
      <c r="AX647" t="s">
        <v>74</v>
      </c>
      <c r="AY647" t="s">
        <v>74</v>
      </c>
      <c r="AZ647" t="s">
        <v>74</v>
      </c>
      <c r="BA647" t="s">
        <v>74</v>
      </c>
      <c r="BB647">
        <v>408</v>
      </c>
      <c r="BC647">
        <v>425</v>
      </c>
      <c r="BD647" t="s">
        <v>74</v>
      </c>
      <c r="BE647" t="s">
        <v>74</v>
      </c>
      <c r="BF647" t="s">
        <v>74</v>
      </c>
      <c r="BG647" t="s">
        <v>12550</v>
      </c>
      <c r="BH647" t="s">
        <v>74</v>
      </c>
      <c r="BI647">
        <v>18</v>
      </c>
      <c r="BJ647" t="s">
        <v>12551</v>
      </c>
      <c r="BK647" t="s">
        <v>12552</v>
      </c>
      <c r="BL647" t="s">
        <v>12553</v>
      </c>
      <c r="BM647" t="s">
        <v>12554</v>
      </c>
      <c r="BN647" t="s">
        <v>74</v>
      </c>
      <c r="BO647" t="s">
        <v>74</v>
      </c>
      <c r="BP647" t="s">
        <v>74</v>
      </c>
      <c r="BQ647" t="s">
        <v>74</v>
      </c>
      <c r="BR647" t="s">
        <v>106</v>
      </c>
      <c r="BS647" t="s">
        <v>12555</v>
      </c>
      <c r="BT647" t="str">
        <f>HYPERLINK("https%3A%2F%2Fwww.webofscience.com%2Fwos%2Fwoscc%2Ffull-record%2FWOS:000632574900027","View Full Record in Web of Science")</f>
        <v>View Full Record in Web of Science</v>
      </c>
    </row>
    <row r="648" spans="1:72" x14ac:dyDescent="0.15">
      <c r="A648" t="s">
        <v>12556</v>
      </c>
      <c r="B648" t="s">
        <v>12557</v>
      </c>
      <c r="C648" t="s">
        <v>74</v>
      </c>
      <c r="D648" t="s">
        <v>12558</v>
      </c>
      <c r="E648" t="s">
        <v>74</v>
      </c>
      <c r="F648" t="s">
        <v>12559</v>
      </c>
      <c r="G648" t="s">
        <v>74</v>
      </c>
      <c r="H648" t="s">
        <v>74</v>
      </c>
      <c r="I648" t="s">
        <v>12560</v>
      </c>
      <c r="J648" t="s">
        <v>12561</v>
      </c>
      <c r="K648" t="s">
        <v>12562</v>
      </c>
      <c r="L648" t="s">
        <v>74</v>
      </c>
      <c r="M648" t="s">
        <v>78</v>
      </c>
      <c r="N648" t="s">
        <v>12422</v>
      </c>
      <c r="O648" t="s">
        <v>74</v>
      </c>
      <c r="P648" t="s">
        <v>74</v>
      </c>
      <c r="Q648" t="s">
        <v>74</v>
      </c>
      <c r="R648" t="s">
        <v>74</v>
      </c>
      <c r="S648" t="s">
        <v>74</v>
      </c>
      <c r="T648" t="s">
        <v>12563</v>
      </c>
      <c r="U648" t="s">
        <v>12564</v>
      </c>
      <c r="V648" t="s">
        <v>12565</v>
      </c>
      <c r="W648" t="s">
        <v>12566</v>
      </c>
      <c r="X648" t="s">
        <v>12567</v>
      </c>
      <c r="Y648" t="s">
        <v>12568</v>
      </c>
      <c r="Z648" t="s">
        <v>12569</v>
      </c>
      <c r="AA648" t="s">
        <v>74</v>
      </c>
      <c r="AB648" t="s">
        <v>74</v>
      </c>
      <c r="AC648" t="s">
        <v>74</v>
      </c>
      <c r="AD648" t="s">
        <v>74</v>
      </c>
      <c r="AE648" t="s">
        <v>74</v>
      </c>
      <c r="AF648" t="s">
        <v>74</v>
      </c>
      <c r="AG648">
        <v>277</v>
      </c>
      <c r="AH648">
        <v>1</v>
      </c>
      <c r="AI648">
        <v>1</v>
      </c>
      <c r="AJ648">
        <v>3</v>
      </c>
      <c r="AK648">
        <v>4</v>
      </c>
      <c r="AL648" t="s">
        <v>12570</v>
      </c>
      <c r="AM648" t="s">
        <v>12571</v>
      </c>
      <c r="AN648" t="s">
        <v>12572</v>
      </c>
      <c r="AO648" t="s">
        <v>12573</v>
      </c>
      <c r="AP648" t="s">
        <v>12574</v>
      </c>
      <c r="AQ648" t="s">
        <v>12575</v>
      </c>
      <c r="AR648" t="s">
        <v>12576</v>
      </c>
      <c r="AS648" t="s">
        <v>74</v>
      </c>
      <c r="AT648" t="s">
        <v>74</v>
      </c>
      <c r="AU648">
        <v>2020</v>
      </c>
      <c r="AV648" t="s">
        <v>74</v>
      </c>
      <c r="AW648" t="s">
        <v>74</v>
      </c>
      <c r="AX648" t="s">
        <v>74</v>
      </c>
      <c r="AY648" t="s">
        <v>74</v>
      </c>
      <c r="AZ648" t="s">
        <v>74</v>
      </c>
      <c r="BA648" t="s">
        <v>74</v>
      </c>
      <c r="BB648">
        <v>415</v>
      </c>
      <c r="BC648">
        <v>467</v>
      </c>
      <c r="BD648" t="s">
        <v>74</v>
      </c>
      <c r="BE648" t="s">
        <v>12577</v>
      </c>
      <c r="BF648" t="str">
        <f>HYPERLINK("http://dx.doi.org/10.1007/978-3-030-33566-3_7","http://dx.doi.org/10.1007/978-3-030-33566-3_7")</f>
        <v>http://dx.doi.org/10.1007/978-3-030-33566-3_7</v>
      </c>
      <c r="BG648" t="s">
        <v>12578</v>
      </c>
      <c r="BH648" t="s">
        <v>74</v>
      </c>
      <c r="BI648">
        <v>53</v>
      </c>
      <c r="BJ648" t="s">
        <v>984</v>
      </c>
      <c r="BK648" t="s">
        <v>12436</v>
      </c>
      <c r="BL648" t="s">
        <v>985</v>
      </c>
      <c r="BM648" t="s">
        <v>12579</v>
      </c>
      <c r="BN648" t="s">
        <v>74</v>
      </c>
      <c r="BO648" t="s">
        <v>74</v>
      </c>
      <c r="BP648" t="s">
        <v>74</v>
      </c>
      <c r="BQ648" t="s">
        <v>74</v>
      </c>
      <c r="BR648" t="s">
        <v>106</v>
      </c>
      <c r="BS648" t="s">
        <v>12580</v>
      </c>
      <c r="BT648" t="str">
        <f>HYPERLINK("https%3A%2F%2Fwww.webofscience.com%2Fwos%2Fwoscc%2Ffull-record%2FWOS:000679977700008","View Full Record in Web of Science")</f>
        <v>View Full Record in Web of Science</v>
      </c>
    </row>
    <row r="649" spans="1:72" x14ac:dyDescent="0.15">
      <c r="A649" t="s">
        <v>12556</v>
      </c>
      <c r="B649" t="s">
        <v>12581</v>
      </c>
      <c r="C649" t="s">
        <v>74</v>
      </c>
      <c r="D649" t="s">
        <v>74</v>
      </c>
      <c r="E649" t="s">
        <v>74</v>
      </c>
      <c r="F649" t="s">
        <v>12581</v>
      </c>
      <c r="G649" t="s">
        <v>74</v>
      </c>
      <c r="H649" t="s">
        <v>74</v>
      </c>
      <c r="I649" t="s">
        <v>12582</v>
      </c>
      <c r="J649" t="s">
        <v>12583</v>
      </c>
      <c r="K649" t="s">
        <v>12584</v>
      </c>
      <c r="L649" t="s">
        <v>74</v>
      </c>
      <c r="M649" t="s">
        <v>78</v>
      </c>
      <c r="N649" t="s">
        <v>12585</v>
      </c>
      <c r="O649" t="s">
        <v>74</v>
      </c>
      <c r="P649" t="s">
        <v>74</v>
      </c>
      <c r="Q649" t="s">
        <v>74</v>
      </c>
      <c r="R649" t="s">
        <v>74</v>
      </c>
      <c r="S649" t="s">
        <v>74</v>
      </c>
      <c r="T649" t="s">
        <v>74</v>
      </c>
      <c r="U649" t="s">
        <v>74</v>
      </c>
      <c r="V649" t="s">
        <v>74</v>
      </c>
      <c r="W649" t="s">
        <v>74</v>
      </c>
      <c r="X649" t="s">
        <v>74</v>
      </c>
      <c r="Y649" t="s">
        <v>74</v>
      </c>
      <c r="Z649" t="s">
        <v>74</v>
      </c>
      <c r="AA649" t="s">
        <v>74</v>
      </c>
      <c r="AB649" t="s">
        <v>74</v>
      </c>
      <c r="AC649" t="s">
        <v>74</v>
      </c>
      <c r="AD649" t="s">
        <v>74</v>
      </c>
      <c r="AE649" t="s">
        <v>74</v>
      </c>
      <c r="AF649" t="s">
        <v>74</v>
      </c>
      <c r="AG649">
        <v>0</v>
      </c>
      <c r="AH649">
        <v>0</v>
      </c>
      <c r="AI649">
        <v>0</v>
      </c>
      <c r="AJ649">
        <v>0</v>
      </c>
      <c r="AK649">
        <v>0</v>
      </c>
      <c r="AL649" t="s">
        <v>12586</v>
      </c>
      <c r="AM649" t="s">
        <v>12587</v>
      </c>
      <c r="AN649" t="s">
        <v>12588</v>
      </c>
      <c r="AO649" t="s">
        <v>12589</v>
      </c>
      <c r="AP649" t="s">
        <v>12590</v>
      </c>
      <c r="AQ649" t="s">
        <v>12591</v>
      </c>
      <c r="AR649" t="s">
        <v>12592</v>
      </c>
      <c r="AS649" t="s">
        <v>74</v>
      </c>
      <c r="AT649" t="s">
        <v>74</v>
      </c>
      <c r="AU649">
        <v>2020</v>
      </c>
      <c r="AV649" t="s">
        <v>74</v>
      </c>
      <c r="AW649" t="s">
        <v>74</v>
      </c>
      <c r="AX649" t="s">
        <v>74</v>
      </c>
      <c r="AY649" t="s">
        <v>74</v>
      </c>
      <c r="AZ649" t="s">
        <v>74</v>
      </c>
      <c r="BA649" t="s">
        <v>74</v>
      </c>
      <c r="BB649">
        <v>1</v>
      </c>
      <c r="BC649">
        <v>92</v>
      </c>
      <c r="BD649" t="s">
        <v>74</v>
      </c>
      <c r="BE649" t="s">
        <v>12593</v>
      </c>
      <c r="BF649" t="str">
        <f>HYPERLINK("http://dx.doi.org/10.1007/978-981-13-9085-2","http://dx.doi.org/10.1007/978-981-13-9085-2")</f>
        <v>http://dx.doi.org/10.1007/978-981-13-9085-2</v>
      </c>
      <c r="BG649" t="s">
        <v>74</v>
      </c>
      <c r="BH649" t="s">
        <v>74</v>
      </c>
      <c r="BI649">
        <v>92</v>
      </c>
      <c r="BJ649" t="s">
        <v>907</v>
      </c>
      <c r="BK649" t="s">
        <v>12436</v>
      </c>
      <c r="BL649" t="s">
        <v>907</v>
      </c>
      <c r="BM649" t="s">
        <v>12594</v>
      </c>
      <c r="BN649" t="s">
        <v>74</v>
      </c>
      <c r="BO649" t="s">
        <v>74</v>
      </c>
      <c r="BP649" t="s">
        <v>74</v>
      </c>
      <c r="BQ649" t="s">
        <v>74</v>
      </c>
      <c r="BR649" t="s">
        <v>106</v>
      </c>
      <c r="BS649" t="s">
        <v>12595</v>
      </c>
      <c r="BT649" t="str">
        <f>HYPERLINK("https%3A%2F%2Fwww.webofscience.com%2Fwos%2Fwoscc%2Ffull-record%2FWOS:000671810200006","View Full Record in Web of Science")</f>
        <v>View Full Record in Web of Science</v>
      </c>
    </row>
    <row r="650" spans="1:72" x14ac:dyDescent="0.15">
      <c r="A650" t="s">
        <v>12556</v>
      </c>
      <c r="B650" t="s">
        <v>12581</v>
      </c>
      <c r="C650" t="s">
        <v>12581</v>
      </c>
      <c r="D650" t="s">
        <v>74</v>
      </c>
      <c r="E650" t="s">
        <v>74</v>
      </c>
      <c r="F650" t="s">
        <v>12596</v>
      </c>
      <c r="G650" t="s">
        <v>12581</v>
      </c>
      <c r="H650" t="s">
        <v>74</v>
      </c>
      <c r="I650" t="s">
        <v>12597</v>
      </c>
      <c r="J650" t="s">
        <v>12583</v>
      </c>
      <c r="K650" t="s">
        <v>12584</v>
      </c>
      <c r="L650" t="s">
        <v>74</v>
      </c>
      <c r="M650" t="s">
        <v>78</v>
      </c>
      <c r="N650" t="s">
        <v>12598</v>
      </c>
      <c r="O650" t="s">
        <v>74</v>
      </c>
      <c r="P650" t="s">
        <v>74</v>
      </c>
      <c r="Q650" t="s">
        <v>74</v>
      </c>
      <c r="R650" t="s">
        <v>74</v>
      </c>
      <c r="S650" t="s">
        <v>74</v>
      </c>
      <c r="T650" t="s">
        <v>12599</v>
      </c>
      <c r="U650" t="s">
        <v>12600</v>
      </c>
      <c r="V650" t="s">
        <v>12601</v>
      </c>
      <c r="W650" t="s">
        <v>12602</v>
      </c>
      <c r="X650" t="s">
        <v>12603</v>
      </c>
      <c r="Y650" t="s">
        <v>12604</v>
      </c>
      <c r="Z650" t="s">
        <v>74</v>
      </c>
      <c r="AA650" t="s">
        <v>74</v>
      </c>
      <c r="AB650" t="s">
        <v>74</v>
      </c>
      <c r="AC650" t="s">
        <v>74</v>
      </c>
      <c r="AD650" t="s">
        <v>74</v>
      </c>
      <c r="AE650" t="s">
        <v>74</v>
      </c>
      <c r="AF650" t="s">
        <v>74</v>
      </c>
      <c r="AG650">
        <v>124</v>
      </c>
      <c r="AH650">
        <v>0</v>
      </c>
      <c r="AI650">
        <v>0</v>
      </c>
      <c r="AJ650">
        <v>0</v>
      </c>
      <c r="AK650">
        <v>3</v>
      </c>
      <c r="AL650" t="s">
        <v>12586</v>
      </c>
      <c r="AM650" t="s">
        <v>12587</v>
      </c>
      <c r="AN650" t="s">
        <v>12588</v>
      </c>
      <c r="AO650" t="s">
        <v>12589</v>
      </c>
      <c r="AP650" t="s">
        <v>12590</v>
      </c>
      <c r="AQ650" t="s">
        <v>12591</v>
      </c>
      <c r="AR650" t="s">
        <v>12592</v>
      </c>
      <c r="AS650" t="s">
        <v>74</v>
      </c>
      <c r="AT650" t="s">
        <v>74</v>
      </c>
      <c r="AU650">
        <v>2020</v>
      </c>
      <c r="AV650" t="s">
        <v>74</v>
      </c>
      <c r="AW650" t="s">
        <v>74</v>
      </c>
      <c r="AX650" t="s">
        <v>74</v>
      </c>
      <c r="AY650" t="s">
        <v>74</v>
      </c>
      <c r="AZ650" t="s">
        <v>74</v>
      </c>
      <c r="BA650" t="s">
        <v>74</v>
      </c>
      <c r="BB650">
        <v>1</v>
      </c>
      <c r="BC650">
        <v>19</v>
      </c>
      <c r="BD650" t="s">
        <v>74</v>
      </c>
      <c r="BE650" t="s">
        <v>12605</v>
      </c>
      <c r="BF650" t="str">
        <f>HYPERLINK("http://dx.doi.org/10.1007/978-981-13-9085-2_1","http://dx.doi.org/10.1007/978-981-13-9085-2_1")</f>
        <v>http://dx.doi.org/10.1007/978-981-13-9085-2_1</v>
      </c>
      <c r="BG650" t="s">
        <v>12593</v>
      </c>
      <c r="BH650" t="s">
        <v>74</v>
      </c>
      <c r="BI650">
        <v>19</v>
      </c>
      <c r="BJ650" t="s">
        <v>907</v>
      </c>
      <c r="BK650" t="s">
        <v>12436</v>
      </c>
      <c r="BL650" t="s">
        <v>907</v>
      </c>
      <c r="BM650" t="s">
        <v>12594</v>
      </c>
      <c r="BN650" t="s">
        <v>74</v>
      </c>
      <c r="BO650" t="s">
        <v>74</v>
      </c>
      <c r="BP650" t="s">
        <v>74</v>
      </c>
      <c r="BQ650" t="s">
        <v>74</v>
      </c>
      <c r="BR650" t="s">
        <v>106</v>
      </c>
      <c r="BS650" t="s">
        <v>12606</v>
      </c>
      <c r="BT650" t="str">
        <f>HYPERLINK("https%3A%2F%2Fwww.webofscience.com%2Fwos%2Fwoscc%2Ffull-record%2FWOS:000671810200002","View Full Record in Web of Science")</f>
        <v>View Full Record in Web of Science</v>
      </c>
    </row>
    <row r="651" spans="1:72" x14ac:dyDescent="0.15">
      <c r="A651" t="s">
        <v>12416</v>
      </c>
      <c r="B651" t="s">
        <v>12607</v>
      </c>
      <c r="C651" t="s">
        <v>74</v>
      </c>
      <c r="D651" t="s">
        <v>12608</v>
      </c>
      <c r="E651" t="s">
        <v>74</v>
      </c>
      <c r="F651" t="s">
        <v>12609</v>
      </c>
      <c r="G651" t="s">
        <v>74</v>
      </c>
      <c r="H651" t="s">
        <v>74</v>
      </c>
      <c r="I651" t="s">
        <v>12610</v>
      </c>
      <c r="J651" t="s">
        <v>12611</v>
      </c>
      <c r="K651" t="s">
        <v>74</v>
      </c>
      <c r="L651" t="s">
        <v>74</v>
      </c>
      <c r="M651" t="s">
        <v>78</v>
      </c>
      <c r="N651" t="s">
        <v>12422</v>
      </c>
      <c r="O651" t="s">
        <v>74</v>
      </c>
      <c r="P651" t="s">
        <v>74</v>
      </c>
      <c r="Q651" t="s">
        <v>74</v>
      </c>
      <c r="R651" t="s">
        <v>74</v>
      </c>
      <c r="S651" t="s">
        <v>74</v>
      </c>
      <c r="T651" t="s">
        <v>12612</v>
      </c>
      <c r="U651" t="s">
        <v>12613</v>
      </c>
      <c r="V651" t="s">
        <v>12614</v>
      </c>
      <c r="W651" t="s">
        <v>12615</v>
      </c>
      <c r="X651" t="s">
        <v>4771</v>
      </c>
      <c r="Y651" t="s">
        <v>12616</v>
      </c>
      <c r="Z651" t="s">
        <v>12617</v>
      </c>
      <c r="AA651" t="s">
        <v>12618</v>
      </c>
      <c r="AB651" t="s">
        <v>74</v>
      </c>
      <c r="AC651" t="s">
        <v>74</v>
      </c>
      <c r="AD651" t="s">
        <v>74</v>
      </c>
      <c r="AE651" t="s">
        <v>74</v>
      </c>
      <c r="AF651" t="s">
        <v>74</v>
      </c>
      <c r="AG651">
        <v>68</v>
      </c>
      <c r="AH651">
        <v>5</v>
      </c>
      <c r="AI651">
        <v>5</v>
      </c>
      <c r="AJ651">
        <v>1</v>
      </c>
      <c r="AK651">
        <v>7</v>
      </c>
      <c r="AL651" t="s">
        <v>12570</v>
      </c>
      <c r="AM651" t="s">
        <v>12571</v>
      </c>
      <c r="AN651" t="s">
        <v>12572</v>
      </c>
      <c r="AO651" t="s">
        <v>74</v>
      </c>
      <c r="AP651" t="s">
        <v>74</v>
      </c>
      <c r="AQ651" t="s">
        <v>12619</v>
      </c>
      <c r="AR651" t="s">
        <v>74</v>
      </c>
      <c r="AS651" t="s">
        <v>74</v>
      </c>
      <c r="AT651" t="s">
        <v>74</v>
      </c>
      <c r="AU651">
        <v>2020</v>
      </c>
      <c r="AV651" t="s">
        <v>74</v>
      </c>
      <c r="AW651" t="s">
        <v>74</v>
      </c>
      <c r="AX651" t="s">
        <v>74</v>
      </c>
      <c r="AY651" t="s">
        <v>74</v>
      </c>
      <c r="AZ651" t="s">
        <v>74</v>
      </c>
      <c r="BA651" t="s">
        <v>74</v>
      </c>
      <c r="BB651">
        <v>139</v>
      </c>
      <c r="BC651">
        <v>156</v>
      </c>
      <c r="BD651" t="s">
        <v>74</v>
      </c>
      <c r="BE651" t="s">
        <v>12620</v>
      </c>
      <c r="BF651" t="str">
        <f>HYPERLINK("http://dx.doi.org/10.1007/978-3-030-21679-5_10","http://dx.doi.org/10.1007/978-3-030-21679-5_10")</f>
        <v>http://dx.doi.org/10.1007/978-3-030-21679-5_10</v>
      </c>
      <c r="BG651" t="s">
        <v>12621</v>
      </c>
      <c r="BH651" t="s">
        <v>74</v>
      </c>
      <c r="BI651">
        <v>18</v>
      </c>
      <c r="BJ651" t="s">
        <v>4415</v>
      </c>
      <c r="BK651" t="s">
        <v>12436</v>
      </c>
      <c r="BL651" t="s">
        <v>4416</v>
      </c>
      <c r="BM651" t="s">
        <v>12622</v>
      </c>
      <c r="BN651" t="s">
        <v>74</v>
      </c>
      <c r="BO651" t="s">
        <v>74</v>
      </c>
      <c r="BP651" t="s">
        <v>74</v>
      </c>
      <c r="BQ651" t="s">
        <v>74</v>
      </c>
      <c r="BR651" t="s">
        <v>106</v>
      </c>
      <c r="BS651" t="s">
        <v>12623</v>
      </c>
      <c r="BT651" t="str">
        <f>HYPERLINK("https%3A%2F%2Fwww.webofscience.com%2Fwos%2Fwoscc%2Ffull-record%2FWOS:000672411400012","View Full Record in Web of Science")</f>
        <v>View Full Record in Web of Science</v>
      </c>
    </row>
    <row r="652" spans="1:72" x14ac:dyDescent="0.15">
      <c r="A652" t="s">
        <v>12556</v>
      </c>
      <c r="B652" t="s">
        <v>12581</v>
      </c>
      <c r="C652" t="s">
        <v>12581</v>
      </c>
      <c r="D652" t="s">
        <v>74</v>
      </c>
      <c r="E652" t="s">
        <v>74</v>
      </c>
      <c r="F652" t="s">
        <v>12596</v>
      </c>
      <c r="G652" t="s">
        <v>12581</v>
      </c>
      <c r="H652" t="s">
        <v>74</v>
      </c>
      <c r="I652" t="s">
        <v>12624</v>
      </c>
      <c r="J652" t="s">
        <v>12583</v>
      </c>
      <c r="K652" t="s">
        <v>12584</v>
      </c>
      <c r="L652" t="s">
        <v>74</v>
      </c>
      <c r="M652" t="s">
        <v>78</v>
      </c>
      <c r="N652" t="s">
        <v>12422</v>
      </c>
      <c r="O652" t="s">
        <v>74</v>
      </c>
      <c r="P652" t="s">
        <v>74</v>
      </c>
      <c r="Q652" t="s">
        <v>74</v>
      </c>
      <c r="R652" t="s">
        <v>74</v>
      </c>
      <c r="S652" t="s">
        <v>74</v>
      </c>
      <c r="T652" t="s">
        <v>12625</v>
      </c>
      <c r="U652" t="s">
        <v>12626</v>
      </c>
      <c r="V652" t="s">
        <v>12627</v>
      </c>
      <c r="W652" t="s">
        <v>12602</v>
      </c>
      <c r="X652" t="s">
        <v>12603</v>
      </c>
      <c r="Y652" t="s">
        <v>12604</v>
      </c>
      <c r="Z652" t="s">
        <v>74</v>
      </c>
      <c r="AA652" t="s">
        <v>74</v>
      </c>
      <c r="AB652" t="s">
        <v>74</v>
      </c>
      <c r="AC652" t="s">
        <v>74</v>
      </c>
      <c r="AD652" t="s">
        <v>74</v>
      </c>
      <c r="AE652" t="s">
        <v>74</v>
      </c>
      <c r="AF652" t="s">
        <v>74</v>
      </c>
      <c r="AG652">
        <v>76</v>
      </c>
      <c r="AH652">
        <v>0</v>
      </c>
      <c r="AI652">
        <v>0</v>
      </c>
      <c r="AJ652">
        <v>0</v>
      </c>
      <c r="AK652">
        <v>0</v>
      </c>
      <c r="AL652" t="s">
        <v>12586</v>
      </c>
      <c r="AM652" t="s">
        <v>12587</v>
      </c>
      <c r="AN652" t="s">
        <v>12588</v>
      </c>
      <c r="AO652" t="s">
        <v>12589</v>
      </c>
      <c r="AP652" t="s">
        <v>12590</v>
      </c>
      <c r="AQ652" t="s">
        <v>12591</v>
      </c>
      <c r="AR652" t="s">
        <v>12592</v>
      </c>
      <c r="AS652" t="s">
        <v>74</v>
      </c>
      <c r="AT652" t="s">
        <v>74</v>
      </c>
      <c r="AU652">
        <v>2020</v>
      </c>
      <c r="AV652" t="s">
        <v>74</v>
      </c>
      <c r="AW652" t="s">
        <v>74</v>
      </c>
      <c r="AX652" t="s">
        <v>74</v>
      </c>
      <c r="AY652" t="s">
        <v>74</v>
      </c>
      <c r="AZ652" t="s">
        <v>74</v>
      </c>
      <c r="BA652" t="s">
        <v>74</v>
      </c>
      <c r="BB652">
        <v>21</v>
      </c>
      <c r="BC652">
        <v>62</v>
      </c>
      <c r="BD652" t="s">
        <v>74</v>
      </c>
      <c r="BE652" t="s">
        <v>12628</v>
      </c>
      <c r="BF652" t="str">
        <f>HYPERLINK("http://dx.doi.org/10.1007/978-981-13-9085-2_2","http://dx.doi.org/10.1007/978-981-13-9085-2_2")</f>
        <v>http://dx.doi.org/10.1007/978-981-13-9085-2_2</v>
      </c>
      <c r="BG652" t="s">
        <v>12593</v>
      </c>
      <c r="BH652" t="s">
        <v>74</v>
      </c>
      <c r="BI652">
        <v>42</v>
      </c>
      <c r="BJ652" t="s">
        <v>907</v>
      </c>
      <c r="BK652" t="s">
        <v>12436</v>
      </c>
      <c r="BL652" t="s">
        <v>907</v>
      </c>
      <c r="BM652" t="s">
        <v>12594</v>
      </c>
      <c r="BN652" t="s">
        <v>74</v>
      </c>
      <c r="BO652" t="s">
        <v>193</v>
      </c>
      <c r="BP652" t="s">
        <v>74</v>
      </c>
      <c r="BQ652" t="s">
        <v>74</v>
      </c>
      <c r="BR652" t="s">
        <v>106</v>
      </c>
      <c r="BS652" t="s">
        <v>12629</v>
      </c>
      <c r="BT652" t="str">
        <f>HYPERLINK("https%3A%2F%2Fwww.webofscience.com%2Fwos%2Fwoscc%2Ffull-record%2FWOS:000671810200003","View Full Record in Web of Science")</f>
        <v>View Full Record in Web of Science</v>
      </c>
    </row>
    <row r="653" spans="1:72" x14ac:dyDescent="0.15">
      <c r="A653" t="s">
        <v>12556</v>
      </c>
      <c r="B653" t="s">
        <v>12581</v>
      </c>
      <c r="C653" t="s">
        <v>12581</v>
      </c>
      <c r="D653" t="s">
        <v>74</v>
      </c>
      <c r="E653" t="s">
        <v>74</v>
      </c>
      <c r="F653" t="s">
        <v>12596</v>
      </c>
      <c r="G653" t="s">
        <v>12581</v>
      </c>
      <c r="H653" t="s">
        <v>74</v>
      </c>
      <c r="I653" t="s">
        <v>12630</v>
      </c>
      <c r="J653" t="s">
        <v>12583</v>
      </c>
      <c r="K653" t="s">
        <v>12584</v>
      </c>
      <c r="L653" t="s">
        <v>74</v>
      </c>
      <c r="M653" t="s">
        <v>78</v>
      </c>
      <c r="N653" t="s">
        <v>12422</v>
      </c>
      <c r="O653" t="s">
        <v>74</v>
      </c>
      <c r="P653" t="s">
        <v>74</v>
      </c>
      <c r="Q653" t="s">
        <v>74</v>
      </c>
      <c r="R653" t="s">
        <v>74</v>
      </c>
      <c r="S653" t="s">
        <v>74</v>
      </c>
      <c r="T653" t="s">
        <v>12625</v>
      </c>
      <c r="U653" t="s">
        <v>12631</v>
      </c>
      <c r="V653" t="s">
        <v>12632</v>
      </c>
      <c r="W653" t="s">
        <v>12602</v>
      </c>
      <c r="X653" t="s">
        <v>12603</v>
      </c>
      <c r="Y653" t="s">
        <v>12604</v>
      </c>
      <c r="Z653" t="s">
        <v>74</v>
      </c>
      <c r="AA653" t="s">
        <v>74</v>
      </c>
      <c r="AB653" t="s">
        <v>74</v>
      </c>
      <c r="AC653" t="s">
        <v>74</v>
      </c>
      <c r="AD653" t="s">
        <v>74</v>
      </c>
      <c r="AE653" t="s">
        <v>74</v>
      </c>
      <c r="AF653" t="s">
        <v>74</v>
      </c>
      <c r="AG653">
        <v>29</v>
      </c>
      <c r="AH653">
        <v>0</v>
      </c>
      <c r="AI653">
        <v>0</v>
      </c>
      <c r="AJ653">
        <v>0</v>
      </c>
      <c r="AK653">
        <v>0</v>
      </c>
      <c r="AL653" t="s">
        <v>12586</v>
      </c>
      <c r="AM653" t="s">
        <v>12587</v>
      </c>
      <c r="AN653" t="s">
        <v>12588</v>
      </c>
      <c r="AO653" t="s">
        <v>12589</v>
      </c>
      <c r="AP653" t="s">
        <v>12590</v>
      </c>
      <c r="AQ653" t="s">
        <v>12591</v>
      </c>
      <c r="AR653" t="s">
        <v>12592</v>
      </c>
      <c r="AS653" t="s">
        <v>74</v>
      </c>
      <c r="AT653" t="s">
        <v>74</v>
      </c>
      <c r="AU653">
        <v>2020</v>
      </c>
      <c r="AV653" t="s">
        <v>74</v>
      </c>
      <c r="AW653" t="s">
        <v>74</v>
      </c>
      <c r="AX653" t="s">
        <v>74</v>
      </c>
      <c r="AY653" t="s">
        <v>74</v>
      </c>
      <c r="AZ653" t="s">
        <v>74</v>
      </c>
      <c r="BA653" t="s">
        <v>74</v>
      </c>
      <c r="BB653">
        <v>63</v>
      </c>
      <c r="BC653">
        <v>88</v>
      </c>
      <c r="BD653" t="s">
        <v>74</v>
      </c>
      <c r="BE653" t="s">
        <v>12633</v>
      </c>
      <c r="BF653" t="str">
        <f>HYPERLINK("http://dx.doi.org/10.1007/978-981-13-9085-2_3","http://dx.doi.org/10.1007/978-981-13-9085-2_3")</f>
        <v>http://dx.doi.org/10.1007/978-981-13-9085-2_3</v>
      </c>
      <c r="BG653" t="s">
        <v>12593</v>
      </c>
      <c r="BH653" t="s">
        <v>74</v>
      </c>
      <c r="BI653">
        <v>26</v>
      </c>
      <c r="BJ653" t="s">
        <v>907</v>
      </c>
      <c r="BK653" t="s">
        <v>12436</v>
      </c>
      <c r="BL653" t="s">
        <v>907</v>
      </c>
      <c r="BM653" t="s">
        <v>12594</v>
      </c>
      <c r="BN653" t="s">
        <v>74</v>
      </c>
      <c r="BO653" t="s">
        <v>74</v>
      </c>
      <c r="BP653" t="s">
        <v>74</v>
      </c>
      <c r="BQ653" t="s">
        <v>74</v>
      </c>
      <c r="BR653" t="s">
        <v>106</v>
      </c>
      <c r="BS653" t="s">
        <v>12634</v>
      </c>
      <c r="BT653" t="str">
        <f>HYPERLINK("https%3A%2F%2Fwww.webofscience.com%2Fwos%2Fwoscc%2Ffull-record%2FWOS:000671810200004","View Full Record in Web of Science")</f>
        <v>View Full Record in Web of Science</v>
      </c>
    </row>
    <row r="654" spans="1:72" x14ac:dyDescent="0.15">
      <c r="A654" t="s">
        <v>12556</v>
      </c>
      <c r="B654" t="s">
        <v>12581</v>
      </c>
      <c r="C654" t="s">
        <v>12581</v>
      </c>
      <c r="D654" t="s">
        <v>74</v>
      </c>
      <c r="E654" t="s">
        <v>74</v>
      </c>
      <c r="F654" t="s">
        <v>12596</v>
      </c>
      <c r="G654" t="s">
        <v>12581</v>
      </c>
      <c r="H654" t="s">
        <v>74</v>
      </c>
      <c r="I654" t="s">
        <v>12635</v>
      </c>
      <c r="J654" t="s">
        <v>12583</v>
      </c>
      <c r="K654" t="s">
        <v>12584</v>
      </c>
      <c r="L654" t="s">
        <v>74</v>
      </c>
      <c r="M654" t="s">
        <v>78</v>
      </c>
      <c r="N654" t="s">
        <v>12422</v>
      </c>
      <c r="O654" t="s">
        <v>74</v>
      </c>
      <c r="P654" t="s">
        <v>74</v>
      </c>
      <c r="Q654" t="s">
        <v>74</v>
      </c>
      <c r="R654" t="s">
        <v>74</v>
      </c>
      <c r="S654" t="s">
        <v>74</v>
      </c>
      <c r="T654" t="s">
        <v>12636</v>
      </c>
      <c r="U654" t="s">
        <v>74</v>
      </c>
      <c r="V654" t="s">
        <v>12637</v>
      </c>
      <c r="W654" t="s">
        <v>12602</v>
      </c>
      <c r="X654" t="s">
        <v>12603</v>
      </c>
      <c r="Y654" t="s">
        <v>12604</v>
      </c>
      <c r="Z654" t="s">
        <v>74</v>
      </c>
      <c r="AA654" t="s">
        <v>74</v>
      </c>
      <c r="AB654" t="s">
        <v>74</v>
      </c>
      <c r="AC654" t="s">
        <v>74</v>
      </c>
      <c r="AD654" t="s">
        <v>74</v>
      </c>
      <c r="AE654" t="s">
        <v>74</v>
      </c>
      <c r="AF654" t="s">
        <v>74</v>
      </c>
      <c r="AG654">
        <v>4</v>
      </c>
      <c r="AH654">
        <v>0</v>
      </c>
      <c r="AI654">
        <v>0</v>
      </c>
      <c r="AJ654">
        <v>0</v>
      </c>
      <c r="AK654">
        <v>0</v>
      </c>
      <c r="AL654" t="s">
        <v>12586</v>
      </c>
      <c r="AM654" t="s">
        <v>12587</v>
      </c>
      <c r="AN654" t="s">
        <v>12588</v>
      </c>
      <c r="AO654" t="s">
        <v>12589</v>
      </c>
      <c r="AP654" t="s">
        <v>12590</v>
      </c>
      <c r="AQ654" t="s">
        <v>12591</v>
      </c>
      <c r="AR654" t="s">
        <v>12592</v>
      </c>
      <c r="AS654" t="s">
        <v>74</v>
      </c>
      <c r="AT654" t="s">
        <v>74</v>
      </c>
      <c r="AU654">
        <v>2020</v>
      </c>
      <c r="AV654" t="s">
        <v>74</v>
      </c>
      <c r="AW654" t="s">
        <v>74</v>
      </c>
      <c r="AX654" t="s">
        <v>74</v>
      </c>
      <c r="AY654" t="s">
        <v>74</v>
      </c>
      <c r="AZ654" t="s">
        <v>74</v>
      </c>
      <c r="BA654" t="s">
        <v>74</v>
      </c>
      <c r="BB654">
        <v>89</v>
      </c>
      <c r="BC654">
        <v>92</v>
      </c>
      <c r="BD654" t="s">
        <v>74</v>
      </c>
      <c r="BE654" t="s">
        <v>12638</v>
      </c>
      <c r="BF654" t="str">
        <f>HYPERLINK("http://dx.doi.org/10.1007/978-981-13-9085-2_4","http://dx.doi.org/10.1007/978-981-13-9085-2_4")</f>
        <v>http://dx.doi.org/10.1007/978-981-13-9085-2_4</v>
      </c>
      <c r="BG654" t="s">
        <v>12593</v>
      </c>
      <c r="BH654" t="s">
        <v>74</v>
      </c>
      <c r="BI654">
        <v>4</v>
      </c>
      <c r="BJ654" t="s">
        <v>907</v>
      </c>
      <c r="BK654" t="s">
        <v>12436</v>
      </c>
      <c r="BL654" t="s">
        <v>907</v>
      </c>
      <c r="BM654" t="s">
        <v>12594</v>
      </c>
      <c r="BN654" t="s">
        <v>74</v>
      </c>
      <c r="BO654" t="s">
        <v>74</v>
      </c>
      <c r="BP654" t="s">
        <v>74</v>
      </c>
      <c r="BQ654" t="s">
        <v>74</v>
      </c>
      <c r="BR654" t="s">
        <v>106</v>
      </c>
      <c r="BS654" t="s">
        <v>12639</v>
      </c>
      <c r="BT654" t="str">
        <f>HYPERLINK("https%3A%2F%2Fwww.webofscience.com%2Fwos%2Fwoscc%2Ffull-record%2FWOS:000671810200005","View Full Record in Web of Science")</f>
        <v>View Full Record in Web of Science</v>
      </c>
    </row>
    <row r="655" spans="1:72" x14ac:dyDescent="0.15">
      <c r="A655" t="s">
        <v>12556</v>
      </c>
      <c r="B655" t="s">
        <v>12640</v>
      </c>
      <c r="C655" t="s">
        <v>12581</v>
      </c>
      <c r="D655" t="s">
        <v>74</v>
      </c>
      <c r="E655" t="s">
        <v>74</v>
      </c>
      <c r="F655" t="s">
        <v>12641</v>
      </c>
      <c r="G655" t="s">
        <v>12581</v>
      </c>
      <c r="H655" t="s">
        <v>74</v>
      </c>
      <c r="I655" t="s">
        <v>12642</v>
      </c>
      <c r="J655" t="s">
        <v>12583</v>
      </c>
      <c r="K655" t="s">
        <v>12584</v>
      </c>
      <c r="L655" t="s">
        <v>74</v>
      </c>
      <c r="M655" t="s">
        <v>78</v>
      </c>
      <c r="N655" t="s">
        <v>12598</v>
      </c>
      <c r="O655" t="s">
        <v>74</v>
      </c>
      <c r="P655" t="s">
        <v>74</v>
      </c>
      <c r="Q655" t="s">
        <v>74</v>
      </c>
      <c r="R655" t="s">
        <v>74</v>
      </c>
      <c r="S655" t="s">
        <v>74</v>
      </c>
      <c r="T655" t="s">
        <v>74</v>
      </c>
      <c r="U655" t="s">
        <v>74</v>
      </c>
      <c r="V655" t="s">
        <v>74</v>
      </c>
      <c r="W655" t="s">
        <v>12643</v>
      </c>
      <c r="X655" t="s">
        <v>12603</v>
      </c>
      <c r="Y655" t="s">
        <v>12644</v>
      </c>
      <c r="Z655" t="s">
        <v>74</v>
      </c>
      <c r="AA655" t="s">
        <v>74</v>
      </c>
      <c r="AB655" t="s">
        <v>74</v>
      </c>
      <c r="AC655" t="s">
        <v>74</v>
      </c>
      <c r="AD655" t="s">
        <v>74</v>
      </c>
      <c r="AE655" t="s">
        <v>74</v>
      </c>
      <c r="AF655" t="s">
        <v>74</v>
      </c>
      <c r="AG655">
        <v>0</v>
      </c>
      <c r="AH655">
        <v>0</v>
      </c>
      <c r="AI655">
        <v>0</v>
      </c>
      <c r="AJ655">
        <v>0</v>
      </c>
      <c r="AK655">
        <v>0</v>
      </c>
      <c r="AL655" t="s">
        <v>12586</v>
      </c>
      <c r="AM655" t="s">
        <v>12587</v>
      </c>
      <c r="AN655" t="s">
        <v>12588</v>
      </c>
      <c r="AO655" t="s">
        <v>12589</v>
      </c>
      <c r="AP655" t="s">
        <v>12590</v>
      </c>
      <c r="AQ655" t="s">
        <v>12591</v>
      </c>
      <c r="AR655" t="s">
        <v>12592</v>
      </c>
      <c r="AS655" t="s">
        <v>74</v>
      </c>
      <c r="AT655" t="s">
        <v>74</v>
      </c>
      <c r="AU655">
        <v>2020</v>
      </c>
      <c r="AV655" t="s">
        <v>74</v>
      </c>
      <c r="AW655" t="s">
        <v>74</v>
      </c>
      <c r="AX655" t="s">
        <v>74</v>
      </c>
      <c r="AY655" t="s">
        <v>74</v>
      </c>
      <c r="AZ655" t="s">
        <v>74</v>
      </c>
      <c r="BA655" t="s">
        <v>74</v>
      </c>
      <c r="BB655" t="s">
        <v>12645</v>
      </c>
      <c r="BC655" t="s">
        <v>12646</v>
      </c>
      <c r="BD655" t="s">
        <v>74</v>
      </c>
      <c r="BE655" t="s">
        <v>74</v>
      </c>
      <c r="BF655" t="s">
        <v>74</v>
      </c>
      <c r="BG655" t="s">
        <v>12593</v>
      </c>
      <c r="BH655" t="s">
        <v>74</v>
      </c>
      <c r="BI655">
        <v>4</v>
      </c>
      <c r="BJ655" t="s">
        <v>907</v>
      </c>
      <c r="BK655" t="s">
        <v>12436</v>
      </c>
      <c r="BL655" t="s">
        <v>907</v>
      </c>
      <c r="BM655" t="s">
        <v>12594</v>
      </c>
      <c r="BN655" t="s">
        <v>74</v>
      </c>
      <c r="BO655" t="s">
        <v>74</v>
      </c>
      <c r="BP655" t="s">
        <v>74</v>
      </c>
      <c r="BQ655" t="s">
        <v>74</v>
      </c>
      <c r="BR655" t="s">
        <v>106</v>
      </c>
      <c r="BS655" t="s">
        <v>12647</v>
      </c>
      <c r="BT655" t="str">
        <f>HYPERLINK("https%3A%2F%2Fwww.webofscience.com%2Fwos%2Fwoscc%2Ffull-record%2FWOS:000671810200001","View Full Record in Web of Science")</f>
        <v>View Full Record in Web of Science</v>
      </c>
    </row>
    <row r="656" spans="1:72" x14ac:dyDescent="0.15">
      <c r="A656" t="s">
        <v>12440</v>
      </c>
      <c r="B656" t="s">
        <v>12648</v>
      </c>
      <c r="C656" t="s">
        <v>74</v>
      </c>
      <c r="D656" t="s">
        <v>12649</v>
      </c>
      <c r="E656" t="s">
        <v>74</v>
      </c>
      <c r="F656" t="s">
        <v>12650</v>
      </c>
      <c r="G656" t="s">
        <v>74</v>
      </c>
      <c r="H656" t="s">
        <v>74</v>
      </c>
      <c r="I656" t="s">
        <v>12651</v>
      </c>
      <c r="J656" t="s">
        <v>12652</v>
      </c>
      <c r="K656" t="s">
        <v>12653</v>
      </c>
      <c r="L656" t="s">
        <v>74</v>
      </c>
      <c r="M656" t="s">
        <v>78</v>
      </c>
      <c r="N656" t="s">
        <v>12447</v>
      </c>
      <c r="O656" t="s">
        <v>12654</v>
      </c>
      <c r="P656" t="s">
        <v>12655</v>
      </c>
      <c r="Q656" t="s">
        <v>12450</v>
      </c>
      <c r="R656" t="s">
        <v>74</v>
      </c>
      <c r="S656" t="s">
        <v>74</v>
      </c>
      <c r="T656" t="s">
        <v>74</v>
      </c>
      <c r="U656" t="s">
        <v>12656</v>
      </c>
      <c r="V656" t="s">
        <v>12657</v>
      </c>
      <c r="W656" t="s">
        <v>12658</v>
      </c>
      <c r="X656" t="s">
        <v>12659</v>
      </c>
      <c r="Y656" t="s">
        <v>12660</v>
      </c>
      <c r="Z656" t="s">
        <v>12661</v>
      </c>
      <c r="AA656" t="s">
        <v>12662</v>
      </c>
      <c r="AB656" t="s">
        <v>12663</v>
      </c>
      <c r="AC656" t="s">
        <v>12664</v>
      </c>
      <c r="AD656" t="s">
        <v>12665</v>
      </c>
      <c r="AE656" t="s">
        <v>12666</v>
      </c>
      <c r="AF656" t="s">
        <v>74</v>
      </c>
      <c r="AG656">
        <v>70</v>
      </c>
      <c r="AH656">
        <v>1</v>
      </c>
      <c r="AI656">
        <v>1</v>
      </c>
      <c r="AJ656">
        <v>2</v>
      </c>
      <c r="AK656">
        <v>2</v>
      </c>
      <c r="AL656" t="s">
        <v>12667</v>
      </c>
      <c r="AM656" t="s">
        <v>5587</v>
      </c>
      <c r="AN656" t="s">
        <v>12668</v>
      </c>
      <c r="AO656" t="s">
        <v>12669</v>
      </c>
      <c r="AP656" t="s">
        <v>74</v>
      </c>
      <c r="AQ656" t="s">
        <v>74</v>
      </c>
      <c r="AR656" t="s">
        <v>12670</v>
      </c>
      <c r="AS656" t="s">
        <v>74</v>
      </c>
      <c r="AT656" t="s">
        <v>74</v>
      </c>
      <c r="AU656">
        <v>2020</v>
      </c>
      <c r="AV656">
        <v>119</v>
      </c>
      <c r="AW656" t="s">
        <v>74</v>
      </c>
      <c r="AX656" t="s">
        <v>74</v>
      </c>
      <c r="AY656" t="s">
        <v>74</v>
      </c>
      <c r="AZ656" t="s">
        <v>74</v>
      </c>
      <c r="BA656" t="s">
        <v>74</v>
      </c>
      <c r="BB656" t="s">
        <v>74</v>
      </c>
      <c r="BC656" t="s">
        <v>74</v>
      </c>
      <c r="BD656" t="s">
        <v>74</v>
      </c>
      <c r="BE656" t="s">
        <v>74</v>
      </c>
      <c r="BF656" t="s">
        <v>74</v>
      </c>
      <c r="BG656" t="s">
        <v>74</v>
      </c>
      <c r="BH656" t="s">
        <v>74</v>
      </c>
      <c r="BI656">
        <v>12</v>
      </c>
      <c r="BJ656" t="s">
        <v>12671</v>
      </c>
      <c r="BK656" t="s">
        <v>12464</v>
      </c>
      <c r="BL656" t="s">
        <v>12672</v>
      </c>
      <c r="BM656" t="s">
        <v>12673</v>
      </c>
      <c r="BN656" t="s">
        <v>74</v>
      </c>
      <c r="BO656" t="s">
        <v>74</v>
      </c>
      <c r="BP656" t="s">
        <v>74</v>
      </c>
      <c r="BQ656" t="s">
        <v>74</v>
      </c>
      <c r="BR656" t="s">
        <v>106</v>
      </c>
      <c r="BS656" t="s">
        <v>12674</v>
      </c>
      <c r="BT656" t="str">
        <f>HYPERLINK("https%3A%2F%2Fwww.webofscience.com%2Fwos%2Fwoscc%2Ffull-record%2FWOS:000683178501027","View Full Record in Web of Science")</f>
        <v>View Full Record in Web of Science</v>
      </c>
    </row>
    <row r="657" spans="1:72" x14ac:dyDescent="0.15">
      <c r="A657" t="s">
        <v>12440</v>
      </c>
      <c r="B657" t="s">
        <v>12675</v>
      </c>
      <c r="C657" t="s">
        <v>74</v>
      </c>
      <c r="D657" t="s">
        <v>74</v>
      </c>
      <c r="E657" t="s">
        <v>12442</v>
      </c>
      <c r="F657" t="s">
        <v>12676</v>
      </c>
      <c r="G657" t="s">
        <v>74</v>
      </c>
      <c r="H657" t="s">
        <v>74</v>
      </c>
      <c r="I657" t="s">
        <v>12677</v>
      </c>
      <c r="J657" t="s">
        <v>12678</v>
      </c>
      <c r="K657" t="s">
        <v>12679</v>
      </c>
      <c r="L657" t="s">
        <v>74</v>
      </c>
      <c r="M657" t="s">
        <v>78</v>
      </c>
      <c r="N657" t="s">
        <v>12447</v>
      </c>
      <c r="O657" t="s">
        <v>12680</v>
      </c>
      <c r="P657" t="s">
        <v>12681</v>
      </c>
      <c r="Q657" t="s">
        <v>12450</v>
      </c>
      <c r="R657" t="s">
        <v>74</v>
      </c>
      <c r="S657" t="s">
        <v>74</v>
      </c>
      <c r="T657" t="s">
        <v>12682</v>
      </c>
      <c r="U657" t="s">
        <v>74</v>
      </c>
      <c r="V657" t="s">
        <v>12683</v>
      </c>
      <c r="W657" t="s">
        <v>12684</v>
      </c>
      <c r="X657" t="s">
        <v>12685</v>
      </c>
      <c r="Y657" t="s">
        <v>12686</v>
      </c>
      <c r="Z657" t="s">
        <v>74</v>
      </c>
      <c r="AA657" t="s">
        <v>12687</v>
      </c>
      <c r="AB657" t="s">
        <v>12688</v>
      </c>
      <c r="AC657" t="s">
        <v>12689</v>
      </c>
      <c r="AD657" t="s">
        <v>12690</v>
      </c>
      <c r="AE657" t="s">
        <v>12691</v>
      </c>
      <c r="AF657" t="s">
        <v>74</v>
      </c>
      <c r="AG657">
        <v>9</v>
      </c>
      <c r="AH657">
        <v>4</v>
      </c>
      <c r="AI657">
        <v>6</v>
      </c>
      <c r="AJ657">
        <v>0</v>
      </c>
      <c r="AK657">
        <v>0</v>
      </c>
      <c r="AL657" t="s">
        <v>12442</v>
      </c>
      <c r="AM657" t="s">
        <v>166</v>
      </c>
      <c r="AN657" t="s">
        <v>12459</v>
      </c>
      <c r="AO657" t="s">
        <v>12692</v>
      </c>
      <c r="AP657" t="s">
        <v>74</v>
      </c>
      <c r="AQ657" t="s">
        <v>12693</v>
      </c>
      <c r="AR657" t="s">
        <v>12694</v>
      </c>
      <c r="AS657" t="s">
        <v>74</v>
      </c>
      <c r="AT657" t="s">
        <v>74</v>
      </c>
      <c r="AU657">
        <v>2020</v>
      </c>
      <c r="AV657" t="s">
        <v>74</v>
      </c>
      <c r="AW657" t="s">
        <v>74</v>
      </c>
      <c r="AX657" t="s">
        <v>74</v>
      </c>
      <c r="AY657" t="s">
        <v>74</v>
      </c>
      <c r="AZ657" t="s">
        <v>74</v>
      </c>
      <c r="BA657" t="s">
        <v>74</v>
      </c>
      <c r="BB657">
        <v>1420</v>
      </c>
      <c r="BC657">
        <v>1423</v>
      </c>
      <c r="BD657" t="s">
        <v>74</v>
      </c>
      <c r="BE657" t="s">
        <v>12695</v>
      </c>
      <c r="BF657" t="str">
        <f>HYPERLINK("http://dx.doi.org/10.1109/IGARSS39084.2020.9323969","http://dx.doi.org/10.1109/IGARSS39084.2020.9323969")</f>
        <v>http://dx.doi.org/10.1109/IGARSS39084.2020.9323969</v>
      </c>
      <c r="BG657" t="s">
        <v>74</v>
      </c>
      <c r="BH657" t="s">
        <v>74</v>
      </c>
      <c r="BI657">
        <v>4</v>
      </c>
      <c r="BJ657" t="s">
        <v>12696</v>
      </c>
      <c r="BK657" t="s">
        <v>12464</v>
      </c>
      <c r="BL657" t="s">
        <v>12697</v>
      </c>
      <c r="BM657" t="s">
        <v>12698</v>
      </c>
      <c r="BN657" t="s">
        <v>74</v>
      </c>
      <c r="BO657" t="s">
        <v>74</v>
      </c>
      <c r="BP657" t="s">
        <v>74</v>
      </c>
      <c r="BQ657" t="s">
        <v>74</v>
      </c>
      <c r="BR657" t="s">
        <v>106</v>
      </c>
      <c r="BS657" t="s">
        <v>12699</v>
      </c>
      <c r="BT657" t="str">
        <f>HYPERLINK("https%3A%2F%2Fwww.webofscience.com%2Fwos%2Fwoscc%2Ffull-record%2FWOS:000664335301123","View Full Record in Web of Science")</f>
        <v>View Full Record in Web of Science</v>
      </c>
    </row>
    <row r="658" spans="1:72" x14ac:dyDescent="0.15">
      <c r="A658" t="s">
        <v>12440</v>
      </c>
      <c r="B658" t="s">
        <v>12700</v>
      </c>
      <c r="C658" t="s">
        <v>74</v>
      </c>
      <c r="D658" t="s">
        <v>74</v>
      </c>
      <c r="E658" t="s">
        <v>12442</v>
      </c>
      <c r="F658" t="s">
        <v>12701</v>
      </c>
      <c r="G658" t="s">
        <v>74</v>
      </c>
      <c r="H658" t="s">
        <v>74</v>
      </c>
      <c r="I658" t="s">
        <v>12702</v>
      </c>
      <c r="J658" t="s">
        <v>12678</v>
      </c>
      <c r="K658" t="s">
        <v>12679</v>
      </c>
      <c r="L658" t="s">
        <v>74</v>
      </c>
      <c r="M658" t="s">
        <v>78</v>
      </c>
      <c r="N658" t="s">
        <v>12447</v>
      </c>
      <c r="O658" t="s">
        <v>12680</v>
      </c>
      <c r="P658" t="s">
        <v>12681</v>
      </c>
      <c r="Q658" t="s">
        <v>12450</v>
      </c>
      <c r="R658" t="s">
        <v>74</v>
      </c>
      <c r="S658" t="s">
        <v>74</v>
      </c>
      <c r="T658" t="s">
        <v>12703</v>
      </c>
      <c r="U658" t="s">
        <v>74</v>
      </c>
      <c r="V658" t="s">
        <v>12704</v>
      </c>
      <c r="W658" t="s">
        <v>12705</v>
      </c>
      <c r="X658" t="s">
        <v>5332</v>
      </c>
      <c r="Y658" t="s">
        <v>12706</v>
      </c>
      <c r="Z658" t="s">
        <v>74</v>
      </c>
      <c r="AA658" t="s">
        <v>12707</v>
      </c>
      <c r="AB658" t="s">
        <v>12708</v>
      </c>
      <c r="AC658" t="s">
        <v>12709</v>
      </c>
      <c r="AD658" t="s">
        <v>12710</v>
      </c>
      <c r="AE658" t="s">
        <v>12711</v>
      </c>
      <c r="AF658" t="s">
        <v>74</v>
      </c>
      <c r="AG658">
        <v>4</v>
      </c>
      <c r="AH658">
        <v>0</v>
      </c>
      <c r="AI658">
        <v>0</v>
      </c>
      <c r="AJ658">
        <v>2</v>
      </c>
      <c r="AK658">
        <v>7</v>
      </c>
      <c r="AL658" t="s">
        <v>12442</v>
      </c>
      <c r="AM658" t="s">
        <v>166</v>
      </c>
      <c r="AN658" t="s">
        <v>12459</v>
      </c>
      <c r="AO658" t="s">
        <v>12692</v>
      </c>
      <c r="AP658" t="s">
        <v>74</v>
      </c>
      <c r="AQ658" t="s">
        <v>12693</v>
      </c>
      <c r="AR658" t="s">
        <v>12694</v>
      </c>
      <c r="AS658" t="s">
        <v>74</v>
      </c>
      <c r="AT658" t="s">
        <v>74</v>
      </c>
      <c r="AU658">
        <v>2020</v>
      </c>
      <c r="AV658" t="s">
        <v>74</v>
      </c>
      <c r="AW658" t="s">
        <v>74</v>
      </c>
      <c r="AX658" t="s">
        <v>74</v>
      </c>
      <c r="AY658" t="s">
        <v>74</v>
      </c>
      <c r="AZ658" t="s">
        <v>74</v>
      </c>
      <c r="BA658" t="s">
        <v>74</v>
      </c>
      <c r="BB658">
        <v>3039</v>
      </c>
      <c r="BC658">
        <v>3042</v>
      </c>
      <c r="BD658" t="s">
        <v>74</v>
      </c>
      <c r="BE658" t="s">
        <v>12712</v>
      </c>
      <c r="BF658" t="str">
        <f>HYPERLINK("http://dx.doi.org/10.1109/IGARSS39084.2020.9324590","http://dx.doi.org/10.1109/IGARSS39084.2020.9324590")</f>
        <v>http://dx.doi.org/10.1109/IGARSS39084.2020.9324590</v>
      </c>
      <c r="BG658" t="s">
        <v>74</v>
      </c>
      <c r="BH658" t="s">
        <v>74</v>
      </c>
      <c r="BI658">
        <v>4</v>
      </c>
      <c r="BJ658" t="s">
        <v>12696</v>
      </c>
      <c r="BK658" t="s">
        <v>12464</v>
      </c>
      <c r="BL658" t="s">
        <v>12697</v>
      </c>
      <c r="BM658" t="s">
        <v>12698</v>
      </c>
      <c r="BN658" t="s">
        <v>74</v>
      </c>
      <c r="BO658" t="s">
        <v>74</v>
      </c>
      <c r="BP658" t="s">
        <v>74</v>
      </c>
      <c r="BQ658" t="s">
        <v>74</v>
      </c>
      <c r="BR658" t="s">
        <v>106</v>
      </c>
      <c r="BS658" t="s">
        <v>12713</v>
      </c>
      <c r="BT658" t="str">
        <f>HYPERLINK("https%3A%2F%2Fwww.webofscience.com%2Fwos%2Fwoscc%2Ffull-record%2FWOS:000664335303010","View Full Record in Web of Science")</f>
        <v>View Full Record in Web of Science</v>
      </c>
    </row>
    <row r="659" spans="1:72" x14ac:dyDescent="0.15">
      <c r="A659" t="s">
        <v>12440</v>
      </c>
      <c r="B659" t="s">
        <v>12714</v>
      </c>
      <c r="C659" t="s">
        <v>74</v>
      </c>
      <c r="D659" t="s">
        <v>74</v>
      </c>
      <c r="E659" t="s">
        <v>12442</v>
      </c>
      <c r="F659" t="s">
        <v>12715</v>
      </c>
      <c r="G659" t="s">
        <v>74</v>
      </c>
      <c r="H659" t="s">
        <v>74</v>
      </c>
      <c r="I659" t="s">
        <v>12716</v>
      </c>
      <c r="J659" t="s">
        <v>12678</v>
      </c>
      <c r="K659" t="s">
        <v>12679</v>
      </c>
      <c r="L659" t="s">
        <v>74</v>
      </c>
      <c r="M659" t="s">
        <v>78</v>
      </c>
      <c r="N659" t="s">
        <v>12447</v>
      </c>
      <c r="O659" t="s">
        <v>12680</v>
      </c>
      <c r="P659" t="s">
        <v>12681</v>
      </c>
      <c r="Q659" t="s">
        <v>12450</v>
      </c>
      <c r="R659" t="s">
        <v>74</v>
      </c>
      <c r="S659" t="s">
        <v>74</v>
      </c>
      <c r="T659" t="s">
        <v>12717</v>
      </c>
      <c r="U659" t="s">
        <v>74</v>
      </c>
      <c r="V659" t="s">
        <v>12718</v>
      </c>
      <c r="W659" t="s">
        <v>12719</v>
      </c>
      <c r="X659" t="s">
        <v>12720</v>
      </c>
      <c r="Y659" t="s">
        <v>12721</v>
      </c>
      <c r="Z659" t="s">
        <v>74</v>
      </c>
      <c r="AA659" t="s">
        <v>74</v>
      </c>
      <c r="AB659" t="s">
        <v>74</v>
      </c>
      <c r="AC659" t="s">
        <v>12722</v>
      </c>
      <c r="AD659" t="s">
        <v>12723</v>
      </c>
      <c r="AE659" t="s">
        <v>12724</v>
      </c>
      <c r="AF659" t="s">
        <v>74</v>
      </c>
      <c r="AG659">
        <v>8</v>
      </c>
      <c r="AH659">
        <v>0</v>
      </c>
      <c r="AI659">
        <v>0</v>
      </c>
      <c r="AJ659">
        <v>2</v>
      </c>
      <c r="AK659">
        <v>2</v>
      </c>
      <c r="AL659" t="s">
        <v>12442</v>
      </c>
      <c r="AM659" t="s">
        <v>166</v>
      </c>
      <c r="AN659" t="s">
        <v>12459</v>
      </c>
      <c r="AO659" t="s">
        <v>12692</v>
      </c>
      <c r="AP659" t="s">
        <v>74</v>
      </c>
      <c r="AQ659" t="s">
        <v>12693</v>
      </c>
      <c r="AR659" t="s">
        <v>12694</v>
      </c>
      <c r="AS659" t="s">
        <v>74</v>
      </c>
      <c r="AT659" t="s">
        <v>74</v>
      </c>
      <c r="AU659">
        <v>2020</v>
      </c>
      <c r="AV659" t="s">
        <v>74</v>
      </c>
      <c r="AW659" t="s">
        <v>74</v>
      </c>
      <c r="AX659" t="s">
        <v>74</v>
      </c>
      <c r="AY659" t="s">
        <v>74</v>
      </c>
      <c r="AZ659" t="s">
        <v>74</v>
      </c>
      <c r="BA659" t="s">
        <v>74</v>
      </c>
      <c r="BB659">
        <v>5631</v>
      </c>
      <c r="BC659">
        <v>5634</v>
      </c>
      <c r="BD659" t="s">
        <v>74</v>
      </c>
      <c r="BE659" t="s">
        <v>12725</v>
      </c>
      <c r="BF659" t="str">
        <f>HYPERLINK("http://dx.doi.org/10.1109/IGARSS39084.2020.9323566","http://dx.doi.org/10.1109/IGARSS39084.2020.9323566")</f>
        <v>http://dx.doi.org/10.1109/IGARSS39084.2020.9323566</v>
      </c>
      <c r="BG659" t="s">
        <v>74</v>
      </c>
      <c r="BH659" t="s">
        <v>74</v>
      </c>
      <c r="BI659">
        <v>4</v>
      </c>
      <c r="BJ659" t="s">
        <v>12696</v>
      </c>
      <c r="BK659" t="s">
        <v>12464</v>
      </c>
      <c r="BL659" t="s">
        <v>12697</v>
      </c>
      <c r="BM659" t="s">
        <v>12698</v>
      </c>
      <c r="BN659" t="s">
        <v>74</v>
      </c>
      <c r="BO659" t="s">
        <v>837</v>
      </c>
      <c r="BP659" t="s">
        <v>74</v>
      </c>
      <c r="BQ659" t="s">
        <v>74</v>
      </c>
      <c r="BR659" t="s">
        <v>106</v>
      </c>
      <c r="BS659" t="s">
        <v>12726</v>
      </c>
      <c r="BT659" t="str">
        <f>HYPERLINK("https%3A%2F%2Fwww.webofscience.com%2Fwos%2Fwoscc%2Ffull-record%2FWOS:000664335305097","View Full Record in Web of Science")</f>
        <v>View Full Record in Web of Science</v>
      </c>
    </row>
    <row r="660" spans="1:72" x14ac:dyDescent="0.15">
      <c r="A660" t="s">
        <v>12440</v>
      </c>
      <c r="B660" t="s">
        <v>12727</v>
      </c>
      <c r="C660" t="s">
        <v>74</v>
      </c>
      <c r="D660" t="s">
        <v>74</v>
      </c>
      <c r="E660" t="s">
        <v>12442</v>
      </c>
      <c r="F660" t="s">
        <v>12728</v>
      </c>
      <c r="G660" t="s">
        <v>74</v>
      </c>
      <c r="H660" t="s">
        <v>74</v>
      </c>
      <c r="I660" t="s">
        <v>12729</v>
      </c>
      <c r="J660" t="s">
        <v>12678</v>
      </c>
      <c r="K660" t="s">
        <v>12679</v>
      </c>
      <c r="L660" t="s">
        <v>74</v>
      </c>
      <c r="M660" t="s">
        <v>78</v>
      </c>
      <c r="N660" t="s">
        <v>12447</v>
      </c>
      <c r="O660" t="s">
        <v>12680</v>
      </c>
      <c r="P660" t="s">
        <v>12681</v>
      </c>
      <c r="Q660" t="s">
        <v>12450</v>
      </c>
      <c r="R660" t="s">
        <v>74</v>
      </c>
      <c r="S660" t="s">
        <v>74</v>
      </c>
      <c r="T660" t="s">
        <v>12730</v>
      </c>
      <c r="U660" t="s">
        <v>74</v>
      </c>
      <c r="V660" t="s">
        <v>12731</v>
      </c>
      <c r="W660" t="s">
        <v>12732</v>
      </c>
      <c r="X660" t="s">
        <v>12733</v>
      </c>
      <c r="Y660" t="s">
        <v>12734</v>
      </c>
      <c r="Z660" t="s">
        <v>74</v>
      </c>
      <c r="AA660" t="s">
        <v>74</v>
      </c>
      <c r="AB660" t="s">
        <v>74</v>
      </c>
      <c r="AC660" t="s">
        <v>74</v>
      </c>
      <c r="AD660" t="s">
        <v>74</v>
      </c>
      <c r="AE660" t="s">
        <v>74</v>
      </c>
      <c r="AF660" t="s">
        <v>74</v>
      </c>
      <c r="AG660">
        <v>0</v>
      </c>
      <c r="AH660">
        <v>10</v>
      </c>
      <c r="AI660">
        <v>10</v>
      </c>
      <c r="AJ660">
        <v>0</v>
      </c>
      <c r="AK660">
        <v>0</v>
      </c>
      <c r="AL660" t="s">
        <v>12442</v>
      </c>
      <c r="AM660" t="s">
        <v>166</v>
      </c>
      <c r="AN660" t="s">
        <v>12459</v>
      </c>
      <c r="AO660" t="s">
        <v>12692</v>
      </c>
      <c r="AP660" t="s">
        <v>74</v>
      </c>
      <c r="AQ660" t="s">
        <v>12693</v>
      </c>
      <c r="AR660" t="s">
        <v>12694</v>
      </c>
      <c r="AS660" t="s">
        <v>74</v>
      </c>
      <c r="AT660" t="s">
        <v>74</v>
      </c>
      <c r="AU660">
        <v>2020</v>
      </c>
      <c r="AV660" t="s">
        <v>74</v>
      </c>
      <c r="AW660" t="s">
        <v>74</v>
      </c>
      <c r="AX660" t="s">
        <v>74</v>
      </c>
      <c r="AY660" t="s">
        <v>74</v>
      </c>
      <c r="AZ660" t="s">
        <v>74</v>
      </c>
      <c r="BA660" t="s">
        <v>74</v>
      </c>
      <c r="BB660">
        <v>6535</v>
      </c>
      <c r="BC660">
        <v>6538</v>
      </c>
      <c r="BD660" t="s">
        <v>74</v>
      </c>
      <c r="BE660" t="s">
        <v>12735</v>
      </c>
      <c r="BF660" t="str">
        <f>HYPERLINK("http://dx.doi.org/10.1109/IGARSS39084.2020.9324259","http://dx.doi.org/10.1109/IGARSS39084.2020.9324259")</f>
        <v>http://dx.doi.org/10.1109/IGARSS39084.2020.9324259</v>
      </c>
      <c r="BG660" t="s">
        <v>74</v>
      </c>
      <c r="BH660" t="s">
        <v>74</v>
      </c>
      <c r="BI660">
        <v>4</v>
      </c>
      <c r="BJ660" t="s">
        <v>12696</v>
      </c>
      <c r="BK660" t="s">
        <v>12464</v>
      </c>
      <c r="BL660" t="s">
        <v>12697</v>
      </c>
      <c r="BM660" t="s">
        <v>12698</v>
      </c>
      <c r="BN660" t="s">
        <v>74</v>
      </c>
      <c r="BO660" t="s">
        <v>74</v>
      </c>
      <c r="BP660" t="s">
        <v>74</v>
      </c>
      <c r="BQ660" t="s">
        <v>74</v>
      </c>
      <c r="BR660" t="s">
        <v>106</v>
      </c>
      <c r="BS660" t="s">
        <v>12736</v>
      </c>
      <c r="BT660" t="str">
        <f>HYPERLINK("https%3A%2F%2Fwww.webofscience.com%2Fwos%2Fwoscc%2Ffull-record%2FWOS:000664335306049","View Full Record in Web of Science")</f>
        <v>View Full Record in Web of Science</v>
      </c>
    </row>
    <row r="661" spans="1:72" x14ac:dyDescent="0.15">
      <c r="A661" t="s">
        <v>12440</v>
      </c>
      <c r="B661" t="s">
        <v>12737</v>
      </c>
      <c r="C661" t="s">
        <v>74</v>
      </c>
      <c r="D661" t="s">
        <v>74</v>
      </c>
      <c r="E661" t="s">
        <v>12442</v>
      </c>
      <c r="F661" t="s">
        <v>12738</v>
      </c>
      <c r="G661" t="s">
        <v>74</v>
      </c>
      <c r="H661" t="s">
        <v>74</v>
      </c>
      <c r="I661" t="s">
        <v>12739</v>
      </c>
      <c r="J661" t="s">
        <v>12678</v>
      </c>
      <c r="K661" t="s">
        <v>12679</v>
      </c>
      <c r="L661" t="s">
        <v>74</v>
      </c>
      <c r="M661" t="s">
        <v>78</v>
      </c>
      <c r="N661" t="s">
        <v>12447</v>
      </c>
      <c r="O661" t="s">
        <v>12680</v>
      </c>
      <c r="P661" t="s">
        <v>12681</v>
      </c>
      <c r="Q661" t="s">
        <v>12450</v>
      </c>
      <c r="R661" t="s">
        <v>74</v>
      </c>
      <c r="S661" t="s">
        <v>74</v>
      </c>
      <c r="T661" t="s">
        <v>12740</v>
      </c>
      <c r="U661" t="s">
        <v>74</v>
      </c>
      <c r="V661" t="s">
        <v>12741</v>
      </c>
      <c r="W661" t="s">
        <v>12742</v>
      </c>
      <c r="X661" t="s">
        <v>12743</v>
      </c>
      <c r="Y661" t="s">
        <v>12744</v>
      </c>
      <c r="Z661" t="s">
        <v>74</v>
      </c>
      <c r="AA661" t="s">
        <v>74</v>
      </c>
      <c r="AB661" t="s">
        <v>74</v>
      </c>
      <c r="AC661" t="s">
        <v>12745</v>
      </c>
      <c r="AD661" t="s">
        <v>12746</v>
      </c>
      <c r="AE661" t="s">
        <v>12747</v>
      </c>
      <c r="AF661" t="s">
        <v>74</v>
      </c>
      <c r="AG661">
        <v>18</v>
      </c>
      <c r="AH661">
        <v>7</v>
      </c>
      <c r="AI661">
        <v>7</v>
      </c>
      <c r="AJ661">
        <v>0</v>
      </c>
      <c r="AK661">
        <v>0</v>
      </c>
      <c r="AL661" t="s">
        <v>12442</v>
      </c>
      <c r="AM661" t="s">
        <v>166</v>
      </c>
      <c r="AN661" t="s">
        <v>12459</v>
      </c>
      <c r="AO661" t="s">
        <v>12692</v>
      </c>
      <c r="AP661" t="s">
        <v>74</v>
      </c>
      <c r="AQ661" t="s">
        <v>12693</v>
      </c>
      <c r="AR661" t="s">
        <v>12694</v>
      </c>
      <c r="AS661" t="s">
        <v>74</v>
      </c>
      <c r="AT661" t="s">
        <v>74</v>
      </c>
      <c r="AU661">
        <v>2020</v>
      </c>
      <c r="AV661" t="s">
        <v>74</v>
      </c>
      <c r="AW661" t="s">
        <v>74</v>
      </c>
      <c r="AX661" t="s">
        <v>74</v>
      </c>
      <c r="AY661" t="s">
        <v>74</v>
      </c>
      <c r="AZ661" t="s">
        <v>74</v>
      </c>
      <c r="BA661" t="s">
        <v>74</v>
      </c>
      <c r="BB661">
        <v>7001</v>
      </c>
      <c r="BC661">
        <v>7004</v>
      </c>
      <c r="BD661" t="s">
        <v>74</v>
      </c>
      <c r="BE661" t="s">
        <v>12748</v>
      </c>
      <c r="BF661" t="str">
        <f>HYPERLINK("http://dx.doi.org/10.1109/IGARSS39084.2020.9323676","http://dx.doi.org/10.1109/IGARSS39084.2020.9323676")</f>
        <v>http://dx.doi.org/10.1109/IGARSS39084.2020.9323676</v>
      </c>
      <c r="BG661" t="s">
        <v>74</v>
      </c>
      <c r="BH661" t="s">
        <v>74</v>
      </c>
      <c r="BI661">
        <v>4</v>
      </c>
      <c r="BJ661" t="s">
        <v>12696</v>
      </c>
      <c r="BK661" t="s">
        <v>12464</v>
      </c>
      <c r="BL661" t="s">
        <v>12697</v>
      </c>
      <c r="BM661" t="s">
        <v>12698</v>
      </c>
      <c r="BN661" t="s">
        <v>74</v>
      </c>
      <c r="BO661" t="s">
        <v>74</v>
      </c>
      <c r="BP661" t="s">
        <v>74</v>
      </c>
      <c r="BQ661" t="s">
        <v>74</v>
      </c>
      <c r="BR661" t="s">
        <v>106</v>
      </c>
      <c r="BS661" t="s">
        <v>12749</v>
      </c>
      <c r="BT661" t="str">
        <f>HYPERLINK("https%3A%2F%2Fwww.webofscience.com%2Fwos%2Fwoscc%2Ffull-record%2FWOS:000664335306156","View Full Record in Web of Science")</f>
        <v>View Full Record in Web of Science</v>
      </c>
    </row>
    <row r="662" spans="1:72" x14ac:dyDescent="0.15">
      <c r="A662" t="s">
        <v>12556</v>
      </c>
      <c r="B662" t="s">
        <v>12750</v>
      </c>
      <c r="C662" t="s">
        <v>74</v>
      </c>
      <c r="D662" t="s">
        <v>12751</v>
      </c>
      <c r="E662" t="s">
        <v>74</v>
      </c>
      <c r="F662" t="s">
        <v>12752</v>
      </c>
      <c r="G662" t="s">
        <v>74</v>
      </c>
      <c r="H662" t="s">
        <v>74</v>
      </c>
      <c r="I662" t="s">
        <v>12753</v>
      </c>
      <c r="J662" t="s">
        <v>12754</v>
      </c>
      <c r="K662" t="s">
        <v>12755</v>
      </c>
      <c r="L662" t="s">
        <v>74</v>
      </c>
      <c r="M662" t="s">
        <v>78</v>
      </c>
      <c r="N662" t="s">
        <v>12422</v>
      </c>
      <c r="O662" t="s">
        <v>74</v>
      </c>
      <c r="P662" t="s">
        <v>74</v>
      </c>
      <c r="Q662" t="s">
        <v>74</v>
      </c>
      <c r="R662" t="s">
        <v>74</v>
      </c>
      <c r="S662" t="s">
        <v>74</v>
      </c>
      <c r="T662" t="s">
        <v>74</v>
      </c>
      <c r="U662" t="s">
        <v>12756</v>
      </c>
      <c r="V662" t="s">
        <v>74</v>
      </c>
      <c r="W662" t="s">
        <v>12757</v>
      </c>
      <c r="X662" t="s">
        <v>12758</v>
      </c>
      <c r="Y662" t="s">
        <v>12759</v>
      </c>
      <c r="Z662" t="s">
        <v>12760</v>
      </c>
      <c r="AA662" t="s">
        <v>12761</v>
      </c>
      <c r="AB662" t="s">
        <v>12762</v>
      </c>
      <c r="AC662" t="s">
        <v>74</v>
      </c>
      <c r="AD662" t="s">
        <v>74</v>
      </c>
      <c r="AE662" t="s">
        <v>74</v>
      </c>
      <c r="AF662" t="s">
        <v>74</v>
      </c>
      <c r="AG662">
        <v>235</v>
      </c>
      <c r="AH662">
        <v>16</v>
      </c>
      <c r="AI662">
        <v>18</v>
      </c>
      <c r="AJ662">
        <v>0</v>
      </c>
      <c r="AK662">
        <v>3</v>
      </c>
      <c r="AL662" t="s">
        <v>12570</v>
      </c>
      <c r="AM662" t="s">
        <v>12571</v>
      </c>
      <c r="AN662" t="s">
        <v>12572</v>
      </c>
      <c r="AO662" t="s">
        <v>12763</v>
      </c>
      <c r="AP662" t="s">
        <v>12764</v>
      </c>
      <c r="AQ662" t="s">
        <v>12765</v>
      </c>
      <c r="AR662" t="s">
        <v>12766</v>
      </c>
      <c r="AS662" t="s">
        <v>74</v>
      </c>
      <c r="AT662" t="s">
        <v>74</v>
      </c>
      <c r="AU662">
        <v>2020</v>
      </c>
      <c r="AV662" t="s">
        <v>74</v>
      </c>
      <c r="AW662" t="s">
        <v>74</v>
      </c>
      <c r="AX662" t="s">
        <v>74</v>
      </c>
      <c r="AY662" t="s">
        <v>74</v>
      </c>
      <c r="AZ662" t="s">
        <v>74</v>
      </c>
      <c r="BA662" t="s">
        <v>74</v>
      </c>
      <c r="BB662">
        <v>359</v>
      </c>
      <c r="BC662">
        <v>402</v>
      </c>
      <c r="BD662" t="s">
        <v>74</v>
      </c>
      <c r="BE662" t="s">
        <v>12767</v>
      </c>
      <c r="BF662" t="str">
        <f>HYPERLINK("http://dx.doi.org/10.1007/978-3-030-32878-8_10","http://dx.doi.org/10.1007/978-3-030-32878-8_10")</f>
        <v>http://dx.doi.org/10.1007/978-3-030-32878-8_10</v>
      </c>
      <c r="BG662" t="s">
        <v>12768</v>
      </c>
      <c r="BH662" t="s">
        <v>74</v>
      </c>
      <c r="BI662">
        <v>44</v>
      </c>
      <c r="BJ662" t="s">
        <v>984</v>
      </c>
      <c r="BK662" t="s">
        <v>12436</v>
      </c>
      <c r="BL662" t="s">
        <v>985</v>
      </c>
      <c r="BM662" t="s">
        <v>12769</v>
      </c>
      <c r="BN662" t="s">
        <v>74</v>
      </c>
      <c r="BO662" t="s">
        <v>74</v>
      </c>
      <c r="BP662" t="s">
        <v>74</v>
      </c>
      <c r="BQ662" t="s">
        <v>74</v>
      </c>
      <c r="BR662" t="s">
        <v>106</v>
      </c>
      <c r="BS662" t="s">
        <v>12770</v>
      </c>
      <c r="BT662" t="str">
        <f>HYPERLINK("https%3A%2F%2Fwww.webofscience.com%2Fwos%2Fwoscc%2Ffull-record%2FWOS:000677571300011","View Full Record in Web of Science")</f>
        <v>View Full Record in Web of Science</v>
      </c>
    </row>
    <row r="663" spans="1:72" x14ac:dyDescent="0.15">
      <c r="A663" t="s">
        <v>12556</v>
      </c>
      <c r="B663" t="s">
        <v>12771</v>
      </c>
      <c r="C663" t="s">
        <v>74</v>
      </c>
      <c r="D663" t="s">
        <v>12772</v>
      </c>
      <c r="E663" t="s">
        <v>74</v>
      </c>
      <c r="F663" t="s">
        <v>12773</v>
      </c>
      <c r="G663" t="s">
        <v>74</v>
      </c>
      <c r="H663" t="s">
        <v>74</v>
      </c>
      <c r="I663" t="s">
        <v>12774</v>
      </c>
      <c r="J663" t="s">
        <v>12775</v>
      </c>
      <c r="K663" t="s">
        <v>12562</v>
      </c>
      <c r="L663" t="s">
        <v>74</v>
      </c>
      <c r="M663" t="s">
        <v>78</v>
      </c>
      <c r="N663" t="s">
        <v>12422</v>
      </c>
      <c r="O663" t="s">
        <v>74</v>
      </c>
      <c r="P663" t="s">
        <v>74</v>
      </c>
      <c r="Q663" t="s">
        <v>74</v>
      </c>
      <c r="R663" t="s">
        <v>74</v>
      </c>
      <c r="S663" t="s">
        <v>74</v>
      </c>
      <c r="T663" t="s">
        <v>74</v>
      </c>
      <c r="U663" t="s">
        <v>12776</v>
      </c>
      <c r="V663" t="s">
        <v>74</v>
      </c>
      <c r="W663" t="s">
        <v>12777</v>
      </c>
      <c r="X663" t="s">
        <v>12778</v>
      </c>
      <c r="Y663" t="s">
        <v>12779</v>
      </c>
      <c r="Z663" t="s">
        <v>12780</v>
      </c>
      <c r="AA663" t="s">
        <v>74</v>
      </c>
      <c r="AB663" t="s">
        <v>74</v>
      </c>
      <c r="AC663" t="s">
        <v>74</v>
      </c>
      <c r="AD663" t="s">
        <v>74</v>
      </c>
      <c r="AE663" t="s">
        <v>74</v>
      </c>
      <c r="AF663" t="s">
        <v>74</v>
      </c>
      <c r="AG663">
        <v>155</v>
      </c>
      <c r="AH663">
        <v>2</v>
      </c>
      <c r="AI663">
        <v>2</v>
      </c>
      <c r="AJ663">
        <v>0</v>
      </c>
      <c r="AK663">
        <v>3</v>
      </c>
      <c r="AL663" t="s">
        <v>12570</v>
      </c>
      <c r="AM663" t="s">
        <v>12571</v>
      </c>
      <c r="AN663" t="s">
        <v>12572</v>
      </c>
      <c r="AO663" t="s">
        <v>12573</v>
      </c>
      <c r="AP663" t="s">
        <v>12574</v>
      </c>
      <c r="AQ663" t="s">
        <v>12781</v>
      </c>
      <c r="AR663" t="s">
        <v>12576</v>
      </c>
      <c r="AS663" t="s">
        <v>74</v>
      </c>
      <c r="AT663" t="s">
        <v>74</v>
      </c>
      <c r="AU663">
        <v>2020</v>
      </c>
      <c r="AV663" t="s">
        <v>74</v>
      </c>
      <c r="AW663" t="s">
        <v>74</v>
      </c>
      <c r="AX663" t="s">
        <v>74</v>
      </c>
      <c r="AY663" t="s">
        <v>74</v>
      </c>
      <c r="AZ663" t="s">
        <v>74</v>
      </c>
      <c r="BA663" t="s">
        <v>74</v>
      </c>
      <c r="BB663">
        <v>247</v>
      </c>
      <c r="BC663">
        <v>299</v>
      </c>
      <c r="BD663" t="s">
        <v>74</v>
      </c>
      <c r="BE663" t="s">
        <v>12782</v>
      </c>
      <c r="BF663" t="str">
        <f>HYPERLINK("http://dx.doi.org/10.1007/978-3-030-21301-5_6","http://dx.doi.org/10.1007/978-3-030-21301-5_6")</f>
        <v>http://dx.doi.org/10.1007/978-3-030-21301-5_6</v>
      </c>
      <c r="BG663" t="s">
        <v>12783</v>
      </c>
      <c r="BH663" t="s">
        <v>74</v>
      </c>
      <c r="BI663">
        <v>53</v>
      </c>
      <c r="BJ663" t="s">
        <v>12784</v>
      </c>
      <c r="BK663" t="s">
        <v>12436</v>
      </c>
      <c r="BL663" t="s">
        <v>12785</v>
      </c>
      <c r="BM663" t="s">
        <v>12786</v>
      </c>
      <c r="BN663" t="s">
        <v>74</v>
      </c>
      <c r="BO663" t="s">
        <v>74</v>
      </c>
      <c r="BP663" t="s">
        <v>74</v>
      </c>
      <c r="BQ663" t="s">
        <v>74</v>
      </c>
      <c r="BR663" t="s">
        <v>106</v>
      </c>
      <c r="BS663" t="s">
        <v>12787</v>
      </c>
      <c r="BT663" t="str">
        <f>HYPERLINK("https%3A%2F%2Fwww.webofscience.com%2Fwos%2Fwoscc%2Ffull-record%2FWOS:000637946500007","View Full Record in Web of Science")</f>
        <v>View Full Record in Web of Science</v>
      </c>
    </row>
    <row r="664" spans="1:72" x14ac:dyDescent="0.15">
      <c r="A664" t="s">
        <v>12556</v>
      </c>
      <c r="B664" t="s">
        <v>12788</v>
      </c>
      <c r="C664" t="s">
        <v>74</v>
      </c>
      <c r="D664" t="s">
        <v>12772</v>
      </c>
      <c r="E664" t="s">
        <v>74</v>
      </c>
      <c r="F664" t="s">
        <v>12789</v>
      </c>
      <c r="G664" t="s">
        <v>74</v>
      </c>
      <c r="H664" t="s">
        <v>74</v>
      </c>
      <c r="I664" t="s">
        <v>12790</v>
      </c>
      <c r="J664" t="s">
        <v>12775</v>
      </c>
      <c r="K664" t="s">
        <v>12562</v>
      </c>
      <c r="L664" t="s">
        <v>74</v>
      </c>
      <c r="M664" t="s">
        <v>78</v>
      </c>
      <c r="N664" t="s">
        <v>12422</v>
      </c>
      <c r="O664" t="s">
        <v>74</v>
      </c>
      <c r="P664" t="s">
        <v>74</v>
      </c>
      <c r="Q664" t="s">
        <v>74</v>
      </c>
      <c r="R664" t="s">
        <v>74</v>
      </c>
      <c r="S664" t="s">
        <v>74</v>
      </c>
      <c r="T664" t="s">
        <v>74</v>
      </c>
      <c r="U664" t="s">
        <v>12791</v>
      </c>
      <c r="V664" t="s">
        <v>74</v>
      </c>
      <c r="W664" t="s">
        <v>12792</v>
      </c>
      <c r="X664" t="s">
        <v>12793</v>
      </c>
      <c r="Y664" t="s">
        <v>12794</v>
      </c>
      <c r="Z664" t="s">
        <v>12795</v>
      </c>
      <c r="AA664" t="s">
        <v>74</v>
      </c>
      <c r="AB664" t="s">
        <v>74</v>
      </c>
      <c r="AC664" t="s">
        <v>74</v>
      </c>
      <c r="AD664" t="s">
        <v>74</v>
      </c>
      <c r="AE664" t="s">
        <v>74</v>
      </c>
      <c r="AF664" t="s">
        <v>74</v>
      </c>
      <c r="AG664">
        <v>31</v>
      </c>
      <c r="AH664">
        <v>3</v>
      </c>
      <c r="AI664">
        <v>3</v>
      </c>
      <c r="AJ664">
        <v>0</v>
      </c>
      <c r="AK664">
        <v>0</v>
      </c>
      <c r="AL664" t="s">
        <v>12570</v>
      </c>
      <c r="AM664" t="s">
        <v>12571</v>
      </c>
      <c r="AN664" t="s">
        <v>12572</v>
      </c>
      <c r="AO664" t="s">
        <v>12573</v>
      </c>
      <c r="AP664" t="s">
        <v>12574</v>
      </c>
      <c r="AQ664" t="s">
        <v>12781</v>
      </c>
      <c r="AR664" t="s">
        <v>12576</v>
      </c>
      <c r="AS664" t="s">
        <v>74</v>
      </c>
      <c r="AT664" t="s">
        <v>74</v>
      </c>
      <c r="AU664">
        <v>2020</v>
      </c>
      <c r="AV664" t="s">
        <v>74</v>
      </c>
      <c r="AW664" t="s">
        <v>74</v>
      </c>
      <c r="AX664" t="s">
        <v>74</v>
      </c>
      <c r="AY664" t="s">
        <v>74</v>
      </c>
      <c r="AZ664" t="s">
        <v>74</v>
      </c>
      <c r="BA664" t="s">
        <v>74</v>
      </c>
      <c r="BB664">
        <v>301</v>
      </c>
      <c r="BC664">
        <v>313</v>
      </c>
      <c r="BD664" t="s">
        <v>74</v>
      </c>
      <c r="BE664" t="s">
        <v>12796</v>
      </c>
      <c r="BF664" t="str">
        <f>HYPERLINK("http://dx.doi.org/10.1007/978-3-030-21301-5_7","http://dx.doi.org/10.1007/978-3-030-21301-5_7")</f>
        <v>http://dx.doi.org/10.1007/978-3-030-21301-5_7</v>
      </c>
      <c r="BG664" t="s">
        <v>12783</v>
      </c>
      <c r="BH664" t="s">
        <v>74</v>
      </c>
      <c r="BI664">
        <v>13</v>
      </c>
      <c r="BJ664" t="s">
        <v>12784</v>
      </c>
      <c r="BK664" t="s">
        <v>12436</v>
      </c>
      <c r="BL664" t="s">
        <v>12785</v>
      </c>
      <c r="BM664" t="s">
        <v>12786</v>
      </c>
      <c r="BN664" t="s">
        <v>74</v>
      </c>
      <c r="BO664" t="s">
        <v>74</v>
      </c>
      <c r="BP664" t="s">
        <v>74</v>
      </c>
      <c r="BQ664" t="s">
        <v>74</v>
      </c>
      <c r="BR664" t="s">
        <v>106</v>
      </c>
      <c r="BS664" t="s">
        <v>12797</v>
      </c>
      <c r="BT664" t="str">
        <f>HYPERLINK("https%3A%2F%2Fwww.webofscience.com%2Fwos%2Fwoscc%2Ffull-record%2FWOS:000637946500008","View Full Record in Web of Science")</f>
        <v>View Full Record in Web of Science</v>
      </c>
    </row>
    <row r="665" spans="1:72" x14ac:dyDescent="0.15">
      <c r="A665" t="s">
        <v>12416</v>
      </c>
      <c r="B665" t="s">
        <v>12798</v>
      </c>
      <c r="C665" t="s">
        <v>74</v>
      </c>
      <c r="D665" t="s">
        <v>12799</v>
      </c>
      <c r="E665" t="s">
        <v>74</v>
      </c>
      <c r="F665" t="s">
        <v>12800</v>
      </c>
      <c r="G665" t="s">
        <v>74</v>
      </c>
      <c r="H665" t="s">
        <v>74</v>
      </c>
      <c r="I665" t="s">
        <v>12801</v>
      </c>
      <c r="J665" t="s">
        <v>12802</v>
      </c>
      <c r="K665" t="s">
        <v>74</v>
      </c>
      <c r="L665" t="s">
        <v>74</v>
      </c>
      <c r="M665" t="s">
        <v>78</v>
      </c>
      <c r="N665" t="s">
        <v>12422</v>
      </c>
      <c r="O665" t="s">
        <v>74</v>
      </c>
      <c r="P665" t="s">
        <v>74</v>
      </c>
      <c r="Q665" t="s">
        <v>74</v>
      </c>
      <c r="R665" t="s">
        <v>74</v>
      </c>
      <c r="S665" t="s">
        <v>74</v>
      </c>
      <c r="T665" t="s">
        <v>74</v>
      </c>
      <c r="U665" t="s">
        <v>12803</v>
      </c>
      <c r="V665" t="s">
        <v>74</v>
      </c>
      <c r="W665" t="s">
        <v>12804</v>
      </c>
      <c r="X665" t="s">
        <v>12805</v>
      </c>
      <c r="Y665" t="s">
        <v>12806</v>
      </c>
      <c r="Z665" t="s">
        <v>74</v>
      </c>
      <c r="AA665" t="s">
        <v>12807</v>
      </c>
      <c r="AB665" t="s">
        <v>12808</v>
      </c>
      <c r="AC665" t="s">
        <v>12809</v>
      </c>
      <c r="AD665" t="s">
        <v>12810</v>
      </c>
      <c r="AE665" t="s">
        <v>12811</v>
      </c>
      <c r="AF665" t="s">
        <v>74</v>
      </c>
      <c r="AG665">
        <v>31</v>
      </c>
      <c r="AH665">
        <v>1</v>
      </c>
      <c r="AI665">
        <v>1</v>
      </c>
      <c r="AJ665">
        <v>1</v>
      </c>
      <c r="AK665">
        <v>4</v>
      </c>
      <c r="AL665" t="s">
        <v>289</v>
      </c>
      <c r="AM665" t="s">
        <v>290</v>
      </c>
      <c r="AN665" t="s">
        <v>12812</v>
      </c>
      <c r="AO665" t="s">
        <v>74</v>
      </c>
      <c r="AP665" t="s">
        <v>74</v>
      </c>
      <c r="AQ665" t="s">
        <v>12813</v>
      </c>
      <c r="AR665" t="s">
        <v>74</v>
      </c>
      <c r="AS665" t="s">
        <v>74</v>
      </c>
      <c r="AT665" t="s">
        <v>74</v>
      </c>
      <c r="AU665">
        <v>2020</v>
      </c>
      <c r="AV665" t="s">
        <v>74</v>
      </c>
      <c r="AW665" t="s">
        <v>74</v>
      </c>
      <c r="AX665" t="s">
        <v>74</v>
      </c>
      <c r="AY665" t="s">
        <v>74</v>
      </c>
      <c r="AZ665" t="s">
        <v>74</v>
      </c>
      <c r="BA665" t="s">
        <v>74</v>
      </c>
      <c r="BB665">
        <v>257</v>
      </c>
      <c r="BC665">
        <v>277</v>
      </c>
      <c r="BD665" t="s">
        <v>74</v>
      </c>
      <c r="BE665" t="s">
        <v>12814</v>
      </c>
      <c r="BF665" t="str">
        <f>HYPERLINK("http://dx.doi.org/10.1016/B978-0-12-813371-2.00008-1","http://dx.doi.org/10.1016/B978-0-12-813371-2.00008-1")</f>
        <v>http://dx.doi.org/10.1016/B978-0-12-813371-2.00008-1</v>
      </c>
      <c r="BG665" t="s">
        <v>12815</v>
      </c>
      <c r="BH665" t="s">
        <v>74</v>
      </c>
      <c r="BI665">
        <v>21</v>
      </c>
      <c r="BJ665" t="s">
        <v>12816</v>
      </c>
      <c r="BK665" t="s">
        <v>12436</v>
      </c>
      <c r="BL665" t="s">
        <v>12816</v>
      </c>
      <c r="BM665" t="s">
        <v>12817</v>
      </c>
      <c r="BN665" t="s">
        <v>74</v>
      </c>
      <c r="BO665" t="s">
        <v>74</v>
      </c>
      <c r="BP665" t="s">
        <v>74</v>
      </c>
      <c r="BQ665" t="s">
        <v>74</v>
      </c>
      <c r="BR665" t="s">
        <v>106</v>
      </c>
      <c r="BS665" t="s">
        <v>12818</v>
      </c>
      <c r="BT665" t="str">
        <f>HYPERLINK("https%3A%2F%2Fwww.webofscience.com%2Fwos%2Fwoscc%2Ffull-record%2FWOS:000623693200009","View Full Record in Web of Science")</f>
        <v>View Full Record in Web of Science</v>
      </c>
    </row>
    <row r="666" spans="1:72" x14ac:dyDescent="0.15">
      <c r="A666" t="s">
        <v>72</v>
      </c>
      <c r="B666" t="s">
        <v>12819</v>
      </c>
      <c r="C666" t="s">
        <v>74</v>
      </c>
      <c r="D666" t="s">
        <v>74</v>
      </c>
      <c r="E666" t="s">
        <v>74</v>
      </c>
      <c r="F666" t="s">
        <v>12820</v>
      </c>
      <c r="G666" t="s">
        <v>74</v>
      </c>
      <c r="H666" t="s">
        <v>74</v>
      </c>
      <c r="I666" t="s">
        <v>12821</v>
      </c>
      <c r="J666" t="s">
        <v>12822</v>
      </c>
      <c r="K666" t="s">
        <v>74</v>
      </c>
      <c r="L666" t="s">
        <v>74</v>
      </c>
      <c r="M666" t="s">
        <v>78</v>
      </c>
      <c r="N666" t="s">
        <v>79</v>
      </c>
      <c r="O666" t="s">
        <v>74</v>
      </c>
      <c r="P666" t="s">
        <v>74</v>
      </c>
      <c r="Q666" t="s">
        <v>74</v>
      </c>
      <c r="R666" t="s">
        <v>74</v>
      </c>
      <c r="S666" t="s">
        <v>74</v>
      </c>
      <c r="T666" t="s">
        <v>74</v>
      </c>
      <c r="U666" t="s">
        <v>12823</v>
      </c>
      <c r="V666" t="s">
        <v>12824</v>
      </c>
      <c r="W666" t="s">
        <v>12825</v>
      </c>
      <c r="X666" t="s">
        <v>4274</v>
      </c>
      <c r="Y666" t="s">
        <v>12826</v>
      </c>
      <c r="Z666" t="s">
        <v>12827</v>
      </c>
      <c r="AA666" t="s">
        <v>74</v>
      </c>
      <c r="AB666" t="s">
        <v>74</v>
      </c>
      <c r="AC666" t="s">
        <v>12828</v>
      </c>
      <c r="AD666" t="s">
        <v>1736</v>
      </c>
      <c r="AE666" t="s">
        <v>74</v>
      </c>
      <c r="AF666" t="s">
        <v>74</v>
      </c>
      <c r="AG666">
        <v>42</v>
      </c>
      <c r="AH666">
        <v>1</v>
      </c>
      <c r="AI666">
        <v>1</v>
      </c>
      <c r="AJ666">
        <v>1</v>
      </c>
      <c r="AK666">
        <v>4</v>
      </c>
      <c r="AL666" t="s">
        <v>12829</v>
      </c>
      <c r="AM666" t="s">
        <v>12830</v>
      </c>
      <c r="AN666" t="s">
        <v>12831</v>
      </c>
      <c r="AO666" t="s">
        <v>12832</v>
      </c>
      <c r="AP666" t="s">
        <v>12833</v>
      </c>
      <c r="AQ666" t="s">
        <v>74</v>
      </c>
      <c r="AR666" t="s">
        <v>12834</v>
      </c>
      <c r="AS666" t="s">
        <v>12835</v>
      </c>
      <c r="AT666" t="s">
        <v>74</v>
      </c>
      <c r="AU666">
        <v>2020</v>
      </c>
      <c r="AV666" t="s">
        <v>12836</v>
      </c>
      <c r="AW666">
        <v>3</v>
      </c>
      <c r="AX666" t="s">
        <v>74</v>
      </c>
      <c r="AY666" t="s">
        <v>74</v>
      </c>
      <c r="AZ666" t="s">
        <v>74</v>
      </c>
      <c r="BA666" t="s">
        <v>74</v>
      </c>
      <c r="BB666">
        <v>187</v>
      </c>
      <c r="BC666">
        <v>202</v>
      </c>
      <c r="BD666" t="s">
        <v>74</v>
      </c>
      <c r="BE666" t="s">
        <v>12837</v>
      </c>
      <c r="BF666" t="str">
        <f>HYPERLINK("http://dx.doi.org/10.3318/BIOE.2020.17","http://dx.doi.org/10.3318/BIOE.2020.17")</f>
        <v>http://dx.doi.org/10.3318/BIOE.2020.17</v>
      </c>
      <c r="BG666" t="s">
        <v>74</v>
      </c>
      <c r="BH666" t="s">
        <v>74</v>
      </c>
      <c r="BI666">
        <v>16</v>
      </c>
      <c r="BJ666" t="s">
        <v>12838</v>
      </c>
      <c r="BK666" t="s">
        <v>103</v>
      </c>
      <c r="BL666" t="s">
        <v>12839</v>
      </c>
      <c r="BM666" t="s">
        <v>12840</v>
      </c>
      <c r="BN666" t="s">
        <v>74</v>
      </c>
      <c r="BO666" t="s">
        <v>74</v>
      </c>
      <c r="BP666" t="s">
        <v>74</v>
      </c>
      <c r="BQ666" t="s">
        <v>74</v>
      </c>
      <c r="BR666" t="s">
        <v>106</v>
      </c>
      <c r="BS666" t="s">
        <v>12841</v>
      </c>
      <c r="BT666" t="str">
        <f>HYPERLINK("https%3A%2F%2Fwww.webofscience.com%2Fwos%2Fwoscc%2Ffull-record%2FWOS:000665042200001","View Full Record in Web of Science")</f>
        <v>View Full Record in Web of Science</v>
      </c>
    </row>
    <row r="667" spans="1:72" x14ac:dyDescent="0.15">
      <c r="A667" t="s">
        <v>12440</v>
      </c>
      <c r="B667" t="s">
        <v>12842</v>
      </c>
      <c r="C667" t="s">
        <v>74</v>
      </c>
      <c r="D667" t="s">
        <v>74</v>
      </c>
      <c r="E667" t="s">
        <v>12843</v>
      </c>
      <c r="F667" t="s">
        <v>12844</v>
      </c>
      <c r="G667" t="s">
        <v>74</v>
      </c>
      <c r="H667" t="s">
        <v>74</v>
      </c>
      <c r="I667" t="s">
        <v>12845</v>
      </c>
      <c r="J667" t="s">
        <v>12846</v>
      </c>
      <c r="K667" t="s">
        <v>12847</v>
      </c>
      <c r="L667" t="s">
        <v>74</v>
      </c>
      <c r="M667" t="s">
        <v>78</v>
      </c>
      <c r="N667" t="s">
        <v>12447</v>
      </c>
      <c r="O667" t="s">
        <v>12848</v>
      </c>
      <c r="P667" t="s">
        <v>12849</v>
      </c>
      <c r="Q667" t="s">
        <v>12850</v>
      </c>
      <c r="R667" t="s">
        <v>74</v>
      </c>
      <c r="S667" t="s">
        <v>12851</v>
      </c>
      <c r="T667" t="s">
        <v>74</v>
      </c>
      <c r="U667" t="s">
        <v>12852</v>
      </c>
      <c r="V667" t="s">
        <v>12853</v>
      </c>
      <c r="W667" t="s">
        <v>12854</v>
      </c>
      <c r="X667" t="s">
        <v>3637</v>
      </c>
      <c r="Y667" t="s">
        <v>12855</v>
      </c>
      <c r="Z667" t="s">
        <v>12856</v>
      </c>
      <c r="AA667" t="s">
        <v>74</v>
      </c>
      <c r="AB667" t="s">
        <v>12857</v>
      </c>
      <c r="AC667" t="s">
        <v>12858</v>
      </c>
      <c r="AD667" t="s">
        <v>8395</v>
      </c>
      <c r="AE667" t="s">
        <v>12859</v>
      </c>
      <c r="AF667" t="s">
        <v>74</v>
      </c>
      <c r="AG667">
        <v>18</v>
      </c>
      <c r="AH667">
        <v>5</v>
      </c>
      <c r="AI667">
        <v>5</v>
      </c>
      <c r="AJ667">
        <v>2</v>
      </c>
      <c r="AK667">
        <v>12</v>
      </c>
      <c r="AL667" t="s">
        <v>92</v>
      </c>
      <c r="AM667" t="s">
        <v>93</v>
      </c>
      <c r="AN667" t="s">
        <v>12860</v>
      </c>
      <c r="AO667" t="s">
        <v>12861</v>
      </c>
      <c r="AP667" t="s">
        <v>74</v>
      </c>
      <c r="AQ667" t="s">
        <v>74</v>
      </c>
      <c r="AR667" t="s">
        <v>12862</v>
      </c>
      <c r="AS667" t="s">
        <v>12863</v>
      </c>
      <c r="AT667" t="s">
        <v>74</v>
      </c>
      <c r="AU667">
        <v>2020</v>
      </c>
      <c r="AV667">
        <v>606</v>
      </c>
      <c r="AW667" t="s">
        <v>74</v>
      </c>
      <c r="AX667" t="s">
        <v>74</v>
      </c>
      <c r="AY667" t="s">
        <v>74</v>
      </c>
      <c r="AZ667" t="s">
        <v>74</v>
      </c>
      <c r="BA667" t="s">
        <v>74</v>
      </c>
      <c r="BB667" t="s">
        <v>74</v>
      </c>
      <c r="BC667" t="s">
        <v>74</v>
      </c>
      <c r="BD667">
        <v>12002</v>
      </c>
      <c r="BE667" t="s">
        <v>12864</v>
      </c>
      <c r="BF667" t="str">
        <f>HYPERLINK("http://dx.doi.org/10.1088/1755-1315/606/1/012002","http://dx.doi.org/10.1088/1755-1315/606/1/012002")</f>
        <v>http://dx.doi.org/10.1088/1755-1315/606/1/012002</v>
      </c>
      <c r="BG667" t="s">
        <v>74</v>
      </c>
      <c r="BH667" t="s">
        <v>74</v>
      </c>
      <c r="BI667">
        <v>10</v>
      </c>
      <c r="BJ667" t="s">
        <v>984</v>
      </c>
      <c r="BK667" t="s">
        <v>12464</v>
      </c>
      <c r="BL667" t="s">
        <v>985</v>
      </c>
      <c r="BM667" t="s">
        <v>12865</v>
      </c>
      <c r="BN667" t="s">
        <v>74</v>
      </c>
      <c r="BO667" t="s">
        <v>2592</v>
      </c>
      <c r="BP667" t="s">
        <v>74</v>
      </c>
      <c r="BQ667" t="s">
        <v>74</v>
      </c>
      <c r="BR667" t="s">
        <v>106</v>
      </c>
      <c r="BS667" t="s">
        <v>12866</v>
      </c>
      <c r="BT667" t="str">
        <f>HYPERLINK("https%3A%2F%2Fwww.webofscience.com%2Fwos%2Fwoscc%2Ffull-record%2FWOS:000657330400003","View Full Record in Web of Science")</f>
        <v>View Full Record in Web of Science</v>
      </c>
    </row>
    <row r="668" spans="1:72" x14ac:dyDescent="0.15">
      <c r="A668" t="s">
        <v>12440</v>
      </c>
      <c r="B668" t="s">
        <v>12867</v>
      </c>
      <c r="C668" t="s">
        <v>74</v>
      </c>
      <c r="D668" t="s">
        <v>74</v>
      </c>
      <c r="E668" t="s">
        <v>12843</v>
      </c>
      <c r="F668" t="s">
        <v>12868</v>
      </c>
      <c r="G668" t="s">
        <v>74</v>
      </c>
      <c r="H668" t="s">
        <v>74</v>
      </c>
      <c r="I668" t="s">
        <v>12869</v>
      </c>
      <c r="J668" t="s">
        <v>12846</v>
      </c>
      <c r="K668" t="s">
        <v>12847</v>
      </c>
      <c r="L668" t="s">
        <v>74</v>
      </c>
      <c r="M668" t="s">
        <v>78</v>
      </c>
      <c r="N668" t="s">
        <v>12447</v>
      </c>
      <c r="O668" t="s">
        <v>12848</v>
      </c>
      <c r="P668" t="s">
        <v>12849</v>
      </c>
      <c r="Q668" t="s">
        <v>12850</v>
      </c>
      <c r="R668" t="s">
        <v>74</v>
      </c>
      <c r="S668" t="s">
        <v>12851</v>
      </c>
      <c r="T668" t="s">
        <v>74</v>
      </c>
      <c r="U668" t="s">
        <v>74</v>
      </c>
      <c r="V668" t="s">
        <v>12870</v>
      </c>
      <c r="W668" t="s">
        <v>12871</v>
      </c>
      <c r="X668" t="s">
        <v>12872</v>
      </c>
      <c r="Y668" t="s">
        <v>12873</v>
      </c>
      <c r="Z668" t="s">
        <v>12874</v>
      </c>
      <c r="AA668" t="s">
        <v>12875</v>
      </c>
      <c r="AB668" t="s">
        <v>12876</v>
      </c>
      <c r="AC668" t="s">
        <v>12877</v>
      </c>
      <c r="AD668" t="s">
        <v>12878</v>
      </c>
      <c r="AE668" t="s">
        <v>12879</v>
      </c>
      <c r="AF668" t="s">
        <v>74</v>
      </c>
      <c r="AG668">
        <v>4</v>
      </c>
      <c r="AH668">
        <v>2</v>
      </c>
      <c r="AI668">
        <v>2</v>
      </c>
      <c r="AJ668">
        <v>0</v>
      </c>
      <c r="AK668">
        <v>0</v>
      </c>
      <c r="AL668" t="s">
        <v>92</v>
      </c>
      <c r="AM668" t="s">
        <v>93</v>
      </c>
      <c r="AN668" t="s">
        <v>12860</v>
      </c>
      <c r="AO668" t="s">
        <v>12861</v>
      </c>
      <c r="AP668" t="s">
        <v>74</v>
      </c>
      <c r="AQ668" t="s">
        <v>74</v>
      </c>
      <c r="AR668" t="s">
        <v>12862</v>
      </c>
      <c r="AS668" t="s">
        <v>12863</v>
      </c>
      <c r="AT668" t="s">
        <v>74</v>
      </c>
      <c r="AU668">
        <v>2020</v>
      </c>
      <c r="AV668">
        <v>606</v>
      </c>
      <c r="AW668" t="s">
        <v>74</v>
      </c>
      <c r="AX668" t="s">
        <v>74</v>
      </c>
      <c r="AY668" t="s">
        <v>74</v>
      </c>
      <c r="AZ668" t="s">
        <v>74</v>
      </c>
      <c r="BA668" t="s">
        <v>74</v>
      </c>
      <c r="BB668" t="s">
        <v>74</v>
      </c>
      <c r="BC668" t="s">
        <v>74</v>
      </c>
      <c r="BD668">
        <v>12021</v>
      </c>
      <c r="BE668" t="s">
        <v>12880</v>
      </c>
      <c r="BF668" t="str">
        <f>HYPERLINK("http://dx.doi.org/10.1088/1755-1315/606/1/012021","http://dx.doi.org/10.1088/1755-1315/606/1/012021")</f>
        <v>http://dx.doi.org/10.1088/1755-1315/606/1/012021</v>
      </c>
      <c r="BG668" t="s">
        <v>74</v>
      </c>
      <c r="BH668" t="s">
        <v>74</v>
      </c>
      <c r="BI668">
        <v>5</v>
      </c>
      <c r="BJ668" t="s">
        <v>984</v>
      </c>
      <c r="BK668" t="s">
        <v>12464</v>
      </c>
      <c r="BL668" t="s">
        <v>985</v>
      </c>
      <c r="BM668" t="s">
        <v>12865</v>
      </c>
      <c r="BN668" t="s">
        <v>74</v>
      </c>
      <c r="BO668" t="s">
        <v>2592</v>
      </c>
      <c r="BP668" t="s">
        <v>74</v>
      </c>
      <c r="BQ668" t="s">
        <v>74</v>
      </c>
      <c r="BR668" t="s">
        <v>106</v>
      </c>
      <c r="BS668" t="s">
        <v>12881</v>
      </c>
      <c r="BT668" t="str">
        <f>HYPERLINK("https%3A%2F%2Fwww.webofscience.com%2Fwos%2Fwoscc%2Ffull-record%2FWOS:000657330400022","View Full Record in Web of Science")</f>
        <v>View Full Record in Web of Science</v>
      </c>
    </row>
    <row r="669" spans="1:72" x14ac:dyDescent="0.15">
      <c r="A669" t="s">
        <v>12440</v>
      </c>
      <c r="B669" t="s">
        <v>12882</v>
      </c>
      <c r="C669" t="s">
        <v>74</v>
      </c>
      <c r="D669" t="s">
        <v>74</v>
      </c>
      <c r="E669" t="s">
        <v>12843</v>
      </c>
      <c r="F669" t="s">
        <v>12883</v>
      </c>
      <c r="G669" t="s">
        <v>74</v>
      </c>
      <c r="H669" t="s">
        <v>74</v>
      </c>
      <c r="I669" t="s">
        <v>12884</v>
      </c>
      <c r="J669" t="s">
        <v>12846</v>
      </c>
      <c r="K669" t="s">
        <v>12847</v>
      </c>
      <c r="L669" t="s">
        <v>74</v>
      </c>
      <c r="M669" t="s">
        <v>78</v>
      </c>
      <c r="N669" t="s">
        <v>12447</v>
      </c>
      <c r="O669" t="s">
        <v>12848</v>
      </c>
      <c r="P669" t="s">
        <v>12849</v>
      </c>
      <c r="Q669" t="s">
        <v>12850</v>
      </c>
      <c r="R669" t="s">
        <v>74</v>
      </c>
      <c r="S669" t="s">
        <v>12851</v>
      </c>
      <c r="T669" t="s">
        <v>74</v>
      </c>
      <c r="U669" t="s">
        <v>74</v>
      </c>
      <c r="V669" t="s">
        <v>12885</v>
      </c>
      <c r="W669" t="s">
        <v>12886</v>
      </c>
      <c r="X669" t="s">
        <v>12887</v>
      </c>
      <c r="Y669" t="s">
        <v>12888</v>
      </c>
      <c r="Z669" t="s">
        <v>12889</v>
      </c>
      <c r="AA669" t="s">
        <v>12890</v>
      </c>
      <c r="AB669" t="s">
        <v>12891</v>
      </c>
      <c r="AC669" t="s">
        <v>74</v>
      </c>
      <c r="AD669" t="s">
        <v>74</v>
      </c>
      <c r="AE669" t="s">
        <v>74</v>
      </c>
      <c r="AF669" t="s">
        <v>74</v>
      </c>
      <c r="AG669">
        <v>7</v>
      </c>
      <c r="AH669">
        <v>0</v>
      </c>
      <c r="AI669">
        <v>0</v>
      </c>
      <c r="AJ669">
        <v>1</v>
      </c>
      <c r="AK669">
        <v>12</v>
      </c>
      <c r="AL669" t="s">
        <v>92</v>
      </c>
      <c r="AM669" t="s">
        <v>93</v>
      </c>
      <c r="AN669" t="s">
        <v>12860</v>
      </c>
      <c r="AO669" t="s">
        <v>12861</v>
      </c>
      <c r="AP669" t="s">
        <v>74</v>
      </c>
      <c r="AQ669" t="s">
        <v>74</v>
      </c>
      <c r="AR669" t="s">
        <v>12862</v>
      </c>
      <c r="AS669" t="s">
        <v>12863</v>
      </c>
      <c r="AT669" t="s">
        <v>74</v>
      </c>
      <c r="AU669">
        <v>2020</v>
      </c>
      <c r="AV669">
        <v>606</v>
      </c>
      <c r="AW669" t="s">
        <v>74</v>
      </c>
      <c r="AX669" t="s">
        <v>74</v>
      </c>
      <c r="AY669" t="s">
        <v>74</v>
      </c>
      <c r="AZ669" t="s">
        <v>74</v>
      </c>
      <c r="BA669" t="s">
        <v>74</v>
      </c>
      <c r="BB669" t="s">
        <v>74</v>
      </c>
      <c r="BC669" t="s">
        <v>74</v>
      </c>
      <c r="BD669">
        <v>12024</v>
      </c>
      <c r="BE669" t="s">
        <v>12892</v>
      </c>
      <c r="BF669" t="str">
        <f>HYPERLINK("http://dx.doi.org/10.1088/1755-1315/606/1/012024","http://dx.doi.org/10.1088/1755-1315/606/1/012024")</f>
        <v>http://dx.doi.org/10.1088/1755-1315/606/1/012024</v>
      </c>
      <c r="BG669" t="s">
        <v>74</v>
      </c>
      <c r="BH669" t="s">
        <v>74</v>
      </c>
      <c r="BI669">
        <v>6</v>
      </c>
      <c r="BJ669" t="s">
        <v>984</v>
      </c>
      <c r="BK669" t="s">
        <v>12464</v>
      </c>
      <c r="BL669" t="s">
        <v>985</v>
      </c>
      <c r="BM669" t="s">
        <v>12865</v>
      </c>
      <c r="BN669" t="s">
        <v>74</v>
      </c>
      <c r="BO669" t="s">
        <v>2592</v>
      </c>
      <c r="BP669" t="s">
        <v>74</v>
      </c>
      <c r="BQ669" t="s">
        <v>74</v>
      </c>
      <c r="BR669" t="s">
        <v>106</v>
      </c>
      <c r="BS669" t="s">
        <v>12893</v>
      </c>
      <c r="BT669" t="str">
        <f>HYPERLINK("https%3A%2F%2Fwww.webofscience.com%2Fwos%2Fwoscc%2Ffull-record%2FWOS:000657330400025","View Full Record in Web of Science")</f>
        <v>View Full Record in Web of Science</v>
      </c>
    </row>
    <row r="670" spans="1:72" x14ac:dyDescent="0.15">
      <c r="A670" t="s">
        <v>12440</v>
      </c>
      <c r="B670" t="s">
        <v>12894</v>
      </c>
      <c r="C670" t="s">
        <v>74</v>
      </c>
      <c r="D670" t="s">
        <v>74</v>
      </c>
      <c r="E670" t="s">
        <v>12843</v>
      </c>
      <c r="F670" t="s">
        <v>12895</v>
      </c>
      <c r="G670" t="s">
        <v>74</v>
      </c>
      <c r="H670" t="s">
        <v>74</v>
      </c>
      <c r="I670" t="s">
        <v>12896</v>
      </c>
      <c r="J670" t="s">
        <v>12846</v>
      </c>
      <c r="K670" t="s">
        <v>12847</v>
      </c>
      <c r="L670" t="s">
        <v>74</v>
      </c>
      <c r="M670" t="s">
        <v>78</v>
      </c>
      <c r="N670" t="s">
        <v>12447</v>
      </c>
      <c r="O670" t="s">
        <v>12848</v>
      </c>
      <c r="P670" t="s">
        <v>12849</v>
      </c>
      <c r="Q670" t="s">
        <v>12850</v>
      </c>
      <c r="R670" t="s">
        <v>74</v>
      </c>
      <c r="S670" t="s">
        <v>12851</v>
      </c>
      <c r="T670" t="s">
        <v>74</v>
      </c>
      <c r="U670" t="s">
        <v>12897</v>
      </c>
      <c r="V670" t="s">
        <v>12898</v>
      </c>
      <c r="W670" t="s">
        <v>12899</v>
      </c>
      <c r="X670" t="s">
        <v>3637</v>
      </c>
      <c r="Y670" t="s">
        <v>12900</v>
      </c>
      <c r="Z670" t="s">
        <v>12901</v>
      </c>
      <c r="AA670" t="s">
        <v>74</v>
      </c>
      <c r="AB670" t="s">
        <v>12902</v>
      </c>
      <c r="AC670" t="s">
        <v>12903</v>
      </c>
      <c r="AD670" t="s">
        <v>12878</v>
      </c>
      <c r="AE670" t="s">
        <v>12904</v>
      </c>
      <c r="AF670" t="s">
        <v>74</v>
      </c>
      <c r="AG670">
        <v>5</v>
      </c>
      <c r="AH670">
        <v>1</v>
      </c>
      <c r="AI670">
        <v>1</v>
      </c>
      <c r="AJ670">
        <v>0</v>
      </c>
      <c r="AK670">
        <v>1</v>
      </c>
      <c r="AL670" t="s">
        <v>92</v>
      </c>
      <c r="AM670" t="s">
        <v>93</v>
      </c>
      <c r="AN670" t="s">
        <v>12860</v>
      </c>
      <c r="AO670" t="s">
        <v>12861</v>
      </c>
      <c r="AP670" t="s">
        <v>74</v>
      </c>
      <c r="AQ670" t="s">
        <v>74</v>
      </c>
      <c r="AR670" t="s">
        <v>12862</v>
      </c>
      <c r="AS670" t="s">
        <v>12863</v>
      </c>
      <c r="AT670" t="s">
        <v>74</v>
      </c>
      <c r="AU670">
        <v>2020</v>
      </c>
      <c r="AV670">
        <v>606</v>
      </c>
      <c r="AW670" t="s">
        <v>74</v>
      </c>
      <c r="AX670" t="s">
        <v>74</v>
      </c>
      <c r="AY670" t="s">
        <v>74</v>
      </c>
      <c r="AZ670" t="s">
        <v>74</v>
      </c>
      <c r="BA670" t="s">
        <v>74</v>
      </c>
      <c r="BB670" t="s">
        <v>74</v>
      </c>
      <c r="BC670" t="s">
        <v>74</v>
      </c>
      <c r="BD670">
        <v>12032</v>
      </c>
      <c r="BE670" t="s">
        <v>12905</v>
      </c>
      <c r="BF670" t="str">
        <f>HYPERLINK("http://dx.doi.org/10.1088/1755-1315/606/1/012032","http://dx.doi.org/10.1088/1755-1315/606/1/012032")</f>
        <v>http://dx.doi.org/10.1088/1755-1315/606/1/012032</v>
      </c>
      <c r="BG670" t="s">
        <v>74</v>
      </c>
      <c r="BH670" t="s">
        <v>74</v>
      </c>
      <c r="BI670">
        <v>6</v>
      </c>
      <c r="BJ670" t="s">
        <v>984</v>
      </c>
      <c r="BK670" t="s">
        <v>12464</v>
      </c>
      <c r="BL670" t="s">
        <v>985</v>
      </c>
      <c r="BM670" t="s">
        <v>12865</v>
      </c>
      <c r="BN670" t="s">
        <v>74</v>
      </c>
      <c r="BO670" t="s">
        <v>4285</v>
      </c>
      <c r="BP670" t="s">
        <v>74</v>
      </c>
      <c r="BQ670" t="s">
        <v>74</v>
      </c>
      <c r="BR670" t="s">
        <v>106</v>
      </c>
      <c r="BS670" t="s">
        <v>12906</v>
      </c>
      <c r="BT670" t="str">
        <f>HYPERLINK("https%3A%2F%2Fwww.webofscience.com%2Fwos%2Fwoscc%2Ffull-record%2FWOS:000657330400033","View Full Record in Web of Science")</f>
        <v>View Full Record in Web of Science</v>
      </c>
    </row>
    <row r="671" spans="1:72" x14ac:dyDescent="0.15">
      <c r="A671" t="s">
        <v>12440</v>
      </c>
      <c r="B671" t="s">
        <v>12907</v>
      </c>
      <c r="C671" t="s">
        <v>74</v>
      </c>
      <c r="D671" t="s">
        <v>74</v>
      </c>
      <c r="E671" t="s">
        <v>12843</v>
      </c>
      <c r="F671" t="s">
        <v>12908</v>
      </c>
      <c r="G671" t="s">
        <v>74</v>
      </c>
      <c r="H671" t="s">
        <v>74</v>
      </c>
      <c r="I671" t="s">
        <v>12909</v>
      </c>
      <c r="J671" t="s">
        <v>12846</v>
      </c>
      <c r="K671" t="s">
        <v>12847</v>
      </c>
      <c r="L671" t="s">
        <v>74</v>
      </c>
      <c r="M671" t="s">
        <v>78</v>
      </c>
      <c r="N671" t="s">
        <v>12447</v>
      </c>
      <c r="O671" t="s">
        <v>12848</v>
      </c>
      <c r="P671" t="s">
        <v>12849</v>
      </c>
      <c r="Q671" t="s">
        <v>12850</v>
      </c>
      <c r="R671" t="s">
        <v>74</v>
      </c>
      <c r="S671" t="s">
        <v>12851</v>
      </c>
      <c r="T671" t="s">
        <v>74</v>
      </c>
      <c r="U671" t="s">
        <v>12910</v>
      </c>
      <c r="V671" t="s">
        <v>12911</v>
      </c>
      <c r="W671" t="s">
        <v>12912</v>
      </c>
      <c r="X671" t="s">
        <v>8487</v>
      </c>
      <c r="Y671" t="s">
        <v>12913</v>
      </c>
      <c r="Z671" t="s">
        <v>12914</v>
      </c>
      <c r="AA671" t="s">
        <v>74</v>
      </c>
      <c r="AB671" t="s">
        <v>74</v>
      </c>
      <c r="AC671" t="s">
        <v>12915</v>
      </c>
      <c r="AD671" t="s">
        <v>12916</v>
      </c>
      <c r="AE671" t="s">
        <v>12917</v>
      </c>
      <c r="AF671" t="s">
        <v>74</v>
      </c>
      <c r="AG671">
        <v>42</v>
      </c>
      <c r="AH671">
        <v>0</v>
      </c>
      <c r="AI671">
        <v>0</v>
      </c>
      <c r="AJ671">
        <v>6</v>
      </c>
      <c r="AK671">
        <v>17</v>
      </c>
      <c r="AL671" t="s">
        <v>92</v>
      </c>
      <c r="AM671" t="s">
        <v>93</v>
      </c>
      <c r="AN671" t="s">
        <v>12860</v>
      </c>
      <c r="AO671" t="s">
        <v>12861</v>
      </c>
      <c r="AP671" t="s">
        <v>74</v>
      </c>
      <c r="AQ671" t="s">
        <v>74</v>
      </c>
      <c r="AR671" t="s">
        <v>12862</v>
      </c>
      <c r="AS671" t="s">
        <v>12863</v>
      </c>
      <c r="AT671" t="s">
        <v>74</v>
      </c>
      <c r="AU671">
        <v>2020</v>
      </c>
      <c r="AV671">
        <v>606</v>
      </c>
      <c r="AW671" t="s">
        <v>74</v>
      </c>
      <c r="AX671" t="s">
        <v>74</v>
      </c>
      <c r="AY671" t="s">
        <v>74</v>
      </c>
      <c r="AZ671" t="s">
        <v>74</v>
      </c>
      <c r="BA671" t="s">
        <v>74</v>
      </c>
      <c r="BB671" t="s">
        <v>74</v>
      </c>
      <c r="BC671" t="s">
        <v>74</v>
      </c>
      <c r="BD671">
        <v>12037</v>
      </c>
      <c r="BE671" t="s">
        <v>12918</v>
      </c>
      <c r="BF671" t="str">
        <f>HYPERLINK("http://dx.doi.org/10.1088/1755-1315/606/1/012037","http://dx.doi.org/10.1088/1755-1315/606/1/012037")</f>
        <v>http://dx.doi.org/10.1088/1755-1315/606/1/012037</v>
      </c>
      <c r="BG671" t="s">
        <v>74</v>
      </c>
      <c r="BH671" t="s">
        <v>74</v>
      </c>
      <c r="BI671">
        <v>10</v>
      </c>
      <c r="BJ671" t="s">
        <v>984</v>
      </c>
      <c r="BK671" t="s">
        <v>12464</v>
      </c>
      <c r="BL671" t="s">
        <v>985</v>
      </c>
      <c r="BM671" t="s">
        <v>12865</v>
      </c>
      <c r="BN671" t="s">
        <v>74</v>
      </c>
      <c r="BO671" t="s">
        <v>2592</v>
      </c>
      <c r="BP671" t="s">
        <v>74</v>
      </c>
      <c r="BQ671" t="s">
        <v>74</v>
      </c>
      <c r="BR671" t="s">
        <v>106</v>
      </c>
      <c r="BS671" t="s">
        <v>12919</v>
      </c>
      <c r="BT671" t="str">
        <f>HYPERLINK("https%3A%2F%2Fwww.webofscience.com%2Fwos%2Fwoscc%2Ffull-record%2FWOS:000657330400038","View Full Record in Web of Science")</f>
        <v>View Full Record in Web of Science</v>
      </c>
    </row>
    <row r="672" spans="1:72" x14ac:dyDescent="0.15">
      <c r="A672" t="s">
        <v>12440</v>
      </c>
      <c r="B672" t="s">
        <v>12920</v>
      </c>
      <c r="C672" t="s">
        <v>74</v>
      </c>
      <c r="D672" t="s">
        <v>74</v>
      </c>
      <c r="E672" t="s">
        <v>12843</v>
      </c>
      <c r="F672" t="s">
        <v>12921</v>
      </c>
      <c r="G672" t="s">
        <v>74</v>
      </c>
      <c r="H672" t="s">
        <v>74</v>
      </c>
      <c r="I672" t="s">
        <v>12922</v>
      </c>
      <c r="J672" t="s">
        <v>12846</v>
      </c>
      <c r="K672" t="s">
        <v>12847</v>
      </c>
      <c r="L672" t="s">
        <v>74</v>
      </c>
      <c r="M672" t="s">
        <v>78</v>
      </c>
      <c r="N672" t="s">
        <v>12447</v>
      </c>
      <c r="O672" t="s">
        <v>12848</v>
      </c>
      <c r="P672" t="s">
        <v>12849</v>
      </c>
      <c r="Q672" t="s">
        <v>12850</v>
      </c>
      <c r="R672" t="s">
        <v>74</v>
      </c>
      <c r="S672" t="s">
        <v>12851</v>
      </c>
      <c r="T672" t="s">
        <v>74</v>
      </c>
      <c r="U672" t="s">
        <v>74</v>
      </c>
      <c r="V672" t="s">
        <v>12923</v>
      </c>
      <c r="W672" t="s">
        <v>12924</v>
      </c>
      <c r="X672" t="s">
        <v>12925</v>
      </c>
      <c r="Y672" t="s">
        <v>12926</v>
      </c>
      <c r="Z672" t="s">
        <v>12927</v>
      </c>
      <c r="AA672" t="s">
        <v>74</v>
      </c>
      <c r="AB672" t="s">
        <v>12876</v>
      </c>
      <c r="AC672" t="s">
        <v>12928</v>
      </c>
      <c r="AD672" t="s">
        <v>12929</v>
      </c>
      <c r="AE672" t="s">
        <v>12930</v>
      </c>
      <c r="AF672" t="s">
        <v>74</v>
      </c>
      <c r="AG672">
        <v>23</v>
      </c>
      <c r="AH672">
        <v>1</v>
      </c>
      <c r="AI672">
        <v>1</v>
      </c>
      <c r="AJ672">
        <v>0</v>
      </c>
      <c r="AK672">
        <v>3</v>
      </c>
      <c r="AL672" t="s">
        <v>92</v>
      </c>
      <c r="AM672" t="s">
        <v>93</v>
      </c>
      <c r="AN672" t="s">
        <v>12860</v>
      </c>
      <c r="AO672" t="s">
        <v>12861</v>
      </c>
      <c r="AP672" t="s">
        <v>74</v>
      </c>
      <c r="AQ672" t="s">
        <v>74</v>
      </c>
      <c r="AR672" t="s">
        <v>12862</v>
      </c>
      <c r="AS672" t="s">
        <v>12863</v>
      </c>
      <c r="AT672" t="s">
        <v>74</v>
      </c>
      <c r="AU672">
        <v>2020</v>
      </c>
      <c r="AV672">
        <v>606</v>
      </c>
      <c r="AW672" t="s">
        <v>74</v>
      </c>
      <c r="AX672" t="s">
        <v>74</v>
      </c>
      <c r="AY672" t="s">
        <v>74</v>
      </c>
      <c r="AZ672" t="s">
        <v>74</v>
      </c>
      <c r="BA672" t="s">
        <v>74</v>
      </c>
      <c r="BB672" t="s">
        <v>74</v>
      </c>
      <c r="BC672" t="s">
        <v>74</v>
      </c>
      <c r="BD672">
        <v>12047</v>
      </c>
      <c r="BE672" t="s">
        <v>12931</v>
      </c>
      <c r="BF672" t="str">
        <f>HYPERLINK("http://dx.doi.org/10.1088/1755-1315/606/1/012047","http://dx.doi.org/10.1088/1755-1315/606/1/012047")</f>
        <v>http://dx.doi.org/10.1088/1755-1315/606/1/012047</v>
      </c>
      <c r="BG672" t="s">
        <v>74</v>
      </c>
      <c r="BH672" t="s">
        <v>74</v>
      </c>
      <c r="BI672">
        <v>6</v>
      </c>
      <c r="BJ672" t="s">
        <v>984</v>
      </c>
      <c r="BK672" t="s">
        <v>12464</v>
      </c>
      <c r="BL672" t="s">
        <v>985</v>
      </c>
      <c r="BM672" t="s">
        <v>12865</v>
      </c>
      <c r="BN672" t="s">
        <v>74</v>
      </c>
      <c r="BO672" t="s">
        <v>2592</v>
      </c>
      <c r="BP672" t="s">
        <v>74</v>
      </c>
      <c r="BQ672" t="s">
        <v>74</v>
      </c>
      <c r="BR672" t="s">
        <v>106</v>
      </c>
      <c r="BS672" t="s">
        <v>12932</v>
      </c>
      <c r="BT672" t="str">
        <f>HYPERLINK("https%3A%2F%2Fwww.webofscience.com%2Fwos%2Fwoscc%2Ffull-record%2FWOS:000657330400048","View Full Record in Web of Science")</f>
        <v>View Full Record in Web of Science</v>
      </c>
    </row>
    <row r="673" spans="1:72" x14ac:dyDescent="0.15">
      <c r="A673" t="s">
        <v>12440</v>
      </c>
      <c r="B673" t="s">
        <v>12933</v>
      </c>
      <c r="C673" t="s">
        <v>74</v>
      </c>
      <c r="D673" t="s">
        <v>74</v>
      </c>
      <c r="E673" t="s">
        <v>12843</v>
      </c>
      <c r="F673" t="s">
        <v>12934</v>
      </c>
      <c r="G673" t="s">
        <v>74</v>
      </c>
      <c r="H673" t="s">
        <v>74</v>
      </c>
      <c r="I673" t="s">
        <v>12935</v>
      </c>
      <c r="J673" t="s">
        <v>12846</v>
      </c>
      <c r="K673" t="s">
        <v>12847</v>
      </c>
      <c r="L673" t="s">
        <v>74</v>
      </c>
      <c r="M673" t="s">
        <v>78</v>
      </c>
      <c r="N673" t="s">
        <v>12447</v>
      </c>
      <c r="O673" t="s">
        <v>12848</v>
      </c>
      <c r="P673" t="s">
        <v>12849</v>
      </c>
      <c r="Q673" t="s">
        <v>12850</v>
      </c>
      <c r="R673" t="s">
        <v>74</v>
      </c>
      <c r="S673" t="s">
        <v>12851</v>
      </c>
      <c r="T673" t="s">
        <v>74</v>
      </c>
      <c r="U673" t="s">
        <v>12936</v>
      </c>
      <c r="V673" t="s">
        <v>12937</v>
      </c>
      <c r="W673" t="s">
        <v>12938</v>
      </c>
      <c r="X673" t="s">
        <v>74</v>
      </c>
      <c r="Y673" t="s">
        <v>12939</v>
      </c>
      <c r="Z673" t="s">
        <v>12940</v>
      </c>
      <c r="AA673" t="s">
        <v>74</v>
      </c>
      <c r="AB673" t="s">
        <v>74</v>
      </c>
      <c r="AC673" t="s">
        <v>12941</v>
      </c>
      <c r="AD673" t="s">
        <v>8395</v>
      </c>
      <c r="AE673" t="s">
        <v>12942</v>
      </c>
      <c r="AF673" t="s">
        <v>74</v>
      </c>
      <c r="AG673">
        <v>13</v>
      </c>
      <c r="AH673">
        <v>0</v>
      </c>
      <c r="AI673">
        <v>0</v>
      </c>
      <c r="AJ673">
        <v>1</v>
      </c>
      <c r="AK673">
        <v>2</v>
      </c>
      <c r="AL673" t="s">
        <v>92</v>
      </c>
      <c r="AM673" t="s">
        <v>93</v>
      </c>
      <c r="AN673" t="s">
        <v>12860</v>
      </c>
      <c r="AO673" t="s">
        <v>12861</v>
      </c>
      <c r="AP673" t="s">
        <v>74</v>
      </c>
      <c r="AQ673" t="s">
        <v>74</v>
      </c>
      <c r="AR673" t="s">
        <v>12862</v>
      </c>
      <c r="AS673" t="s">
        <v>12863</v>
      </c>
      <c r="AT673" t="s">
        <v>74</v>
      </c>
      <c r="AU673">
        <v>2020</v>
      </c>
      <c r="AV673">
        <v>606</v>
      </c>
      <c r="AW673" t="s">
        <v>74</v>
      </c>
      <c r="AX673" t="s">
        <v>74</v>
      </c>
      <c r="AY673" t="s">
        <v>74</v>
      </c>
      <c r="AZ673" t="s">
        <v>74</v>
      </c>
      <c r="BA673" t="s">
        <v>74</v>
      </c>
      <c r="BB673" t="s">
        <v>74</v>
      </c>
      <c r="BC673" t="s">
        <v>74</v>
      </c>
      <c r="BD673">
        <v>12057</v>
      </c>
      <c r="BE673" t="s">
        <v>12943</v>
      </c>
      <c r="BF673" t="str">
        <f>HYPERLINK("http://dx.doi.org/10.1088/1755-1315/606/1/012057","http://dx.doi.org/10.1088/1755-1315/606/1/012057")</f>
        <v>http://dx.doi.org/10.1088/1755-1315/606/1/012057</v>
      </c>
      <c r="BG673" t="s">
        <v>74</v>
      </c>
      <c r="BH673" t="s">
        <v>74</v>
      </c>
      <c r="BI673">
        <v>8</v>
      </c>
      <c r="BJ673" t="s">
        <v>984</v>
      </c>
      <c r="BK673" t="s">
        <v>12464</v>
      </c>
      <c r="BL673" t="s">
        <v>985</v>
      </c>
      <c r="BM673" t="s">
        <v>12865</v>
      </c>
      <c r="BN673" t="s">
        <v>74</v>
      </c>
      <c r="BO673" t="s">
        <v>2592</v>
      </c>
      <c r="BP673" t="s">
        <v>74</v>
      </c>
      <c r="BQ673" t="s">
        <v>74</v>
      </c>
      <c r="BR673" t="s">
        <v>106</v>
      </c>
      <c r="BS673" t="s">
        <v>12944</v>
      </c>
      <c r="BT673" t="str">
        <f>HYPERLINK("https%3A%2F%2Fwww.webofscience.com%2Fwos%2Fwoscc%2Ffull-record%2FWOS:000657330400058","View Full Record in Web of Science")</f>
        <v>View Full Record in Web of Science</v>
      </c>
    </row>
    <row r="674" spans="1:72" x14ac:dyDescent="0.15">
      <c r="A674" t="s">
        <v>12440</v>
      </c>
      <c r="B674" t="s">
        <v>12945</v>
      </c>
      <c r="C674" t="s">
        <v>74</v>
      </c>
      <c r="D674" t="s">
        <v>74</v>
      </c>
      <c r="E674" t="s">
        <v>12843</v>
      </c>
      <c r="F674" t="s">
        <v>12946</v>
      </c>
      <c r="G674" t="s">
        <v>74</v>
      </c>
      <c r="H674" t="s">
        <v>74</v>
      </c>
      <c r="I674" t="s">
        <v>12947</v>
      </c>
      <c r="J674" t="s">
        <v>12846</v>
      </c>
      <c r="K674" t="s">
        <v>12847</v>
      </c>
      <c r="L674" t="s">
        <v>74</v>
      </c>
      <c r="M674" t="s">
        <v>78</v>
      </c>
      <c r="N674" t="s">
        <v>12447</v>
      </c>
      <c r="O674" t="s">
        <v>12848</v>
      </c>
      <c r="P674" t="s">
        <v>12849</v>
      </c>
      <c r="Q674" t="s">
        <v>12850</v>
      </c>
      <c r="R674" t="s">
        <v>74</v>
      </c>
      <c r="S674" t="s">
        <v>12851</v>
      </c>
      <c r="T674" t="s">
        <v>74</v>
      </c>
      <c r="U674" t="s">
        <v>12948</v>
      </c>
      <c r="V674" t="s">
        <v>12949</v>
      </c>
      <c r="W674" t="s">
        <v>12950</v>
      </c>
      <c r="X674" t="s">
        <v>3637</v>
      </c>
      <c r="Y674" t="s">
        <v>12951</v>
      </c>
      <c r="Z674" t="s">
        <v>12952</v>
      </c>
      <c r="AA674" t="s">
        <v>74</v>
      </c>
      <c r="AB674" t="s">
        <v>12857</v>
      </c>
      <c r="AC674" t="s">
        <v>12953</v>
      </c>
      <c r="AD674" t="s">
        <v>12954</v>
      </c>
      <c r="AE674" t="s">
        <v>12955</v>
      </c>
      <c r="AF674" t="s">
        <v>74</v>
      </c>
      <c r="AG674">
        <v>21</v>
      </c>
      <c r="AH674">
        <v>0</v>
      </c>
      <c r="AI674">
        <v>0</v>
      </c>
      <c r="AJ674">
        <v>3</v>
      </c>
      <c r="AK674">
        <v>6</v>
      </c>
      <c r="AL674" t="s">
        <v>92</v>
      </c>
      <c r="AM674" t="s">
        <v>93</v>
      </c>
      <c r="AN674" t="s">
        <v>12860</v>
      </c>
      <c r="AO674" t="s">
        <v>12861</v>
      </c>
      <c r="AP674" t="s">
        <v>74</v>
      </c>
      <c r="AQ674" t="s">
        <v>74</v>
      </c>
      <c r="AR674" t="s">
        <v>12862</v>
      </c>
      <c r="AS674" t="s">
        <v>12863</v>
      </c>
      <c r="AT674" t="s">
        <v>74</v>
      </c>
      <c r="AU674">
        <v>2020</v>
      </c>
      <c r="AV674">
        <v>606</v>
      </c>
      <c r="AW674" t="s">
        <v>74</v>
      </c>
      <c r="AX674" t="s">
        <v>74</v>
      </c>
      <c r="AY674" t="s">
        <v>74</v>
      </c>
      <c r="AZ674" t="s">
        <v>74</v>
      </c>
      <c r="BA674" t="s">
        <v>74</v>
      </c>
      <c r="BB674" t="s">
        <v>74</v>
      </c>
      <c r="BC674" t="s">
        <v>74</v>
      </c>
      <c r="BD674">
        <v>12068</v>
      </c>
      <c r="BE674" t="s">
        <v>12956</v>
      </c>
      <c r="BF674" t="str">
        <f>HYPERLINK("http://dx.doi.org/10.1088/1755-1315/606/1/012068","http://dx.doi.org/10.1088/1755-1315/606/1/012068")</f>
        <v>http://dx.doi.org/10.1088/1755-1315/606/1/012068</v>
      </c>
      <c r="BG674" t="s">
        <v>74</v>
      </c>
      <c r="BH674" t="s">
        <v>74</v>
      </c>
      <c r="BI674">
        <v>8</v>
      </c>
      <c r="BJ674" t="s">
        <v>984</v>
      </c>
      <c r="BK674" t="s">
        <v>12464</v>
      </c>
      <c r="BL674" t="s">
        <v>985</v>
      </c>
      <c r="BM674" t="s">
        <v>12865</v>
      </c>
      <c r="BN674" t="s">
        <v>74</v>
      </c>
      <c r="BO674" t="s">
        <v>2592</v>
      </c>
      <c r="BP674" t="s">
        <v>74</v>
      </c>
      <c r="BQ674" t="s">
        <v>74</v>
      </c>
      <c r="BR674" t="s">
        <v>106</v>
      </c>
      <c r="BS674" t="s">
        <v>12957</v>
      </c>
      <c r="BT674" t="str">
        <f>HYPERLINK("https%3A%2F%2Fwww.webofscience.com%2Fwos%2Fwoscc%2Ffull-record%2FWOS:000657330400069","View Full Record in Web of Science")</f>
        <v>View Full Record in Web of Science</v>
      </c>
    </row>
    <row r="675" spans="1:72" x14ac:dyDescent="0.15">
      <c r="A675" t="s">
        <v>12440</v>
      </c>
      <c r="B675" t="s">
        <v>12958</v>
      </c>
      <c r="C675" t="s">
        <v>74</v>
      </c>
      <c r="D675" t="s">
        <v>12959</v>
      </c>
      <c r="E675" t="s">
        <v>74</v>
      </c>
      <c r="F675" t="s">
        <v>12960</v>
      </c>
      <c r="G675" t="s">
        <v>74</v>
      </c>
      <c r="H675" t="s">
        <v>74</v>
      </c>
      <c r="I675" t="s">
        <v>12961</v>
      </c>
      <c r="J675" t="s">
        <v>12962</v>
      </c>
      <c r="K675" t="s">
        <v>12963</v>
      </c>
      <c r="L675" t="s">
        <v>74</v>
      </c>
      <c r="M675" t="s">
        <v>78</v>
      </c>
      <c r="N675" t="s">
        <v>12447</v>
      </c>
      <c r="O675" t="s">
        <v>12964</v>
      </c>
      <c r="P675" t="s">
        <v>12965</v>
      </c>
      <c r="Q675" t="s">
        <v>12966</v>
      </c>
      <c r="R675" t="s">
        <v>74</v>
      </c>
      <c r="S675" t="s">
        <v>74</v>
      </c>
      <c r="T675" t="s">
        <v>12967</v>
      </c>
      <c r="U675" t="s">
        <v>74</v>
      </c>
      <c r="V675" t="s">
        <v>12968</v>
      </c>
      <c r="W675" t="s">
        <v>12969</v>
      </c>
      <c r="X675" t="s">
        <v>12970</v>
      </c>
      <c r="Y675" t="s">
        <v>12971</v>
      </c>
      <c r="Z675" t="s">
        <v>12972</v>
      </c>
      <c r="AA675" t="s">
        <v>8478</v>
      </c>
      <c r="AB675" t="s">
        <v>12973</v>
      </c>
      <c r="AC675" t="s">
        <v>12974</v>
      </c>
      <c r="AD675" t="s">
        <v>12975</v>
      </c>
      <c r="AE675" t="s">
        <v>12976</v>
      </c>
      <c r="AF675" t="s">
        <v>74</v>
      </c>
      <c r="AG675">
        <v>7</v>
      </c>
      <c r="AH675">
        <v>0</v>
      </c>
      <c r="AI675">
        <v>0</v>
      </c>
      <c r="AJ675">
        <v>0</v>
      </c>
      <c r="AK675">
        <v>3</v>
      </c>
      <c r="AL675" t="s">
        <v>12977</v>
      </c>
      <c r="AM675" t="s">
        <v>12978</v>
      </c>
      <c r="AN675" t="s">
        <v>12979</v>
      </c>
      <c r="AO675" t="s">
        <v>12980</v>
      </c>
      <c r="AP675" t="s">
        <v>12981</v>
      </c>
      <c r="AQ675" t="s">
        <v>12982</v>
      </c>
      <c r="AR675" t="s">
        <v>12983</v>
      </c>
      <c r="AS675" t="s">
        <v>74</v>
      </c>
      <c r="AT675" t="s">
        <v>74</v>
      </c>
      <c r="AU675">
        <v>2020</v>
      </c>
      <c r="AV675">
        <v>11560</v>
      </c>
      <c r="AW675" t="s">
        <v>74</v>
      </c>
      <c r="AX675" t="s">
        <v>74</v>
      </c>
      <c r="AY675" t="s">
        <v>74</v>
      </c>
      <c r="AZ675" t="s">
        <v>74</v>
      </c>
      <c r="BA675" t="s">
        <v>74</v>
      </c>
      <c r="BB675" t="s">
        <v>74</v>
      </c>
      <c r="BC675" t="s">
        <v>74</v>
      </c>
      <c r="BD675" t="s">
        <v>12984</v>
      </c>
      <c r="BE675" t="s">
        <v>12985</v>
      </c>
      <c r="BF675" t="str">
        <f>HYPERLINK("http://dx.doi.org/10.1117/12.2574446","http://dx.doi.org/10.1117/12.2574446")</f>
        <v>http://dx.doi.org/10.1117/12.2574446</v>
      </c>
      <c r="BG675" t="s">
        <v>74</v>
      </c>
      <c r="BH675" t="s">
        <v>74</v>
      </c>
      <c r="BI675">
        <v>5</v>
      </c>
      <c r="BJ675" t="s">
        <v>12986</v>
      </c>
      <c r="BK675" t="s">
        <v>12464</v>
      </c>
      <c r="BL675" t="s">
        <v>12987</v>
      </c>
      <c r="BM675" t="s">
        <v>12988</v>
      </c>
      <c r="BN675" t="s">
        <v>74</v>
      </c>
      <c r="BO675" t="s">
        <v>74</v>
      </c>
      <c r="BP675" t="s">
        <v>74</v>
      </c>
      <c r="BQ675" t="s">
        <v>74</v>
      </c>
      <c r="BR675" t="s">
        <v>106</v>
      </c>
      <c r="BS675" t="s">
        <v>12989</v>
      </c>
      <c r="BT675" t="str">
        <f>HYPERLINK("https%3A%2F%2Fwww.webofscience.com%2Fwos%2Fwoscc%2Ffull-record%2FWOS:000652167500101","View Full Record in Web of Science")</f>
        <v>View Full Record in Web of Science</v>
      </c>
    </row>
    <row r="676" spans="1:72" x14ac:dyDescent="0.15">
      <c r="A676" t="s">
        <v>12440</v>
      </c>
      <c r="B676" t="s">
        <v>12990</v>
      </c>
      <c r="C676" t="s">
        <v>74</v>
      </c>
      <c r="D676" t="s">
        <v>12959</v>
      </c>
      <c r="E676" t="s">
        <v>74</v>
      </c>
      <c r="F676" t="s">
        <v>12991</v>
      </c>
      <c r="G676" t="s">
        <v>74</v>
      </c>
      <c r="H676" t="s">
        <v>74</v>
      </c>
      <c r="I676" t="s">
        <v>12992</v>
      </c>
      <c r="J676" t="s">
        <v>12962</v>
      </c>
      <c r="K676" t="s">
        <v>12963</v>
      </c>
      <c r="L676" t="s">
        <v>74</v>
      </c>
      <c r="M676" t="s">
        <v>78</v>
      </c>
      <c r="N676" t="s">
        <v>12447</v>
      </c>
      <c r="O676" t="s">
        <v>12964</v>
      </c>
      <c r="P676" t="s">
        <v>12965</v>
      </c>
      <c r="Q676" t="s">
        <v>12966</v>
      </c>
      <c r="R676" t="s">
        <v>74</v>
      </c>
      <c r="S676" t="s">
        <v>74</v>
      </c>
      <c r="T676" t="s">
        <v>12993</v>
      </c>
      <c r="U676" t="s">
        <v>12994</v>
      </c>
      <c r="V676" t="s">
        <v>12995</v>
      </c>
      <c r="W676" t="s">
        <v>12996</v>
      </c>
      <c r="X676" t="s">
        <v>12997</v>
      </c>
      <c r="Y676" t="s">
        <v>12998</v>
      </c>
      <c r="Z676" t="s">
        <v>12999</v>
      </c>
      <c r="AA676" t="s">
        <v>13000</v>
      </c>
      <c r="AB676" t="s">
        <v>12973</v>
      </c>
      <c r="AC676" t="s">
        <v>12974</v>
      </c>
      <c r="AD676" t="s">
        <v>12975</v>
      </c>
      <c r="AE676" t="s">
        <v>13001</v>
      </c>
      <c r="AF676" t="s">
        <v>74</v>
      </c>
      <c r="AG676">
        <v>19</v>
      </c>
      <c r="AH676">
        <v>0</v>
      </c>
      <c r="AI676">
        <v>0</v>
      </c>
      <c r="AJ676">
        <v>1</v>
      </c>
      <c r="AK676">
        <v>2</v>
      </c>
      <c r="AL676" t="s">
        <v>12977</v>
      </c>
      <c r="AM676" t="s">
        <v>12978</v>
      </c>
      <c r="AN676" t="s">
        <v>12979</v>
      </c>
      <c r="AO676" t="s">
        <v>12980</v>
      </c>
      <c r="AP676" t="s">
        <v>12981</v>
      </c>
      <c r="AQ676" t="s">
        <v>12982</v>
      </c>
      <c r="AR676" t="s">
        <v>12983</v>
      </c>
      <c r="AS676" t="s">
        <v>74</v>
      </c>
      <c r="AT676" t="s">
        <v>74</v>
      </c>
      <c r="AU676">
        <v>2020</v>
      </c>
      <c r="AV676">
        <v>11560</v>
      </c>
      <c r="AW676" t="s">
        <v>74</v>
      </c>
      <c r="AX676" t="s">
        <v>74</v>
      </c>
      <c r="AY676" t="s">
        <v>74</v>
      </c>
      <c r="AZ676" t="s">
        <v>74</v>
      </c>
      <c r="BA676" t="s">
        <v>74</v>
      </c>
      <c r="BB676" t="s">
        <v>74</v>
      </c>
      <c r="BC676" t="s">
        <v>74</v>
      </c>
      <c r="BD676">
        <v>1156031</v>
      </c>
      <c r="BE676" t="s">
        <v>13002</v>
      </c>
      <c r="BF676" t="str">
        <f>HYPERLINK("http://dx.doi.org/10.1117/12.2574699","http://dx.doi.org/10.1117/12.2574699")</f>
        <v>http://dx.doi.org/10.1117/12.2574699</v>
      </c>
      <c r="BG676" t="s">
        <v>74</v>
      </c>
      <c r="BH676" t="s">
        <v>74</v>
      </c>
      <c r="BI676">
        <v>7</v>
      </c>
      <c r="BJ676" t="s">
        <v>12986</v>
      </c>
      <c r="BK676" t="s">
        <v>12464</v>
      </c>
      <c r="BL676" t="s">
        <v>12987</v>
      </c>
      <c r="BM676" t="s">
        <v>12988</v>
      </c>
      <c r="BN676" t="s">
        <v>74</v>
      </c>
      <c r="BO676" t="s">
        <v>74</v>
      </c>
      <c r="BP676" t="s">
        <v>74</v>
      </c>
      <c r="BQ676" t="s">
        <v>74</v>
      </c>
      <c r="BR676" t="s">
        <v>106</v>
      </c>
      <c r="BS676" t="s">
        <v>13003</v>
      </c>
      <c r="BT676" t="str">
        <f>HYPERLINK("https%3A%2F%2Fwww.webofscience.com%2Fwos%2Fwoscc%2Ffull-record%2FWOS:000652167500108","View Full Record in Web of Science")</f>
        <v>View Full Record in Web of Science</v>
      </c>
    </row>
    <row r="677" spans="1:72" x14ac:dyDescent="0.15">
      <c r="A677" t="s">
        <v>12440</v>
      </c>
      <c r="B677" t="s">
        <v>13004</v>
      </c>
      <c r="C677" t="s">
        <v>74</v>
      </c>
      <c r="D677" t="s">
        <v>12959</v>
      </c>
      <c r="E677" t="s">
        <v>74</v>
      </c>
      <c r="F677" t="s">
        <v>13005</v>
      </c>
      <c r="G677" t="s">
        <v>74</v>
      </c>
      <c r="H677" t="s">
        <v>74</v>
      </c>
      <c r="I677" t="s">
        <v>13006</v>
      </c>
      <c r="J677" t="s">
        <v>12962</v>
      </c>
      <c r="K677" t="s">
        <v>12963</v>
      </c>
      <c r="L677" t="s">
        <v>74</v>
      </c>
      <c r="M677" t="s">
        <v>78</v>
      </c>
      <c r="N677" t="s">
        <v>12447</v>
      </c>
      <c r="O677" t="s">
        <v>12964</v>
      </c>
      <c r="P677" t="s">
        <v>12965</v>
      </c>
      <c r="Q677" t="s">
        <v>12966</v>
      </c>
      <c r="R677" t="s">
        <v>74</v>
      </c>
      <c r="S677" t="s">
        <v>74</v>
      </c>
      <c r="T677" t="s">
        <v>13007</v>
      </c>
      <c r="U677" t="s">
        <v>74</v>
      </c>
      <c r="V677" t="s">
        <v>13008</v>
      </c>
      <c r="W677" t="s">
        <v>13009</v>
      </c>
      <c r="X677" t="s">
        <v>13010</v>
      </c>
      <c r="Y677" t="s">
        <v>13011</v>
      </c>
      <c r="Z677" t="s">
        <v>13012</v>
      </c>
      <c r="AA677" t="s">
        <v>13013</v>
      </c>
      <c r="AB677" t="s">
        <v>13014</v>
      </c>
      <c r="AC677" t="s">
        <v>74</v>
      </c>
      <c r="AD677" t="s">
        <v>74</v>
      </c>
      <c r="AE677" t="s">
        <v>74</v>
      </c>
      <c r="AF677" t="s">
        <v>74</v>
      </c>
      <c r="AG677">
        <v>11</v>
      </c>
      <c r="AH677">
        <v>0</v>
      </c>
      <c r="AI677">
        <v>0</v>
      </c>
      <c r="AJ677">
        <v>0</v>
      </c>
      <c r="AK677">
        <v>0</v>
      </c>
      <c r="AL677" t="s">
        <v>12977</v>
      </c>
      <c r="AM677" t="s">
        <v>12978</v>
      </c>
      <c r="AN677" t="s">
        <v>12979</v>
      </c>
      <c r="AO677" t="s">
        <v>12980</v>
      </c>
      <c r="AP677" t="s">
        <v>12981</v>
      </c>
      <c r="AQ677" t="s">
        <v>12982</v>
      </c>
      <c r="AR677" t="s">
        <v>12983</v>
      </c>
      <c r="AS677" t="s">
        <v>74</v>
      </c>
      <c r="AT677" t="s">
        <v>74</v>
      </c>
      <c r="AU677">
        <v>2020</v>
      </c>
      <c r="AV677">
        <v>11560</v>
      </c>
      <c r="AW677" t="s">
        <v>74</v>
      </c>
      <c r="AX677" t="s">
        <v>74</v>
      </c>
      <c r="AY677" t="s">
        <v>74</v>
      </c>
      <c r="AZ677" t="s">
        <v>74</v>
      </c>
      <c r="BA677" t="s">
        <v>74</v>
      </c>
      <c r="BB677" t="s">
        <v>74</v>
      </c>
      <c r="BC677" t="s">
        <v>74</v>
      </c>
      <c r="BD677" t="s">
        <v>13015</v>
      </c>
      <c r="BE677" t="s">
        <v>13016</v>
      </c>
      <c r="BF677" t="str">
        <f>HYPERLINK("http://dx.doi.org/10.1117/12.2575634","http://dx.doi.org/10.1117/12.2575634")</f>
        <v>http://dx.doi.org/10.1117/12.2575634</v>
      </c>
      <c r="BG677" t="s">
        <v>74</v>
      </c>
      <c r="BH677" t="s">
        <v>74</v>
      </c>
      <c r="BI677">
        <v>5</v>
      </c>
      <c r="BJ677" t="s">
        <v>12986</v>
      </c>
      <c r="BK677" t="s">
        <v>12464</v>
      </c>
      <c r="BL677" t="s">
        <v>12987</v>
      </c>
      <c r="BM677" t="s">
        <v>12988</v>
      </c>
      <c r="BN677" t="s">
        <v>74</v>
      </c>
      <c r="BO677" t="s">
        <v>74</v>
      </c>
      <c r="BP677" t="s">
        <v>74</v>
      </c>
      <c r="BQ677" t="s">
        <v>74</v>
      </c>
      <c r="BR677" t="s">
        <v>106</v>
      </c>
      <c r="BS677" t="s">
        <v>13017</v>
      </c>
      <c r="BT677" t="str">
        <f>HYPERLINK("https%3A%2F%2Fwww.webofscience.com%2Fwos%2Fwoscc%2Ffull-record%2FWOS:000652167500316","View Full Record in Web of Science")</f>
        <v>View Full Record in Web of Science</v>
      </c>
    </row>
    <row r="678" spans="1:72" x14ac:dyDescent="0.15">
      <c r="A678" t="s">
        <v>12440</v>
      </c>
      <c r="B678" t="s">
        <v>13018</v>
      </c>
      <c r="C678" t="s">
        <v>74</v>
      </c>
      <c r="D678" t="s">
        <v>12959</v>
      </c>
      <c r="E678" t="s">
        <v>74</v>
      </c>
      <c r="F678" t="s">
        <v>13019</v>
      </c>
      <c r="G678" t="s">
        <v>74</v>
      </c>
      <c r="H678" t="s">
        <v>74</v>
      </c>
      <c r="I678" t="s">
        <v>13020</v>
      </c>
      <c r="J678" t="s">
        <v>12962</v>
      </c>
      <c r="K678" t="s">
        <v>12963</v>
      </c>
      <c r="L678" t="s">
        <v>74</v>
      </c>
      <c r="M678" t="s">
        <v>78</v>
      </c>
      <c r="N678" t="s">
        <v>12447</v>
      </c>
      <c r="O678" t="s">
        <v>12964</v>
      </c>
      <c r="P678" t="s">
        <v>12965</v>
      </c>
      <c r="Q678" t="s">
        <v>12966</v>
      </c>
      <c r="R678" t="s">
        <v>74</v>
      </c>
      <c r="S678" t="s">
        <v>74</v>
      </c>
      <c r="T678" t="s">
        <v>13021</v>
      </c>
      <c r="U678" t="s">
        <v>74</v>
      </c>
      <c r="V678" t="s">
        <v>13022</v>
      </c>
      <c r="W678" t="s">
        <v>13023</v>
      </c>
      <c r="X678" t="s">
        <v>13024</v>
      </c>
      <c r="Y678" t="s">
        <v>13025</v>
      </c>
      <c r="Z678" t="s">
        <v>13026</v>
      </c>
      <c r="AA678" t="s">
        <v>13027</v>
      </c>
      <c r="AB678" t="s">
        <v>13028</v>
      </c>
      <c r="AC678" t="s">
        <v>13029</v>
      </c>
      <c r="AD678" t="s">
        <v>13030</v>
      </c>
      <c r="AE678" t="s">
        <v>13031</v>
      </c>
      <c r="AF678" t="s">
        <v>74</v>
      </c>
      <c r="AG678">
        <v>4</v>
      </c>
      <c r="AH678">
        <v>0</v>
      </c>
      <c r="AI678">
        <v>0</v>
      </c>
      <c r="AJ678">
        <v>0</v>
      </c>
      <c r="AK678">
        <v>1</v>
      </c>
      <c r="AL678" t="s">
        <v>12977</v>
      </c>
      <c r="AM678" t="s">
        <v>12978</v>
      </c>
      <c r="AN678" t="s">
        <v>12979</v>
      </c>
      <c r="AO678" t="s">
        <v>12980</v>
      </c>
      <c r="AP678" t="s">
        <v>12981</v>
      </c>
      <c r="AQ678" t="s">
        <v>12982</v>
      </c>
      <c r="AR678" t="s">
        <v>12983</v>
      </c>
      <c r="AS678" t="s">
        <v>74</v>
      </c>
      <c r="AT678" t="s">
        <v>74</v>
      </c>
      <c r="AU678">
        <v>2020</v>
      </c>
      <c r="AV678">
        <v>11560</v>
      </c>
      <c r="AW678" t="s">
        <v>74</v>
      </c>
      <c r="AX678" t="s">
        <v>74</v>
      </c>
      <c r="AY678" t="s">
        <v>74</v>
      </c>
      <c r="AZ678" t="s">
        <v>74</v>
      </c>
      <c r="BA678" t="s">
        <v>74</v>
      </c>
      <c r="BB678" t="s">
        <v>74</v>
      </c>
      <c r="BC678" t="s">
        <v>74</v>
      </c>
      <c r="BD678">
        <v>1156041</v>
      </c>
      <c r="BE678" t="s">
        <v>13032</v>
      </c>
      <c r="BF678" t="str">
        <f>HYPERLINK("http://dx.doi.org/10.1117/12.2575466","http://dx.doi.org/10.1117/12.2575466")</f>
        <v>http://dx.doi.org/10.1117/12.2575466</v>
      </c>
      <c r="BG678" t="s">
        <v>74</v>
      </c>
      <c r="BH678" t="s">
        <v>74</v>
      </c>
      <c r="BI678">
        <v>4</v>
      </c>
      <c r="BJ678" t="s">
        <v>12986</v>
      </c>
      <c r="BK678" t="s">
        <v>12464</v>
      </c>
      <c r="BL678" t="s">
        <v>12987</v>
      </c>
      <c r="BM678" t="s">
        <v>12988</v>
      </c>
      <c r="BN678" t="s">
        <v>74</v>
      </c>
      <c r="BO678" t="s">
        <v>74</v>
      </c>
      <c r="BP678" t="s">
        <v>74</v>
      </c>
      <c r="BQ678" t="s">
        <v>74</v>
      </c>
      <c r="BR678" t="s">
        <v>106</v>
      </c>
      <c r="BS678" t="s">
        <v>13033</v>
      </c>
      <c r="BT678" t="str">
        <f>HYPERLINK("https%3A%2F%2Fwww.webofscience.com%2Fwos%2Fwoscc%2Ffull-record%2FWOS:000652167500144","View Full Record in Web of Science")</f>
        <v>View Full Record in Web of Science</v>
      </c>
    </row>
    <row r="679" spans="1:72" x14ac:dyDescent="0.15">
      <c r="A679" t="s">
        <v>12440</v>
      </c>
      <c r="B679" t="s">
        <v>13034</v>
      </c>
      <c r="C679" t="s">
        <v>74</v>
      </c>
      <c r="D679" t="s">
        <v>12959</v>
      </c>
      <c r="E679" t="s">
        <v>74</v>
      </c>
      <c r="F679" t="s">
        <v>13035</v>
      </c>
      <c r="G679" t="s">
        <v>74</v>
      </c>
      <c r="H679" t="s">
        <v>74</v>
      </c>
      <c r="I679" t="s">
        <v>13036</v>
      </c>
      <c r="J679" t="s">
        <v>12962</v>
      </c>
      <c r="K679" t="s">
        <v>12963</v>
      </c>
      <c r="L679" t="s">
        <v>74</v>
      </c>
      <c r="M679" t="s">
        <v>78</v>
      </c>
      <c r="N679" t="s">
        <v>12447</v>
      </c>
      <c r="O679" t="s">
        <v>12964</v>
      </c>
      <c r="P679" t="s">
        <v>12965</v>
      </c>
      <c r="Q679" t="s">
        <v>12966</v>
      </c>
      <c r="R679" t="s">
        <v>74</v>
      </c>
      <c r="S679" t="s">
        <v>74</v>
      </c>
      <c r="T679" t="s">
        <v>13037</v>
      </c>
      <c r="U679" t="s">
        <v>13038</v>
      </c>
      <c r="V679" t="s">
        <v>13039</v>
      </c>
      <c r="W679" t="s">
        <v>13040</v>
      </c>
      <c r="X679" t="s">
        <v>12970</v>
      </c>
      <c r="Y679" t="s">
        <v>13041</v>
      </c>
      <c r="Z679" t="s">
        <v>13042</v>
      </c>
      <c r="AA679" t="s">
        <v>13043</v>
      </c>
      <c r="AB679" t="s">
        <v>74</v>
      </c>
      <c r="AC679" t="s">
        <v>12974</v>
      </c>
      <c r="AD679" t="s">
        <v>12975</v>
      </c>
      <c r="AE679" t="s">
        <v>13044</v>
      </c>
      <c r="AF679" t="s">
        <v>74</v>
      </c>
      <c r="AG679">
        <v>14</v>
      </c>
      <c r="AH679">
        <v>1</v>
      </c>
      <c r="AI679">
        <v>1</v>
      </c>
      <c r="AJ679">
        <v>0</v>
      </c>
      <c r="AK679">
        <v>5</v>
      </c>
      <c r="AL679" t="s">
        <v>12977</v>
      </c>
      <c r="AM679" t="s">
        <v>12978</v>
      </c>
      <c r="AN679" t="s">
        <v>12979</v>
      </c>
      <c r="AO679" t="s">
        <v>12980</v>
      </c>
      <c r="AP679" t="s">
        <v>12981</v>
      </c>
      <c r="AQ679" t="s">
        <v>12982</v>
      </c>
      <c r="AR679" t="s">
        <v>12983</v>
      </c>
      <c r="AS679" t="s">
        <v>74</v>
      </c>
      <c r="AT679" t="s">
        <v>74</v>
      </c>
      <c r="AU679">
        <v>2020</v>
      </c>
      <c r="AV679">
        <v>11560</v>
      </c>
      <c r="AW679" t="s">
        <v>74</v>
      </c>
      <c r="AX679" t="s">
        <v>74</v>
      </c>
      <c r="AY679" t="s">
        <v>74</v>
      </c>
      <c r="AZ679" t="s">
        <v>74</v>
      </c>
      <c r="BA679" t="s">
        <v>74</v>
      </c>
      <c r="BB679" t="s">
        <v>74</v>
      </c>
      <c r="BC679" t="s">
        <v>74</v>
      </c>
      <c r="BD679" t="s">
        <v>13045</v>
      </c>
      <c r="BE679" t="s">
        <v>13046</v>
      </c>
      <c r="BF679" t="str">
        <f>HYPERLINK("http://dx.doi.org/10.1117/12.2572641","http://dx.doi.org/10.1117/12.2572641")</f>
        <v>http://dx.doi.org/10.1117/12.2572641</v>
      </c>
      <c r="BG679" t="s">
        <v>74</v>
      </c>
      <c r="BH679" t="s">
        <v>74</v>
      </c>
      <c r="BI679">
        <v>7</v>
      </c>
      <c r="BJ679" t="s">
        <v>12986</v>
      </c>
      <c r="BK679" t="s">
        <v>12464</v>
      </c>
      <c r="BL679" t="s">
        <v>12987</v>
      </c>
      <c r="BM679" t="s">
        <v>12988</v>
      </c>
      <c r="BN679" t="s">
        <v>74</v>
      </c>
      <c r="BO679" t="s">
        <v>74</v>
      </c>
      <c r="BP679" t="s">
        <v>74</v>
      </c>
      <c r="BQ679" t="s">
        <v>74</v>
      </c>
      <c r="BR679" t="s">
        <v>106</v>
      </c>
      <c r="BS679" t="s">
        <v>13047</v>
      </c>
      <c r="BT679" t="str">
        <f>HYPERLINK("https%3A%2F%2Fwww.webofscience.com%2Fwos%2Fwoscc%2Ffull-record%2FWOS:000652167500088","View Full Record in Web of Science")</f>
        <v>View Full Record in Web of Science</v>
      </c>
    </row>
    <row r="680" spans="1:72" x14ac:dyDescent="0.15">
      <c r="A680" t="s">
        <v>12440</v>
      </c>
      <c r="B680" t="s">
        <v>13048</v>
      </c>
      <c r="C680" t="s">
        <v>74</v>
      </c>
      <c r="D680" t="s">
        <v>12959</v>
      </c>
      <c r="E680" t="s">
        <v>74</v>
      </c>
      <c r="F680" t="s">
        <v>13049</v>
      </c>
      <c r="G680" t="s">
        <v>74</v>
      </c>
      <c r="H680" t="s">
        <v>74</v>
      </c>
      <c r="I680" t="s">
        <v>13050</v>
      </c>
      <c r="J680" t="s">
        <v>12962</v>
      </c>
      <c r="K680" t="s">
        <v>12963</v>
      </c>
      <c r="L680" t="s">
        <v>74</v>
      </c>
      <c r="M680" t="s">
        <v>78</v>
      </c>
      <c r="N680" t="s">
        <v>12447</v>
      </c>
      <c r="O680" t="s">
        <v>12964</v>
      </c>
      <c r="P680" t="s">
        <v>12965</v>
      </c>
      <c r="Q680" t="s">
        <v>12966</v>
      </c>
      <c r="R680" t="s">
        <v>74</v>
      </c>
      <c r="S680" t="s">
        <v>74</v>
      </c>
      <c r="T680" t="s">
        <v>13051</v>
      </c>
      <c r="U680" t="s">
        <v>13038</v>
      </c>
      <c r="V680" t="s">
        <v>13052</v>
      </c>
      <c r="W680" t="s">
        <v>13053</v>
      </c>
      <c r="X680" t="s">
        <v>13054</v>
      </c>
      <c r="Y680" t="s">
        <v>13041</v>
      </c>
      <c r="Z680" t="s">
        <v>13042</v>
      </c>
      <c r="AA680" t="s">
        <v>13055</v>
      </c>
      <c r="AB680" t="s">
        <v>74</v>
      </c>
      <c r="AC680" t="s">
        <v>13056</v>
      </c>
      <c r="AD680" t="s">
        <v>13057</v>
      </c>
      <c r="AE680" t="s">
        <v>13058</v>
      </c>
      <c r="AF680" t="s">
        <v>74</v>
      </c>
      <c r="AG680">
        <v>17</v>
      </c>
      <c r="AH680">
        <v>0</v>
      </c>
      <c r="AI680">
        <v>0</v>
      </c>
      <c r="AJ680">
        <v>0</v>
      </c>
      <c r="AK680">
        <v>2</v>
      </c>
      <c r="AL680" t="s">
        <v>12977</v>
      </c>
      <c r="AM680" t="s">
        <v>12978</v>
      </c>
      <c r="AN680" t="s">
        <v>12979</v>
      </c>
      <c r="AO680" t="s">
        <v>12980</v>
      </c>
      <c r="AP680" t="s">
        <v>12981</v>
      </c>
      <c r="AQ680" t="s">
        <v>12982</v>
      </c>
      <c r="AR680" t="s">
        <v>12983</v>
      </c>
      <c r="AS680" t="s">
        <v>74</v>
      </c>
      <c r="AT680" t="s">
        <v>74</v>
      </c>
      <c r="AU680">
        <v>2020</v>
      </c>
      <c r="AV680">
        <v>11560</v>
      </c>
      <c r="AW680" t="s">
        <v>74</v>
      </c>
      <c r="AX680" t="s">
        <v>74</v>
      </c>
      <c r="AY680" t="s">
        <v>74</v>
      </c>
      <c r="AZ680" t="s">
        <v>74</v>
      </c>
      <c r="BA680" t="s">
        <v>74</v>
      </c>
      <c r="BB680" t="s">
        <v>74</v>
      </c>
      <c r="BC680" t="s">
        <v>74</v>
      </c>
      <c r="BD680" t="s">
        <v>13059</v>
      </c>
      <c r="BE680" t="s">
        <v>13060</v>
      </c>
      <c r="BF680" t="str">
        <f>HYPERLINK("http://dx.doi.org/10.1117/12.2572691","http://dx.doi.org/10.1117/12.2572691")</f>
        <v>http://dx.doi.org/10.1117/12.2572691</v>
      </c>
      <c r="BG680" t="s">
        <v>74</v>
      </c>
      <c r="BH680" t="s">
        <v>74</v>
      </c>
      <c r="BI680">
        <v>6</v>
      </c>
      <c r="BJ680" t="s">
        <v>12986</v>
      </c>
      <c r="BK680" t="s">
        <v>12464</v>
      </c>
      <c r="BL680" t="s">
        <v>12987</v>
      </c>
      <c r="BM680" t="s">
        <v>12988</v>
      </c>
      <c r="BN680" t="s">
        <v>74</v>
      </c>
      <c r="BO680" t="s">
        <v>74</v>
      </c>
      <c r="BP680" t="s">
        <v>74</v>
      </c>
      <c r="BQ680" t="s">
        <v>74</v>
      </c>
      <c r="BR680" t="s">
        <v>106</v>
      </c>
      <c r="BS680" t="s">
        <v>13061</v>
      </c>
      <c r="BT680" t="str">
        <f>HYPERLINK("https%3A%2F%2Fwww.webofscience.com%2Fwos%2Fwoscc%2Ffull-record%2FWOS:000652167500090","View Full Record in Web of Science")</f>
        <v>View Full Record in Web of Science</v>
      </c>
    </row>
    <row r="681" spans="1:72" x14ac:dyDescent="0.15">
      <c r="A681" t="s">
        <v>12440</v>
      </c>
      <c r="B681" t="s">
        <v>13062</v>
      </c>
      <c r="C681" t="s">
        <v>74</v>
      </c>
      <c r="D681" t="s">
        <v>12959</v>
      </c>
      <c r="E681" t="s">
        <v>74</v>
      </c>
      <c r="F681" t="s">
        <v>13063</v>
      </c>
      <c r="G681" t="s">
        <v>74</v>
      </c>
      <c r="H681" t="s">
        <v>74</v>
      </c>
      <c r="I681" t="s">
        <v>13064</v>
      </c>
      <c r="J681" t="s">
        <v>12962</v>
      </c>
      <c r="K681" t="s">
        <v>12963</v>
      </c>
      <c r="L681" t="s">
        <v>74</v>
      </c>
      <c r="M681" t="s">
        <v>78</v>
      </c>
      <c r="N681" t="s">
        <v>12447</v>
      </c>
      <c r="O681" t="s">
        <v>12964</v>
      </c>
      <c r="P681" t="s">
        <v>12965</v>
      </c>
      <c r="Q681" t="s">
        <v>12966</v>
      </c>
      <c r="R681" t="s">
        <v>74</v>
      </c>
      <c r="S681" t="s">
        <v>74</v>
      </c>
      <c r="T681" t="s">
        <v>13065</v>
      </c>
      <c r="U681" t="s">
        <v>13066</v>
      </c>
      <c r="V681" t="s">
        <v>13067</v>
      </c>
      <c r="W681" t="s">
        <v>13068</v>
      </c>
      <c r="X681" t="s">
        <v>13069</v>
      </c>
      <c r="Y681" t="s">
        <v>13070</v>
      </c>
      <c r="Z681" t="s">
        <v>13071</v>
      </c>
      <c r="AA681" t="s">
        <v>13072</v>
      </c>
      <c r="AB681" t="s">
        <v>13073</v>
      </c>
      <c r="AC681" t="s">
        <v>13074</v>
      </c>
      <c r="AD681" t="s">
        <v>13075</v>
      </c>
      <c r="AE681" t="s">
        <v>13076</v>
      </c>
      <c r="AF681" t="s">
        <v>74</v>
      </c>
      <c r="AG681">
        <v>20</v>
      </c>
      <c r="AH681">
        <v>1</v>
      </c>
      <c r="AI681">
        <v>1</v>
      </c>
      <c r="AJ681">
        <v>1</v>
      </c>
      <c r="AK681">
        <v>5</v>
      </c>
      <c r="AL681" t="s">
        <v>12977</v>
      </c>
      <c r="AM681" t="s">
        <v>12978</v>
      </c>
      <c r="AN681" t="s">
        <v>12979</v>
      </c>
      <c r="AO681" t="s">
        <v>12980</v>
      </c>
      <c r="AP681" t="s">
        <v>12981</v>
      </c>
      <c r="AQ681" t="s">
        <v>12982</v>
      </c>
      <c r="AR681" t="s">
        <v>12983</v>
      </c>
      <c r="AS681" t="s">
        <v>74</v>
      </c>
      <c r="AT681" t="s">
        <v>74</v>
      </c>
      <c r="AU681">
        <v>2020</v>
      </c>
      <c r="AV681">
        <v>11560</v>
      </c>
      <c r="AW681" t="s">
        <v>74</v>
      </c>
      <c r="AX681" t="s">
        <v>74</v>
      </c>
      <c r="AY681" t="s">
        <v>74</v>
      </c>
      <c r="AZ681" t="s">
        <v>74</v>
      </c>
      <c r="BA681" t="s">
        <v>74</v>
      </c>
      <c r="BB681" t="s">
        <v>74</v>
      </c>
      <c r="BC681" t="s">
        <v>74</v>
      </c>
      <c r="BD681">
        <v>1156056</v>
      </c>
      <c r="BE681" t="s">
        <v>13077</v>
      </c>
      <c r="BF681" t="str">
        <f>HYPERLINK("http://dx.doi.org/10.1117/12.2575813","http://dx.doi.org/10.1117/12.2575813")</f>
        <v>http://dx.doi.org/10.1117/12.2575813</v>
      </c>
      <c r="BG681" t="s">
        <v>74</v>
      </c>
      <c r="BH681" t="s">
        <v>74</v>
      </c>
      <c r="BI681">
        <v>6</v>
      </c>
      <c r="BJ681" t="s">
        <v>12986</v>
      </c>
      <c r="BK681" t="s">
        <v>12464</v>
      </c>
      <c r="BL681" t="s">
        <v>12987</v>
      </c>
      <c r="BM681" t="s">
        <v>12988</v>
      </c>
      <c r="BN681" t="s">
        <v>74</v>
      </c>
      <c r="BO681" t="s">
        <v>74</v>
      </c>
      <c r="BP681" t="s">
        <v>74</v>
      </c>
      <c r="BQ681" t="s">
        <v>74</v>
      </c>
      <c r="BR681" t="s">
        <v>106</v>
      </c>
      <c r="BS681" t="s">
        <v>13078</v>
      </c>
      <c r="BT681" t="str">
        <f>HYPERLINK("https%3A%2F%2Fwww.webofscience.com%2Fwos%2Fwoscc%2Ffull-record%2FWOS:000652167500184","View Full Record in Web of Science")</f>
        <v>View Full Record in Web of Science</v>
      </c>
    </row>
    <row r="682" spans="1:72" x14ac:dyDescent="0.15">
      <c r="A682" t="s">
        <v>12440</v>
      </c>
      <c r="B682" t="s">
        <v>13079</v>
      </c>
      <c r="C682" t="s">
        <v>74</v>
      </c>
      <c r="D682" t="s">
        <v>12959</v>
      </c>
      <c r="E682" t="s">
        <v>74</v>
      </c>
      <c r="F682" t="s">
        <v>13080</v>
      </c>
      <c r="G682" t="s">
        <v>74</v>
      </c>
      <c r="H682" t="s">
        <v>74</v>
      </c>
      <c r="I682" t="s">
        <v>13081</v>
      </c>
      <c r="J682" t="s">
        <v>12962</v>
      </c>
      <c r="K682" t="s">
        <v>12963</v>
      </c>
      <c r="L682" t="s">
        <v>74</v>
      </c>
      <c r="M682" t="s">
        <v>78</v>
      </c>
      <c r="N682" t="s">
        <v>12447</v>
      </c>
      <c r="O682" t="s">
        <v>12964</v>
      </c>
      <c r="P682" t="s">
        <v>12965</v>
      </c>
      <c r="Q682" t="s">
        <v>12966</v>
      </c>
      <c r="R682" t="s">
        <v>74</v>
      </c>
      <c r="S682" t="s">
        <v>74</v>
      </c>
      <c r="T682" t="s">
        <v>13082</v>
      </c>
      <c r="U682" t="s">
        <v>13083</v>
      </c>
      <c r="V682" t="s">
        <v>13084</v>
      </c>
      <c r="W682" t="s">
        <v>13085</v>
      </c>
      <c r="X682" t="s">
        <v>13086</v>
      </c>
      <c r="Y682" t="s">
        <v>13087</v>
      </c>
      <c r="Z682" t="s">
        <v>13088</v>
      </c>
      <c r="AA682" t="s">
        <v>13089</v>
      </c>
      <c r="AB682" t="s">
        <v>74</v>
      </c>
      <c r="AC682" t="s">
        <v>13090</v>
      </c>
      <c r="AD682" t="s">
        <v>13091</v>
      </c>
      <c r="AE682" t="s">
        <v>13092</v>
      </c>
      <c r="AF682" t="s">
        <v>74</v>
      </c>
      <c r="AG682">
        <v>49</v>
      </c>
      <c r="AH682">
        <v>0</v>
      </c>
      <c r="AI682">
        <v>1</v>
      </c>
      <c r="AJ682">
        <v>0</v>
      </c>
      <c r="AK682">
        <v>14</v>
      </c>
      <c r="AL682" t="s">
        <v>12977</v>
      </c>
      <c r="AM682" t="s">
        <v>12978</v>
      </c>
      <c r="AN682" t="s">
        <v>12979</v>
      </c>
      <c r="AO682" t="s">
        <v>12980</v>
      </c>
      <c r="AP682" t="s">
        <v>12981</v>
      </c>
      <c r="AQ682" t="s">
        <v>12982</v>
      </c>
      <c r="AR682" t="s">
        <v>12983</v>
      </c>
      <c r="AS682" t="s">
        <v>74</v>
      </c>
      <c r="AT682" t="s">
        <v>74</v>
      </c>
      <c r="AU682">
        <v>2020</v>
      </c>
      <c r="AV682">
        <v>11560</v>
      </c>
      <c r="AW682" t="s">
        <v>74</v>
      </c>
      <c r="AX682" t="s">
        <v>74</v>
      </c>
      <c r="AY682" t="s">
        <v>74</v>
      </c>
      <c r="AZ682" t="s">
        <v>74</v>
      </c>
      <c r="BA682" t="s">
        <v>74</v>
      </c>
      <c r="BB682" t="s">
        <v>74</v>
      </c>
      <c r="BC682" t="s">
        <v>74</v>
      </c>
      <c r="BD682" t="s">
        <v>13093</v>
      </c>
      <c r="BE682" t="s">
        <v>13094</v>
      </c>
      <c r="BF682" t="str">
        <f>HYPERLINK("http://dx.doi.org/10.1117/12.2575963","http://dx.doi.org/10.1117/12.2575963")</f>
        <v>http://dx.doi.org/10.1117/12.2575963</v>
      </c>
      <c r="BG682" t="s">
        <v>74</v>
      </c>
      <c r="BH682" t="s">
        <v>74</v>
      </c>
      <c r="BI682">
        <v>13</v>
      </c>
      <c r="BJ682" t="s">
        <v>12986</v>
      </c>
      <c r="BK682" t="s">
        <v>12464</v>
      </c>
      <c r="BL682" t="s">
        <v>12987</v>
      </c>
      <c r="BM682" t="s">
        <v>12988</v>
      </c>
      <c r="BN682" t="s">
        <v>74</v>
      </c>
      <c r="BO682" t="s">
        <v>74</v>
      </c>
      <c r="BP682" t="s">
        <v>74</v>
      </c>
      <c r="BQ682" t="s">
        <v>74</v>
      </c>
      <c r="BR682" t="s">
        <v>106</v>
      </c>
      <c r="BS682" t="s">
        <v>13095</v>
      </c>
      <c r="BT682" t="str">
        <f>HYPERLINK("https%3A%2F%2Fwww.webofscience.com%2Fwos%2Fwoscc%2Ffull-record%2FWOS:000652167500188","View Full Record in Web of Science")</f>
        <v>View Full Record in Web of Science</v>
      </c>
    </row>
    <row r="683" spans="1:72" x14ac:dyDescent="0.15">
      <c r="A683" t="s">
        <v>12440</v>
      </c>
      <c r="B683" t="s">
        <v>13096</v>
      </c>
      <c r="C683" t="s">
        <v>74</v>
      </c>
      <c r="D683" t="s">
        <v>12959</v>
      </c>
      <c r="E683" t="s">
        <v>74</v>
      </c>
      <c r="F683" t="s">
        <v>13097</v>
      </c>
      <c r="G683" t="s">
        <v>74</v>
      </c>
      <c r="H683" t="s">
        <v>74</v>
      </c>
      <c r="I683" t="s">
        <v>13098</v>
      </c>
      <c r="J683" t="s">
        <v>12962</v>
      </c>
      <c r="K683" t="s">
        <v>12963</v>
      </c>
      <c r="L683" t="s">
        <v>74</v>
      </c>
      <c r="M683" t="s">
        <v>78</v>
      </c>
      <c r="N683" t="s">
        <v>12447</v>
      </c>
      <c r="O683" t="s">
        <v>12964</v>
      </c>
      <c r="P683" t="s">
        <v>12965</v>
      </c>
      <c r="Q683" t="s">
        <v>12966</v>
      </c>
      <c r="R683" t="s">
        <v>74</v>
      </c>
      <c r="S683" t="s">
        <v>74</v>
      </c>
      <c r="T683" t="s">
        <v>13099</v>
      </c>
      <c r="U683" t="s">
        <v>13100</v>
      </c>
      <c r="V683" t="s">
        <v>13101</v>
      </c>
      <c r="W683" t="s">
        <v>13102</v>
      </c>
      <c r="X683" t="s">
        <v>13103</v>
      </c>
      <c r="Y683" t="s">
        <v>13104</v>
      </c>
      <c r="Z683" t="s">
        <v>13105</v>
      </c>
      <c r="AA683" t="s">
        <v>13106</v>
      </c>
      <c r="AB683" t="s">
        <v>13107</v>
      </c>
      <c r="AC683" t="s">
        <v>13108</v>
      </c>
      <c r="AD683" t="s">
        <v>12878</v>
      </c>
      <c r="AE683" t="s">
        <v>13109</v>
      </c>
      <c r="AF683" t="s">
        <v>74</v>
      </c>
      <c r="AG683">
        <v>28</v>
      </c>
      <c r="AH683">
        <v>1</v>
      </c>
      <c r="AI683">
        <v>1</v>
      </c>
      <c r="AJ683">
        <v>0</v>
      </c>
      <c r="AK683">
        <v>4</v>
      </c>
      <c r="AL683" t="s">
        <v>12977</v>
      </c>
      <c r="AM683" t="s">
        <v>12978</v>
      </c>
      <c r="AN683" t="s">
        <v>12979</v>
      </c>
      <c r="AO683" t="s">
        <v>12980</v>
      </c>
      <c r="AP683" t="s">
        <v>12981</v>
      </c>
      <c r="AQ683" t="s">
        <v>12982</v>
      </c>
      <c r="AR683" t="s">
        <v>12983</v>
      </c>
      <c r="AS683" t="s">
        <v>74</v>
      </c>
      <c r="AT683" t="s">
        <v>74</v>
      </c>
      <c r="AU683">
        <v>2020</v>
      </c>
      <c r="AV683">
        <v>11560</v>
      </c>
      <c r="AW683" t="s">
        <v>74</v>
      </c>
      <c r="AX683" t="s">
        <v>74</v>
      </c>
      <c r="AY683" t="s">
        <v>74</v>
      </c>
      <c r="AZ683" t="s">
        <v>74</v>
      </c>
      <c r="BA683" t="s">
        <v>74</v>
      </c>
      <c r="BB683" t="s">
        <v>74</v>
      </c>
      <c r="BC683" t="s">
        <v>74</v>
      </c>
      <c r="BD683" t="s">
        <v>13110</v>
      </c>
      <c r="BE683" t="s">
        <v>13111</v>
      </c>
      <c r="BF683" t="str">
        <f>HYPERLINK("http://dx.doi.org/10.1117/12.2574652","http://dx.doi.org/10.1117/12.2574652")</f>
        <v>http://dx.doi.org/10.1117/12.2574652</v>
      </c>
      <c r="BG683" t="s">
        <v>74</v>
      </c>
      <c r="BH683" t="s">
        <v>74</v>
      </c>
      <c r="BI683">
        <v>7</v>
      </c>
      <c r="BJ683" t="s">
        <v>12986</v>
      </c>
      <c r="BK683" t="s">
        <v>12464</v>
      </c>
      <c r="BL683" t="s">
        <v>12987</v>
      </c>
      <c r="BM683" t="s">
        <v>12988</v>
      </c>
      <c r="BN683" t="s">
        <v>74</v>
      </c>
      <c r="BO683" t="s">
        <v>74</v>
      </c>
      <c r="BP683" t="s">
        <v>74</v>
      </c>
      <c r="BQ683" t="s">
        <v>74</v>
      </c>
      <c r="BR683" t="s">
        <v>106</v>
      </c>
      <c r="BS683" t="s">
        <v>13112</v>
      </c>
      <c r="BT683" t="str">
        <f>HYPERLINK("https%3A%2F%2Fwww.webofscience.com%2Fwos%2Fwoscc%2Ffull-record%2FWOS:000652167500279","View Full Record in Web of Science")</f>
        <v>View Full Record in Web of Science</v>
      </c>
    </row>
    <row r="684" spans="1:72" x14ac:dyDescent="0.15">
      <c r="A684" t="s">
        <v>12440</v>
      </c>
      <c r="B684" t="s">
        <v>13113</v>
      </c>
      <c r="C684" t="s">
        <v>74</v>
      </c>
      <c r="D684" t="s">
        <v>12959</v>
      </c>
      <c r="E684" t="s">
        <v>74</v>
      </c>
      <c r="F684" t="s">
        <v>13114</v>
      </c>
      <c r="G684" t="s">
        <v>74</v>
      </c>
      <c r="H684" t="s">
        <v>74</v>
      </c>
      <c r="I684" t="s">
        <v>13115</v>
      </c>
      <c r="J684" t="s">
        <v>12962</v>
      </c>
      <c r="K684" t="s">
        <v>12963</v>
      </c>
      <c r="L684" t="s">
        <v>74</v>
      </c>
      <c r="M684" t="s">
        <v>78</v>
      </c>
      <c r="N684" t="s">
        <v>12447</v>
      </c>
      <c r="O684" t="s">
        <v>12964</v>
      </c>
      <c r="P684" t="s">
        <v>12965</v>
      </c>
      <c r="Q684" t="s">
        <v>12966</v>
      </c>
      <c r="R684" t="s">
        <v>74</v>
      </c>
      <c r="S684" t="s">
        <v>74</v>
      </c>
      <c r="T684" t="s">
        <v>13116</v>
      </c>
      <c r="U684" t="s">
        <v>13117</v>
      </c>
      <c r="V684" t="s">
        <v>13118</v>
      </c>
      <c r="W684" t="s">
        <v>13119</v>
      </c>
      <c r="X684" t="s">
        <v>13120</v>
      </c>
      <c r="Y684" t="s">
        <v>13121</v>
      </c>
      <c r="Z684" t="s">
        <v>13122</v>
      </c>
      <c r="AA684" t="s">
        <v>13123</v>
      </c>
      <c r="AB684" t="s">
        <v>13124</v>
      </c>
      <c r="AC684" t="s">
        <v>74</v>
      </c>
      <c r="AD684" t="s">
        <v>74</v>
      </c>
      <c r="AE684" t="s">
        <v>74</v>
      </c>
      <c r="AF684" t="s">
        <v>74</v>
      </c>
      <c r="AG684">
        <v>16</v>
      </c>
      <c r="AH684">
        <v>0</v>
      </c>
      <c r="AI684">
        <v>0</v>
      </c>
      <c r="AJ684">
        <v>2</v>
      </c>
      <c r="AK684">
        <v>11</v>
      </c>
      <c r="AL684" t="s">
        <v>12977</v>
      </c>
      <c r="AM684" t="s">
        <v>12978</v>
      </c>
      <c r="AN684" t="s">
        <v>12979</v>
      </c>
      <c r="AO684" t="s">
        <v>12980</v>
      </c>
      <c r="AP684" t="s">
        <v>12981</v>
      </c>
      <c r="AQ684" t="s">
        <v>12982</v>
      </c>
      <c r="AR684" t="s">
        <v>12983</v>
      </c>
      <c r="AS684" t="s">
        <v>74</v>
      </c>
      <c r="AT684" t="s">
        <v>74</v>
      </c>
      <c r="AU684">
        <v>2020</v>
      </c>
      <c r="AV684">
        <v>11560</v>
      </c>
      <c r="AW684" t="s">
        <v>74</v>
      </c>
      <c r="AX684" t="s">
        <v>74</v>
      </c>
      <c r="AY684" t="s">
        <v>74</v>
      </c>
      <c r="AZ684" t="s">
        <v>74</v>
      </c>
      <c r="BA684" t="s">
        <v>74</v>
      </c>
      <c r="BB684" t="s">
        <v>74</v>
      </c>
      <c r="BC684" t="s">
        <v>74</v>
      </c>
      <c r="BD684" t="s">
        <v>13125</v>
      </c>
      <c r="BE684" t="s">
        <v>13126</v>
      </c>
      <c r="BF684" t="str">
        <f>HYPERLINK("http://dx.doi.org/10.1117/12.2570671","http://dx.doi.org/10.1117/12.2570671")</f>
        <v>http://dx.doi.org/10.1117/12.2570671</v>
      </c>
      <c r="BG684" t="s">
        <v>74</v>
      </c>
      <c r="BH684" t="s">
        <v>74</v>
      </c>
      <c r="BI684">
        <v>6</v>
      </c>
      <c r="BJ684" t="s">
        <v>12986</v>
      </c>
      <c r="BK684" t="s">
        <v>12464</v>
      </c>
      <c r="BL684" t="s">
        <v>12987</v>
      </c>
      <c r="BM684" t="s">
        <v>12988</v>
      </c>
      <c r="BN684" t="s">
        <v>74</v>
      </c>
      <c r="BO684" t="s">
        <v>74</v>
      </c>
      <c r="BP684" t="s">
        <v>74</v>
      </c>
      <c r="BQ684" t="s">
        <v>74</v>
      </c>
      <c r="BR684" t="s">
        <v>106</v>
      </c>
      <c r="BS684" t="s">
        <v>13127</v>
      </c>
      <c r="BT684" t="str">
        <f>HYPERLINK("https%3A%2F%2Fwww.webofscience.com%2Fwos%2Fwoscc%2Ffull-record%2FWOS:000652167500276","View Full Record in Web of Science")</f>
        <v>View Full Record in Web of Science</v>
      </c>
    </row>
    <row r="685" spans="1:72" x14ac:dyDescent="0.15">
      <c r="A685" t="s">
        <v>12416</v>
      </c>
      <c r="B685" t="s">
        <v>13128</v>
      </c>
      <c r="C685" t="s">
        <v>74</v>
      </c>
      <c r="D685" t="s">
        <v>13129</v>
      </c>
      <c r="E685" t="s">
        <v>74</v>
      </c>
      <c r="F685" t="s">
        <v>13130</v>
      </c>
      <c r="G685" t="s">
        <v>74</v>
      </c>
      <c r="H685" t="s">
        <v>74</v>
      </c>
      <c r="I685" t="s">
        <v>13131</v>
      </c>
      <c r="J685" t="s">
        <v>13132</v>
      </c>
      <c r="K685" t="s">
        <v>74</v>
      </c>
      <c r="L685" t="s">
        <v>74</v>
      </c>
      <c r="M685" t="s">
        <v>78</v>
      </c>
      <c r="N685" t="s">
        <v>12422</v>
      </c>
      <c r="O685" t="s">
        <v>74</v>
      </c>
      <c r="P685" t="s">
        <v>74</v>
      </c>
      <c r="Q685" t="s">
        <v>74</v>
      </c>
      <c r="R685" t="s">
        <v>74</v>
      </c>
      <c r="S685" t="s">
        <v>74</v>
      </c>
      <c r="T685" t="s">
        <v>74</v>
      </c>
      <c r="U685" t="s">
        <v>74</v>
      </c>
      <c r="V685" t="s">
        <v>74</v>
      </c>
      <c r="W685" t="s">
        <v>13133</v>
      </c>
      <c r="X685" t="s">
        <v>13134</v>
      </c>
      <c r="Y685" t="s">
        <v>13135</v>
      </c>
      <c r="Z685" t="s">
        <v>13136</v>
      </c>
      <c r="AA685" t="s">
        <v>74</v>
      </c>
      <c r="AB685" t="s">
        <v>74</v>
      </c>
      <c r="AC685" t="s">
        <v>74</v>
      </c>
      <c r="AD685" t="s">
        <v>74</v>
      </c>
      <c r="AE685" t="s">
        <v>74</v>
      </c>
      <c r="AF685" t="s">
        <v>74</v>
      </c>
      <c r="AG685">
        <v>2</v>
      </c>
      <c r="AH685">
        <v>3</v>
      </c>
      <c r="AI685">
        <v>3</v>
      </c>
      <c r="AJ685">
        <v>0</v>
      </c>
      <c r="AK685">
        <v>1</v>
      </c>
      <c r="AL685" t="s">
        <v>12570</v>
      </c>
      <c r="AM685" t="s">
        <v>12571</v>
      </c>
      <c r="AN685" t="s">
        <v>12572</v>
      </c>
      <c r="AO685" t="s">
        <v>74</v>
      </c>
      <c r="AP685" t="s">
        <v>74</v>
      </c>
      <c r="AQ685" t="s">
        <v>13137</v>
      </c>
      <c r="AR685" t="s">
        <v>74</v>
      </c>
      <c r="AS685" t="s">
        <v>74</v>
      </c>
      <c r="AT685" t="s">
        <v>74</v>
      </c>
      <c r="AU685">
        <v>2020</v>
      </c>
      <c r="AV685" t="s">
        <v>74</v>
      </c>
      <c r="AW685" t="s">
        <v>74</v>
      </c>
      <c r="AX685" t="s">
        <v>74</v>
      </c>
      <c r="AY685" t="s">
        <v>74</v>
      </c>
      <c r="AZ685" t="s">
        <v>74</v>
      </c>
      <c r="BA685" t="s">
        <v>74</v>
      </c>
      <c r="BB685">
        <v>693</v>
      </c>
      <c r="BC685">
        <v>707</v>
      </c>
      <c r="BD685" t="s">
        <v>74</v>
      </c>
      <c r="BE685" t="s">
        <v>13138</v>
      </c>
      <c r="BF685" t="str">
        <f>HYPERLINK("http://dx.doi.org/10.1007/978-3-030-16996-1_38","http://dx.doi.org/10.1007/978-3-030-16996-1_38")</f>
        <v>http://dx.doi.org/10.1007/978-3-030-16996-1_38</v>
      </c>
      <c r="BG685" t="s">
        <v>13139</v>
      </c>
      <c r="BH685" t="s">
        <v>74</v>
      </c>
      <c r="BI685">
        <v>15</v>
      </c>
      <c r="BJ685" t="s">
        <v>13140</v>
      </c>
      <c r="BK685" t="s">
        <v>12436</v>
      </c>
      <c r="BL685" t="s">
        <v>13140</v>
      </c>
      <c r="BM685" t="s">
        <v>13141</v>
      </c>
      <c r="BN685" t="s">
        <v>74</v>
      </c>
      <c r="BO685" t="s">
        <v>74</v>
      </c>
      <c r="BP685" t="s">
        <v>74</v>
      </c>
      <c r="BQ685" t="s">
        <v>74</v>
      </c>
      <c r="BR685" t="s">
        <v>106</v>
      </c>
      <c r="BS685" t="s">
        <v>13142</v>
      </c>
      <c r="BT685" t="str">
        <f>HYPERLINK("https%3A%2F%2Fwww.webofscience.com%2Fwos%2Fwoscc%2Ffull-record%2FWOS:000650965600037","View Full Record in Web of Science")</f>
        <v>View Full Record in Web of Science</v>
      </c>
    </row>
    <row r="686" spans="1:72" x14ac:dyDescent="0.15">
      <c r="A686" t="s">
        <v>12440</v>
      </c>
      <c r="B686" t="s">
        <v>13143</v>
      </c>
      <c r="C686" t="s">
        <v>74</v>
      </c>
      <c r="D686" t="s">
        <v>74</v>
      </c>
      <c r="E686" t="s">
        <v>12843</v>
      </c>
      <c r="F686" t="s">
        <v>13144</v>
      </c>
      <c r="G686" t="s">
        <v>74</v>
      </c>
      <c r="H686" t="s">
        <v>74</v>
      </c>
      <c r="I686" t="s">
        <v>13145</v>
      </c>
      <c r="J686" t="s">
        <v>13146</v>
      </c>
      <c r="K686" t="s">
        <v>13147</v>
      </c>
      <c r="L686" t="s">
        <v>74</v>
      </c>
      <c r="M686" t="s">
        <v>78</v>
      </c>
      <c r="N686" t="s">
        <v>12447</v>
      </c>
      <c r="O686" t="s">
        <v>13148</v>
      </c>
      <c r="P686" t="s">
        <v>13149</v>
      </c>
      <c r="Q686" t="s">
        <v>13150</v>
      </c>
      <c r="R686" t="s">
        <v>74</v>
      </c>
      <c r="S686" t="s">
        <v>13151</v>
      </c>
      <c r="T686" t="s">
        <v>74</v>
      </c>
      <c r="U686" t="s">
        <v>13152</v>
      </c>
      <c r="V686" t="s">
        <v>13153</v>
      </c>
      <c r="W686" t="s">
        <v>13154</v>
      </c>
      <c r="X686" t="s">
        <v>13155</v>
      </c>
      <c r="Y686" t="s">
        <v>13156</v>
      </c>
      <c r="Z686" t="s">
        <v>13157</v>
      </c>
      <c r="AA686" t="s">
        <v>74</v>
      </c>
      <c r="AB686" t="s">
        <v>74</v>
      </c>
      <c r="AC686" t="s">
        <v>13158</v>
      </c>
      <c r="AD686" t="s">
        <v>13159</v>
      </c>
      <c r="AE686" t="s">
        <v>13160</v>
      </c>
      <c r="AF686" t="s">
        <v>74</v>
      </c>
      <c r="AG686">
        <v>11</v>
      </c>
      <c r="AH686">
        <v>0</v>
      </c>
      <c r="AI686">
        <v>0</v>
      </c>
      <c r="AJ686">
        <v>0</v>
      </c>
      <c r="AK686">
        <v>1</v>
      </c>
      <c r="AL686" t="s">
        <v>92</v>
      </c>
      <c r="AM686" t="s">
        <v>93</v>
      </c>
      <c r="AN686" t="s">
        <v>12860</v>
      </c>
      <c r="AO686" t="s">
        <v>13161</v>
      </c>
      <c r="AP686" t="s">
        <v>13162</v>
      </c>
      <c r="AQ686" t="s">
        <v>74</v>
      </c>
      <c r="AR686" t="s">
        <v>13163</v>
      </c>
      <c r="AS686" t="s">
        <v>74</v>
      </c>
      <c r="AT686" t="s">
        <v>74</v>
      </c>
      <c r="AU686">
        <v>2020</v>
      </c>
      <c r="AV686">
        <v>1677</v>
      </c>
      <c r="AW686" t="s">
        <v>74</v>
      </c>
      <c r="AX686" t="s">
        <v>74</v>
      </c>
      <c r="AY686" t="s">
        <v>74</v>
      </c>
      <c r="AZ686" t="s">
        <v>74</v>
      </c>
      <c r="BA686" t="s">
        <v>74</v>
      </c>
      <c r="BB686" t="s">
        <v>74</v>
      </c>
      <c r="BC686" t="s">
        <v>74</v>
      </c>
      <c r="BD686">
        <v>12009</v>
      </c>
      <c r="BE686" t="s">
        <v>13164</v>
      </c>
      <c r="BF686" t="str">
        <f>HYPERLINK("http://dx.doi.org/10.1088/1742-6596/1677/1/012009","http://dx.doi.org/10.1088/1742-6596/1677/1/012009")</f>
        <v>http://dx.doi.org/10.1088/1742-6596/1677/1/012009</v>
      </c>
      <c r="BG686" t="s">
        <v>74</v>
      </c>
      <c r="BH686" t="s">
        <v>74</v>
      </c>
      <c r="BI686">
        <v>6</v>
      </c>
      <c r="BJ686" t="s">
        <v>13165</v>
      </c>
      <c r="BK686" t="s">
        <v>12464</v>
      </c>
      <c r="BL686" t="s">
        <v>13166</v>
      </c>
      <c r="BM686" t="s">
        <v>13167</v>
      </c>
      <c r="BN686" t="s">
        <v>74</v>
      </c>
      <c r="BO686" t="s">
        <v>2592</v>
      </c>
      <c r="BP686" t="s">
        <v>74</v>
      </c>
      <c r="BQ686" t="s">
        <v>74</v>
      </c>
      <c r="BR686" t="s">
        <v>106</v>
      </c>
      <c r="BS686" t="s">
        <v>13168</v>
      </c>
      <c r="BT686" t="str">
        <f>HYPERLINK("https%3A%2F%2Fwww.webofscience.com%2Fwos%2Fwoscc%2Ffull-record%2FWOS:000647447900009","View Full Record in Web of Science")</f>
        <v>View Full Record in Web of Science</v>
      </c>
    </row>
    <row r="687" spans="1:72" x14ac:dyDescent="0.15">
      <c r="A687" t="s">
        <v>12440</v>
      </c>
      <c r="B687" t="s">
        <v>13169</v>
      </c>
      <c r="C687" t="s">
        <v>74</v>
      </c>
      <c r="D687" t="s">
        <v>74</v>
      </c>
      <c r="E687" t="s">
        <v>13170</v>
      </c>
      <c r="F687" t="s">
        <v>13171</v>
      </c>
      <c r="G687" t="s">
        <v>74</v>
      </c>
      <c r="H687" t="s">
        <v>74</v>
      </c>
      <c r="I687" t="s">
        <v>13172</v>
      </c>
      <c r="J687" t="s">
        <v>13173</v>
      </c>
      <c r="K687" t="s">
        <v>13174</v>
      </c>
      <c r="L687" t="s">
        <v>74</v>
      </c>
      <c r="M687" t="s">
        <v>78</v>
      </c>
      <c r="N687" t="s">
        <v>12447</v>
      </c>
      <c r="O687" t="s">
        <v>13175</v>
      </c>
      <c r="P687" t="s">
        <v>13176</v>
      </c>
      <c r="Q687" t="s">
        <v>12450</v>
      </c>
      <c r="R687" t="s">
        <v>74</v>
      </c>
      <c r="S687" t="s">
        <v>74</v>
      </c>
      <c r="T687" t="s">
        <v>74</v>
      </c>
      <c r="U687" t="s">
        <v>13177</v>
      </c>
      <c r="V687" t="s">
        <v>13178</v>
      </c>
      <c r="W687" t="s">
        <v>13179</v>
      </c>
      <c r="X687" t="s">
        <v>12733</v>
      </c>
      <c r="Y687" t="s">
        <v>13180</v>
      </c>
      <c r="Z687" t="s">
        <v>74</v>
      </c>
      <c r="AA687" t="s">
        <v>74</v>
      </c>
      <c r="AB687" t="s">
        <v>74</v>
      </c>
      <c r="AC687" t="s">
        <v>13181</v>
      </c>
      <c r="AD687" t="s">
        <v>13182</v>
      </c>
      <c r="AE687" t="s">
        <v>13183</v>
      </c>
      <c r="AF687" t="s">
        <v>74</v>
      </c>
      <c r="AG687">
        <v>12</v>
      </c>
      <c r="AH687">
        <v>0</v>
      </c>
      <c r="AI687">
        <v>0</v>
      </c>
      <c r="AJ687">
        <v>0</v>
      </c>
      <c r="AK687">
        <v>6</v>
      </c>
      <c r="AL687" t="s">
        <v>13184</v>
      </c>
      <c r="AM687" t="s">
        <v>266</v>
      </c>
      <c r="AN687" t="s">
        <v>13185</v>
      </c>
      <c r="AO687" t="s">
        <v>13186</v>
      </c>
      <c r="AP687" t="s">
        <v>13187</v>
      </c>
      <c r="AQ687" t="s">
        <v>13188</v>
      </c>
      <c r="AR687" t="s">
        <v>13189</v>
      </c>
      <c r="AS687" t="s">
        <v>74</v>
      </c>
      <c r="AT687" t="s">
        <v>74</v>
      </c>
      <c r="AU687">
        <v>2020</v>
      </c>
      <c r="AV687" t="s">
        <v>74</v>
      </c>
      <c r="AW687" t="s">
        <v>74</v>
      </c>
      <c r="AX687" t="s">
        <v>74</v>
      </c>
      <c r="AY687" t="s">
        <v>74</v>
      </c>
      <c r="AZ687" t="s">
        <v>74</v>
      </c>
      <c r="BA687" t="s">
        <v>74</v>
      </c>
      <c r="BB687">
        <v>3502</v>
      </c>
      <c r="BC687">
        <v>3514</v>
      </c>
      <c r="BD687" t="s">
        <v>74</v>
      </c>
      <c r="BE687" t="s">
        <v>13190</v>
      </c>
      <c r="BF687" t="str">
        <f>HYPERLINK("http://dx.doi.org/10.33012/2020.17639","http://dx.doi.org/10.33012/2020.17639")</f>
        <v>http://dx.doi.org/10.33012/2020.17639</v>
      </c>
      <c r="BG687" t="s">
        <v>74</v>
      </c>
      <c r="BH687" t="s">
        <v>74</v>
      </c>
      <c r="BI687">
        <v>13</v>
      </c>
      <c r="BJ687" t="s">
        <v>13191</v>
      </c>
      <c r="BK687" t="s">
        <v>12464</v>
      </c>
      <c r="BL687" t="s">
        <v>13191</v>
      </c>
      <c r="BM687" t="s">
        <v>13192</v>
      </c>
      <c r="BN687" t="s">
        <v>74</v>
      </c>
      <c r="BO687" t="s">
        <v>74</v>
      </c>
      <c r="BP687" t="s">
        <v>74</v>
      </c>
      <c r="BQ687" t="s">
        <v>74</v>
      </c>
      <c r="BR687" t="s">
        <v>106</v>
      </c>
      <c r="BS687" t="s">
        <v>13193</v>
      </c>
      <c r="BT687" t="str">
        <f>HYPERLINK("https%3A%2F%2Fwww.webofscience.com%2Fwos%2Fwoscc%2Ffull-record%2FWOS:000632603503037","View Full Record in Web of Science")</f>
        <v>View Full Record in Web of Science</v>
      </c>
    </row>
    <row r="688" spans="1:72" x14ac:dyDescent="0.15">
      <c r="A688" t="s">
        <v>72</v>
      </c>
      <c r="B688" t="s">
        <v>13194</v>
      </c>
      <c r="C688" t="s">
        <v>74</v>
      </c>
      <c r="D688" t="s">
        <v>74</v>
      </c>
      <c r="E688" t="s">
        <v>74</v>
      </c>
      <c r="F688" t="s">
        <v>13195</v>
      </c>
      <c r="G688" t="s">
        <v>74</v>
      </c>
      <c r="H688" t="s">
        <v>74</v>
      </c>
      <c r="I688" t="s">
        <v>13196</v>
      </c>
      <c r="J688" t="s">
        <v>13197</v>
      </c>
      <c r="K688" t="s">
        <v>74</v>
      </c>
      <c r="L688" t="s">
        <v>74</v>
      </c>
      <c r="M688" t="s">
        <v>78</v>
      </c>
      <c r="N688" t="s">
        <v>79</v>
      </c>
      <c r="O688" t="s">
        <v>74</v>
      </c>
      <c r="P688" t="s">
        <v>74</v>
      </c>
      <c r="Q688" t="s">
        <v>74</v>
      </c>
      <c r="R688" t="s">
        <v>74</v>
      </c>
      <c r="S688" t="s">
        <v>74</v>
      </c>
      <c r="T688" t="s">
        <v>13198</v>
      </c>
      <c r="U688" t="s">
        <v>13199</v>
      </c>
      <c r="V688" t="s">
        <v>13200</v>
      </c>
      <c r="W688" t="s">
        <v>13201</v>
      </c>
      <c r="X688" t="s">
        <v>13202</v>
      </c>
      <c r="Y688" t="s">
        <v>13203</v>
      </c>
      <c r="Z688" t="s">
        <v>13204</v>
      </c>
      <c r="AA688" t="s">
        <v>13205</v>
      </c>
      <c r="AB688" t="s">
        <v>13206</v>
      </c>
      <c r="AC688" t="s">
        <v>13207</v>
      </c>
      <c r="AD688" t="s">
        <v>13208</v>
      </c>
      <c r="AE688" t="s">
        <v>13209</v>
      </c>
      <c r="AF688" t="s">
        <v>74</v>
      </c>
      <c r="AG688">
        <v>84</v>
      </c>
      <c r="AH688">
        <v>1</v>
      </c>
      <c r="AI688">
        <v>1</v>
      </c>
      <c r="AJ688">
        <v>1</v>
      </c>
      <c r="AK688">
        <v>5</v>
      </c>
      <c r="AL688" t="s">
        <v>13210</v>
      </c>
      <c r="AM688" t="s">
        <v>13211</v>
      </c>
      <c r="AN688" t="s">
        <v>13212</v>
      </c>
      <c r="AO688" t="s">
        <v>13213</v>
      </c>
      <c r="AP688" t="s">
        <v>13214</v>
      </c>
      <c r="AQ688" t="s">
        <v>74</v>
      </c>
      <c r="AR688" t="s">
        <v>13215</v>
      </c>
      <c r="AS688" t="s">
        <v>13216</v>
      </c>
      <c r="AT688" t="s">
        <v>74</v>
      </c>
      <c r="AU688">
        <v>2020</v>
      </c>
      <c r="AV688">
        <v>43</v>
      </c>
      <c r="AW688">
        <v>2</v>
      </c>
      <c r="AX688" t="s">
        <v>74</v>
      </c>
      <c r="AY688" t="s">
        <v>74</v>
      </c>
      <c r="AZ688" t="s">
        <v>74</v>
      </c>
      <c r="BA688" t="s">
        <v>74</v>
      </c>
      <c r="BB688">
        <v>195</v>
      </c>
      <c r="BC688">
        <v>207</v>
      </c>
      <c r="BD688" t="s">
        <v>74</v>
      </c>
      <c r="BE688" t="s">
        <v>13217</v>
      </c>
      <c r="BF688" t="str">
        <f>HYPERLINK("http://dx.doi.org/10.4461/GFDQ.2020.43.8","http://dx.doi.org/10.4461/GFDQ.2020.43.8")</f>
        <v>http://dx.doi.org/10.4461/GFDQ.2020.43.8</v>
      </c>
      <c r="BG688" t="s">
        <v>74</v>
      </c>
      <c r="BH688" t="s">
        <v>74</v>
      </c>
      <c r="BI688">
        <v>13</v>
      </c>
      <c r="BJ688" t="s">
        <v>12264</v>
      </c>
      <c r="BK688" t="s">
        <v>103</v>
      </c>
      <c r="BL688" t="s">
        <v>12265</v>
      </c>
      <c r="BM688" t="s">
        <v>13218</v>
      </c>
      <c r="BN688" t="s">
        <v>74</v>
      </c>
      <c r="BO688" t="s">
        <v>74</v>
      </c>
      <c r="BP688" t="s">
        <v>74</v>
      </c>
      <c r="BQ688" t="s">
        <v>74</v>
      </c>
      <c r="BR688" t="s">
        <v>106</v>
      </c>
      <c r="BS688" t="s">
        <v>13219</v>
      </c>
      <c r="BT688" t="str">
        <f>HYPERLINK("https%3A%2F%2Fwww.webofscience.com%2Fwos%2Fwoscc%2Ffull-record%2FWOS:000645287600001","View Full Record in Web of Science")</f>
        <v>View Full Record in Web of Science</v>
      </c>
    </row>
    <row r="689" spans="1:72" x14ac:dyDescent="0.15">
      <c r="A689" t="s">
        <v>12440</v>
      </c>
      <c r="B689" t="s">
        <v>13220</v>
      </c>
      <c r="C689" t="s">
        <v>74</v>
      </c>
      <c r="D689" t="s">
        <v>74</v>
      </c>
      <c r="E689" t="s">
        <v>12442</v>
      </c>
      <c r="F689" t="s">
        <v>13221</v>
      </c>
      <c r="G689" t="s">
        <v>74</v>
      </c>
      <c r="H689" t="s">
        <v>74</v>
      </c>
      <c r="I689" t="s">
        <v>13222</v>
      </c>
      <c r="J689" t="s">
        <v>13223</v>
      </c>
      <c r="K689" t="s">
        <v>74</v>
      </c>
      <c r="L689" t="s">
        <v>74</v>
      </c>
      <c r="M689" t="s">
        <v>78</v>
      </c>
      <c r="N689" t="s">
        <v>12447</v>
      </c>
      <c r="O689" t="s">
        <v>13224</v>
      </c>
      <c r="P689" t="s">
        <v>13225</v>
      </c>
      <c r="Q689" t="s">
        <v>13226</v>
      </c>
      <c r="R689" t="s">
        <v>74</v>
      </c>
      <c r="S689" t="s">
        <v>74</v>
      </c>
      <c r="T689" t="s">
        <v>74</v>
      </c>
      <c r="U689" t="s">
        <v>74</v>
      </c>
      <c r="V689" t="s">
        <v>13227</v>
      </c>
      <c r="W689" t="s">
        <v>13228</v>
      </c>
      <c r="X689" t="s">
        <v>13229</v>
      </c>
      <c r="Y689" t="s">
        <v>13230</v>
      </c>
      <c r="Z689" t="s">
        <v>13231</v>
      </c>
      <c r="AA689" t="s">
        <v>13232</v>
      </c>
      <c r="AB689" t="s">
        <v>13233</v>
      </c>
      <c r="AC689" t="s">
        <v>13234</v>
      </c>
      <c r="AD689" t="s">
        <v>1736</v>
      </c>
      <c r="AE689" t="s">
        <v>13235</v>
      </c>
      <c r="AF689" t="s">
        <v>74</v>
      </c>
      <c r="AG689">
        <v>3</v>
      </c>
      <c r="AH689">
        <v>0</v>
      </c>
      <c r="AI689">
        <v>0</v>
      </c>
      <c r="AJ689">
        <v>0</v>
      </c>
      <c r="AK689">
        <v>0</v>
      </c>
      <c r="AL689" t="s">
        <v>12442</v>
      </c>
      <c r="AM689" t="s">
        <v>166</v>
      </c>
      <c r="AN689" t="s">
        <v>12459</v>
      </c>
      <c r="AO689" t="s">
        <v>74</v>
      </c>
      <c r="AP689" t="s">
        <v>74</v>
      </c>
      <c r="AQ689" t="s">
        <v>13236</v>
      </c>
      <c r="AR689" t="s">
        <v>74</v>
      </c>
      <c r="AS689" t="s">
        <v>74</v>
      </c>
      <c r="AT689" t="s">
        <v>74</v>
      </c>
      <c r="AU689">
        <v>2020</v>
      </c>
      <c r="AV689" t="s">
        <v>74</v>
      </c>
      <c r="AW689" t="s">
        <v>74</v>
      </c>
      <c r="AX689" t="s">
        <v>74</v>
      </c>
      <c r="AY689" t="s">
        <v>74</v>
      </c>
      <c r="AZ689" t="s">
        <v>74</v>
      </c>
      <c r="BA689" t="s">
        <v>74</v>
      </c>
      <c r="BB689" t="s">
        <v>74</v>
      </c>
      <c r="BC689" t="s">
        <v>74</v>
      </c>
      <c r="BD689" t="s">
        <v>74</v>
      </c>
      <c r="BE689" t="s">
        <v>74</v>
      </c>
      <c r="BF689" t="s">
        <v>74</v>
      </c>
      <c r="BG689" t="s">
        <v>74</v>
      </c>
      <c r="BH689" t="s">
        <v>74</v>
      </c>
      <c r="BI689">
        <v>4</v>
      </c>
      <c r="BJ689" t="s">
        <v>13237</v>
      </c>
      <c r="BK689" t="s">
        <v>12464</v>
      </c>
      <c r="BL689" t="s">
        <v>13238</v>
      </c>
      <c r="BM689" t="s">
        <v>13239</v>
      </c>
      <c r="BN689" t="s">
        <v>74</v>
      </c>
      <c r="BO689" t="s">
        <v>74</v>
      </c>
      <c r="BP689" t="s">
        <v>74</v>
      </c>
      <c r="BQ689" t="s">
        <v>74</v>
      </c>
      <c r="BR689" t="s">
        <v>106</v>
      </c>
      <c r="BS689" t="s">
        <v>13240</v>
      </c>
      <c r="BT689" t="str">
        <f>HYPERLINK("https%3A%2F%2Fwww.webofscience.com%2Fwos%2Fwoscc%2Ffull-record%2FWOS:000632276400189","View Full Record in Web of Science")</f>
        <v>View Full Record in Web of Science</v>
      </c>
    </row>
    <row r="690" spans="1:72" x14ac:dyDescent="0.15">
      <c r="A690" t="s">
        <v>12440</v>
      </c>
      <c r="B690" t="s">
        <v>13241</v>
      </c>
      <c r="C690" t="s">
        <v>74</v>
      </c>
      <c r="D690" t="s">
        <v>74</v>
      </c>
      <c r="E690" t="s">
        <v>12442</v>
      </c>
      <c r="F690" t="s">
        <v>13242</v>
      </c>
      <c r="G690" t="s">
        <v>74</v>
      </c>
      <c r="H690" t="s">
        <v>74</v>
      </c>
      <c r="I690" t="s">
        <v>13243</v>
      </c>
      <c r="J690" t="s">
        <v>13223</v>
      </c>
      <c r="K690" t="s">
        <v>74</v>
      </c>
      <c r="L690" t="s">
        <v>74</v>
      </c>
      <c r="M690" t="s">
        <v>78</v>
      </c>
      <c r="N690" t="s">
        <v>12447</v>
      </c>
      <c r="O690" t="s">
        <v>13224</v>
      </c>
      <c r="P690" t="s">
        <v>13225</v>
      </c>
      <c r="Q690" t="s">
        <v>13226</v>
      </c>
      <c r="R690" t="s">
        <v>74</v>
      </c>
      <c r="S690" t="s">
        <v>74</v>
      </c>
      <c r="T690" t="s">
        <v>74</v>
      </c>
      <c r="U690" t="s">
        <v>74</v>
      </c>
      <c r="V690" t="s">
        <v>13244</v>
      </c>
      <c r="W690" t="s">
        <v>13245</v>
      </c>
      <c r="X690" t="s">
        <v>3637</v>
      </c>
      <c r="Y690" t="s">
        <v>13230</v>
      </c>
      <c r="Z690" t="s">
        <v>13246</v>
      </c>
      <c r="AA690" t="s">
        <v>13247</v>
      </c>
      <c r="AB690" t="s">
        <v>13248</v>
      </c>
      <c r="AC690" t="s">
        <v>74</v>
      </c>
      <c r="AD690" t="s">
        <v>74</v>
      </c>
      <c r="AE690" t="s">
        <v>74</v>
      </c>
      <c r="AF690" t="s">
        <v>74</v>
      </c>
      <c r="AG690">
        <v>5</v>
      </c>
      <c r="AH690">
        <v>0</v>
      </c>
      <c r="AI690">
        <v>0</v>
      </c>
      <c r="AJ690">
        <v>0</v>
      </c>
      <c r="AK690">
        <v>0</v>
      </c>
      <c r="AL690" t="s">
        <v>12442</v>
      </c>
      <c r="AM690" t="s">
        <v>166</v>
      </c>
      <c r="AN690" t="s">
        <v>12459</v>
      </c>
      <c r="AO690" t="s">
        <v>74</v>
      </c>
      <c r="AP690" t="s">
        <v>74</v>
      </c>
      <c r="AQ690" t="s">
        <v>13236</v>
      </c>
      <c r="AR690" t="s">
        <v>74</v>
      </c>
      <c r="AS690" t="s">
        <v>74</v>
      </c>
      <c r="AT690" t="s">
        <v>74</v>
      </c>
      <c r="AU690">
        <v>2020</v>
      </c>
      <c r="AV690" t="s">
        <v>74</v>
      </c>
      <c r="AW690" t="s">
        <v>74</v>
      </c>
      <c r="AX690" t="s">
        <v>74</v>
      </c>
      <c r="AY690" t="s">
        <v>74</v>
      </c>
      <c r="AZ690" t="s">
        <v>74</v>
      </c>
      <c r="BA690" t="s">
        <v>74</v>
      </c>
      <c r="BB690" t="s">
        <v>74</v>
      </c>
      <c r="BC690" t="s">
        <v>74</v>
      </c>
      <c r="BD690" t="s">
        <v>74</v>
      </c>
      <c r="BE690" t="s">
        <v>74</v>
      </c>
      <c r="BF690" t="s">
        <v>74</v>
      </c>
      <c r="BG690" t="s">
        <v>74</v>
      </c>
      <c r="BH690" t="s">
        <v>74</v>
      </c>
      <c r="BI690">
        <v>3</v>
      </c>
      <c r="BJ690" t="s">
        <v>13237</v>
      </c>
      <c r="BK690" t="s">
        <v>12464</v>
      </c>
      <c r="BL690" t="s">
        <v>13238</v>
      </c>
      <c r="BM690" t="s">
        <v>13239</v>
      </c>
      <c r="BN690" t="s">
        <v>74</v>
      </c>
      <c r="BO690" t="s">
        <v>74</v>
      </c>
      <c r="BP690" t="s">
        <v>74</v>
      </c>
      <c r="BQ690" t="s">
        <v>74</v>
      </c>
      <c r="BR690" t="s">
        <v>106</v>
      </c>
      <c r="BS690" t="s">
        <v>13249</v>
      </c>
      <c r="BT690" t="str">
        <f>HYPERLINK("https%3A%2F%2Fwww.webofscience.com%2Fwos%2Fwoscc%2Ffull-record%2FWOS:000632276400003","View Full Record in Web of Science")</f>
        <v>View Full Record in Web of Science</v>
      </c>
    </row>
    <row r="691" spans="1:72" x14ac:dyDescent="0.15">
      <c r="A691" t="s">
        <v>12440</v>
      </c>
      <c r="B691" t="s">
        <v>13250</v>
      </c>
      <c r="C691" t="s">
        <v>74</v>
      </c>
      <c r="D691" t="s">
        <v>74</v>
      </c>
      <c r="E691" t="s">
        <v>12442</v>
      </c>
      <c r="F691" t="s">
        <v>13251</v>
      </c>
      <c r="G691" t="s">
        <v>74</v>
      </c>
      <c r="H691" t="s">
        <v>74</v>
      </c>
      <c r="I691" t="s">
        <v>13252</v>
      </c>
      <c r="J691" t="s">
        <v>13223</v>
      </c>
      <c r="K691" t="s">
        <v>74</v>
      </c>
      <c r="L691" t="s">
        <v>74</v>
      </c>
      <c r="M691" t="s">
        <v>78</v>
      </c>
      <c r="N691" t="s">
        <v>12447</v>
      </c>
      <c r="O691" t="s">
        <v>13253</v>
      </c>
      <c r="P691" t="s">
        <v>13225</v>
      </c>
      <c r="Q691" t="s">
        <v>13226</v>
      </c>
      <c r="R691" t="s">
        <v>74</v>
      </c>
      <c r="S691" t="s">
        <v>74</v>
      </c>
      <c r="T691" t="s">
        <v>74</v>
      </c>
      <c r="U691" t="s">
        <v>74</v>
      </c>
      <c r="V691" t="s">
        <v>13254</v>
      </c>
      <c r="W691" t="s">
        <v>13255</v>
      </c>
      <c r="X691" t="s">
        <v>13256</v>
      </c>
      <c r="Y691" t="s">
        <v>13257</v>
      </c>
      <c r="Z691" t="s">
        <v>13258</v>
      </c>
      <c r="AA691" t="s">
        <v>13259</v>
      </c>
      <c r="AB691" t="s">
        <v>13260</v>
      </c>
      <c r="AC691" t="s">
        <v>13261</v>
      </c>
      <c r="AD691" t="s">
        <v>13262</v>
      </c>
      <c r="AE691" t="s">
        <v>13263</v>
      </c>
      <c r="AF691" t="s">
        <v>74</v>
      </c>
      <c r="AG691">
        <v>13</v>
      </c>
      <c r="AH691">
        <v>0</v>
      </c>
      <c r="AI691">
        <v>0</v>
      </c>
      <c r="AJ691">
        <v>0</v>
      </c>
      <c r="AK691">
        <v>1</v>
      </c>
      <c r="AL691" t="s">
        <v>12442</v>
      </c>
      <c r="AM691" t="s">
        <v>166</v>
      </c>
      <c r="AN691" t="s">
        <v>12459</v>
      </c>
      <c r="AO691" t="s">
        <v>74</v>
      </c>
      <c r="AP691" t="s">
        <v>74</v>
      </c>
      <c r="AQ691" t="s">
        <v>13236</v>
      </c>
      <c r="AR691" t="s">
        <v>74</v>
      </c>
      <c r="AS691" t="s">
        <v>74</v>
      </c>
      <c r="AT691" t="s">
        <v>74</v>
      </c>
      <c r="AU691">
        <v>2020</v>
      </c>
      <c r="AV691" t="s">
        <v>74</v>
      </c>
      <c r="AW691" t="s">
        <v>74</v>
      </c>
      <c r="AX691" t="s">
        <v>74</v>
      </c>
      <c r="AY691" t="s">
        <v>74</v>
      </c>
      <c r="AZ691" t="s">
        <v>74</v>
      </c>
      <c r="BA691" t="s">
        <v>74</v>
      </c>
      <c r="BB691" t="s">
        <v>74</v>
      </c>
      <c r="BC691" t="s">
        <v>74</v>
      </c>
      <c r="BD691" t="s">
        <v>74</v>
      </c>
      <c r="BE691" t="s">
        <v>13264</v>
      </c>
      <c r="BF691" t="str">
        <f>HYPERLINK("http://dx.doi.org/10.23919/ursigass49373.2020.9232229","http://dx.doi.org/10.23919/ursigass49373.2020.9232229")</f>
        <v>http://dx.doi.org/10.23919/ursigass49373.2020.9232229</v>
      </c>
      <c r="BG691" t="s">
        <v>74</v>
      </c>
      <c r="BH691" t="s">
        <v>74</v>
      </c>
      <c r="BI691">
        <v>4</v>
      </c>
      <c r="BJ691" t="s">
        <v>13237</v>
      </c>
      <c r="BK691" t="s">
        <v>12464</v>
      </c>
      <c r="BL691" t="s">
        <v>13238</v>
      </c>
      <c r="BM691" t="s">
        <v>13239</v>
      </c>
      <c r="BN691" t="s">
        <v>74</v>
      </c>
      <c r="BO691" t="s">
        <v>74</v>
      </c>
      <c r="BP691" t="s">
        <v>74</v>
      </c>
      <c r="BQ691" t="s">
        <v>74</v>
      </c>
      <c r="BR691" t="s">
        <v>106</v>
      </c>
      <c r="BS691" t="s">
        <v>13265</v>
      </c>
      <c r="BT691" t="str">
        <f>HYPERLINK("https%3A%2F%2Fwww.webofscience.com%2Fwos%2Fwoscc%2Ffull-record%2FWOS:000632276400155","View Full Record in Web of Science")</f>
        <v>View Full Record in Web of Science</v>
      </c>
    </row>
    <row r="692" spans="1:72" x14ac:dyDescent="0.15">
      <c r="A692" t="s">
        <v>12440</v>
      </c>
      <c r="B692" t="s">
        <v>13266</v>
      </c>
      <c r="C692" t="s">
        <v>74</v>
      </c>
      <c r="D692" t="s">
        <v>74</v>
      </c>
      <c r="E692" t="s">
        <v>12442</v>
      </c>
      <c r="F692" t="s">
        <v>13267</v>
      </c>
      <c r="G692" t="s">
        <v>74</v>
      </c>
      <c r="H692" t="s">
        <v>74</v>
      </c>
      <c r="I692" t="s">
        <v>13268</v>
      </c>
      <c r="J692" t="s">
        <v>13223</v>
      </c>
      <c r="K692" t="s">
        <v>74</v>
      </c>
      <c r="L692" t="s">
        <v>74</v>
      </c>
      <c r="M692" t="s">
        <v>78</v>
      </c>
      <c r="N692" t="s">
        <v>12447</v>
      </c>
      <c r="O692" t="s">
        <v>13253</v>
      </c>
      <c r="P692" t="s">
        <v>13225</v>
      </c>
      <c r="Q692" t="s">
        <v>13226</v>
      </c>
      <c r="R692" t="s">
        <v>74</v>
      </c>
      <c r="S692" t="s">
        <v>74</v>
      </c>
      <c r="T692" t="s">
        <v>74</v>
      </c>
      <c r="U692" t="s">
        <v>74</v>
      </c>
      <c r="V692" t="s">
        <v>13269</v>
      </c>
      <c r="W692" t="s">
        <v>13270</v>
      </c>
      <c r="X692" t="s">
        <v>13271</v>
      </c>
      <c r="Y692" t="s">
        <v>13272</v>
      </c>
      <c r="Z692" t="s">
        <v>74</v>
      </c>
      <c r="AA692" t="s">
        <v>13273</v>
      </c>
      <c r="AB692" t="s">
        <v>6504</v>
      </c>
      <c r="AC692" t="s">
        <v>13274</v>
      </c>
      <c r="AD692" t="s">
        <v>6506</v>
      </c>
      <c r="AE692" t="s">
        <v>13275</v>
      </c>
      <c r="AF692" t="s">
        <v>74</v>
      </c>
      <c r="AG692">
        <v>5</v>
      </c>
      <c r="AH692">
        <v>0</v>
      </c>
      <c r="AI692">
        <v>0</v>
      </c>
      <c r="AJ692">
        <v>0</v>
      </c>
      <c r="AK692">
        <v>0</v>
      </c>
      <c r="AL692" t="s">
        <v>12442</v>
      </c>
      <c r="AM692" t="s">
        <v>166</v>
      </c>
      <c r="AN692" t="s">
        <v>12459</v>
      </c>
      <c r="AO692" t="s">
        <v>74</v>
      </c>
      <c r="AP692" t="s">
        <v>74</v>
      </c>
      <c r="AQ692" t="s">
        <v>13236</v>
      </c>
      <c r="AR692" t="s">
        <v>74</v>
      </c>
      <c r="AS692" t="s">
        <v>74</v>
      </c>
      <c r="AT692" t="s">
        <v>74</v>
      </c>
      <c r="AU692">
        <v>2020</v>
      </c>
      <c r="AV692" t="s">
        <v>74</v>
      </c>
      <c r="AW692" t="s">
        <v>74</v>
      </c>
      <c r="AX692" t="s">
        <v>74</v>
      </c>
      <c r="AY692" t="s">
        <v>74</v>
      </c>
      <c r="AZ692" t="s">
        <v>74</v>
      </c>
      <c r="BA692" t="s">
        <v>74</v>
      </c>
      <c r="BB692" t="s">
        <v>74</v>
      </c>
      <c r="BC692" t="s">
        <v>74</v>
      </c>
      <c r="BD692" t="s">
        <v>74</v>
      </c>
      <c r="BE692" t="s">
        <v>13276</v>
      </c>
      <c r="BF692" t="str">
        <f>HYPERLINK("http://dx.doi.org/10.23919/ursigass49373.2020.9232328","http://dx.doi.org/10.23919/ursigass49373.2020.9232328")</f>
        <v>http://dx.doi.org/10.23919/ursigass49373.2020.9232328</v>
      </c>
      <c r="BG692" t="s">
        <v>74</v>
      </c>
      <c r="BH692" t="s">
        <v>74</v>
      </c>
      <c r="BI692">
        <v>4</v>
      </c>
      <c r="BJ692" t="s">
        <v>13237</v>
      </c>
      <c r="BK692" t="s">
        <v>12464</v>
      </c>
      <c r="BL692" t="s">
        <v>13238</v>
      </c>
      <c r="BM692" t="s">
        <v>13239</v>
      </c>
      <c r="BN692" t="s">
        <v>74</v>
      </c>
      <c r="BO692" t="s">
        <v>298</v>
      </c>
      <c r="BP692" t="s">
        <v>74</v>
      </c>
      <c r="BQ692" t="s">
        <v>74</v>
      </c>
      <c r="BR692" t="s">
        <v>106</v>
      </c>
      <c r="BS692" t="s">
        <v>13277</v>
      </c>
      <c r="BT692" t="str">
        <f>HYPERLINK("https%3A%2F%2Fwww.webofscience.com%2Fwos%2Fwoscc%2Ffull-record%2FWOS:000632276400241","View Full Record in Web of Science")</f>
        <v>View Full Record in Web of Science</v>
      </c>
    </row>
    <row r="693" spans="1:72" x14ac:dyDescent="0.15">
      <c r="A693" t="s">
        <v>12556</v>
      </c>
      <c r="B693" t="s">
        <v>13278</v>
      </c>
      <c r="C693" t="s">
        <v>74</v>
      </c>
      <c r="D693" t="s">
        <v>13279</v>
      </c>
      <c r="E693" t="s">
        <v>74</v>
      </c>
      <c r="F693" t="s">
        <v>13280</v>
      </c>
      <c r="G693" t="s">
        <v>74</v>
      </c>
      <c r="H693" t="s">
        <v>74</v>
      </c>
      <c r="I693" t="s">
        <v>13281</v>
      </c>
      <c r="J693" t="s">
        <v>13282</v>
      </c>
      <c r="K693" t="s">
        <v>13283</v>
      </c>
      <c r="L693" t="s">
        <v>74</v>
      </c>
      <c r="M693" t="s">
        <v>78</v>
      </c>
      <c r="N693" t="s">
        <v>12422</v>
      </c>
      <c r="O693" t="s">
        <v>74</v>
      </c>
      <c r="P693" t="s">
        <v>74</v>
      </c>
      <c r="Q693" t="s">
        <v>74</v>
      </c>
      <c r="R693" t="s">
        <v>74</v>
      </c>
      <c r="S693" t="s">
        <v>74</v>
      </c>
      <c r="T693" t="s">
        <v>13284</v>
      </c>
      <c r="U693" t="s">
        <v>74</v>
      </c>
      <c r="V693" t="s">
        <v>13285</v>
      </c>
      <c r="W693" t="s">
        <v>13286</v>
      </c>
      <c r="X693" t="s">
        <v>13287</v>
      </c>
      <c r="Y693" t="s">
        <v>13288</v>
      </c>
      <c r="Z693" t="s">
        <v>13289</v>
      </c>
      <c r="AA693" t="s">
        <v>74</v>
      </c>
      <c r="AB693" t="s">
        <v>13290</v>
      </c>
      <c r="AC693" t="s">
        <v>13291</v>
      </c>
      <c r="AD693" t="s">
        <v>13292</v>
      </c>
      <c r="AE693" t="s">
        <v>13293</v>
      </c>
      <c r="AF693" t="s">
        <v>74</v>
      </c>
      <c r="AG693">
        <v>47</v>
      </c>
      <c r="AH693">
        <v>1</v>
      </c>
      <c r="AI693">
        <v>2</v>
      </c>
      <c r="AJ693">
        <v>1</v>
      </c>
      <c r="AK693">
        <v>3</v>
      </c>
      <c r="AL693" t="s">
        <v>12570</v>
      </c>
      <c r="AM693" t="s">
        <v>12571</v>
      </c>
      <c r="AN693" t="s">
        <v>12572</v>
      </c>
      <c r="AO693" t="s">
        <v>13294</v>
      </c>
      <c r="AP693" t="s">
        <v>13295</v>
      </c>
      <c r="AQ693" t="s">
        <v>13296</v>
      </c>
      <c r="AR693" t="s">
        <v>13297</v>
      </c>
      <c r="AS693" t="s">
        <v>13298</v>
      </c>
      <c r="AT693" t="s">
        <v>74</v>
      </c>
      <c r="AU693">
        <v>2020</v>
      </c>
      <c r="AV693" t="s">
        <v>74</v>
      </c>
      <c r="AW693" t="s">
        <v>74</v>
      </c>
      <c r="AX693" t="s">
        <v>74</v>
      </c>
      <c r="AY693" t="s">
        <v>74</v>
      </c>
      <c r="AZ693" t="s">
        <v>74</v>
      </c>
      <c r="BA693" t="s">
        <v>74</v>
      </c>
      <c r="BB693">
        <v>15</v>
      </c>
      <c r="BC693">
        <v>29</v>
      </c>
      <c r="BD693" t="s">
        <v>74</v>
      </c>
      <c r="BE693" t="s">
        <v>13299</v>
      </c>
      <c r="BF693" t="str">
        <f>HYPERLINK("http://dx.doi.org/10.1007/978-3-030-24254-1_2","http://dx.doi.org/10.1007/978-3-030-24254-1_2")</f>
        <v>http://dx.doi.org/10.1007/978-3-030-24254-1_2</v>
      </c>
      <c r="BG693" t="s">
        <v>13300</v>
      </c>
      <c r="BH693" t="s">
        <v>74</v>
      </c>
      <c r="BI693">
        <v>15</v>
      </c>
      <c r="BJ693" t="s">
        <v>13301</v>
      </c>
      <c r="BK693" t="s">
        <v>13302</v>
      </c>
      <c r="BL693" t="s">
        <v>13303</v>
      </c>
      <c r="BM693" t="s">
        <v>13304</v>
      </c>
      <c r="BN693" t="s">
        <v>74</v>
      </c>
      <c r="BO693" t="s">
        <v>74</v>
      </c>
      <c r="BP693" t="s">
        <v>74</v>
      </c>
      <c r="BQ693" t="s">
        <v>74</v>
      </c>
      <c r="BR693" t="s">
        <v>106</v>
      </c>
      <c r="BS693" t="s">
        <v>13305</v>
      </c>
      <c r="BT693" t="str">
        <f>HYPERLINK("https%3A%2F%2Fwww.webofscience.com%2Fwos%2Fwoscc%2Ffull-record%2FWOS:000637313800004","View Full Record in Web of Science")</f>
        <v>View Full Record in Web of Science</v>
      </c>
    </row>
    <row r="694" spans="1:72" x14ac:dyDescent="0.15">
      <c r="A694" t="s">
        <v>12556</v>
      </c>
      <c r="B694" t="s">
        <v>13306</v>
      </c>
      <c r="C694" t="s">
        <v>74</v>
      </c>
      <c r="D694" t="s">
        <v>13279</v>
      </c>
      <c r="E694" t="s">
        <v>74</v>
      </c>
      <c r="F694" t="s">
        <v>13307</v>
      </c>
      <c r="G694" t="s">
        <v>74</v>
      </c>
      <c r="H694" t="s">
        <v>74</v>
      </c>
      <c r="I694" t="s">
        <v>13308</v>
      </c>
      <c r="J694" t="s">
        <v>13282</v>
      </c>
      <c r="K694" t="s">
        <v>13283</v>
      </c>
      <c r="L694" t="s">
        <v>74</v>
      </c>
      <c r="M694" t="s">
        <v>78</v>
      </c>
      <c r="N694" t="s">
        <v>12422</v>
      </c>
      <c r="O694" t="s">
        <v>74</v>
      </c>
      <c r="P694" t="s">
        <v>74</v>
      </c>
      <c r="Q694" t="s">
        <v>74</v>
      </c>
      <c r="R694" t="s">
        <v>74</v>
      </c>
      <c r="S694" t="s">
        <v>74</v>
      </c>
      <c r="T694" t="s">
        <v>13309</v>
      </c>
      <c r="U694" t="s">
        <v>74</v>
      </c>
      <c r="V694" t="s">
        <v>13310</v>
      </c>
      <c r="W694" t="s">
        <v>13311</v>
      </c>
      <c r="X694" t="s">
        <v>13312</v>
      </c>
      <c r="Y694" t="s">
        <v>13313</v>
      </c>
      <c r="Z694" t="s">
        <v>13314</v>
      </c>
      <c r="AA694" t="s">
        <v>74</v>
      </c>
      <c r="AB694" t="s">
        <v>13315</v>
      </c>
      <c r="AC694" t="s">
        <v>74</v>
      </c>
      <c r="AD694" t="s">
        <v>74</v>
      </c>
      <c r="AE694" t="s">
        <v>74</v>
      </c>
      <c r="AF694" t="s">
        <v>74</v>
      </c>
      <c r="AG694">
        <v>28</v>
      </c>
      <c r="AH694">
        <v>0</v>
      </c>
      <c r="AI694">
        <v>0</v>
      </c>
      <c r="AJ694">
        <v>1</v>
      </c>
      <c r="AK694">
        <v>2</v>
      </c>
      <c r="AL694" t="s">
        <v>12570</v>
      </c>
      <c r="AM694" t="s">
        <v>12571</v>
      </c>
      <c r="AN694" t="s">
        <v>12572</v>
      </c>
      <c r="AO694" t="s">
        <v>13294</v>
      </c>
      <c r="AP694" t="s">
        <v>13295</v>
      </c>
      <c r="AQ694" t="s">
        <v>13296</v>
      </c>
      <c r="AR694" t="s">
        <v>13297</v>
      </c>
      <c r="AS694" t="s">
        <v>13298</v>
      </c>
      <c r="AT694" t="s">
        <v>74</v>
      </c>
      <c r="AU694">
        <v>2020</v>
      </c>
      <c r="AV694" t="s">
        <v>74</v>
      </c>
      <c r="AW694" t="s">
        <v>74</v>
      </c>
      <c r="AX694" t="s">
        <v>74</v>
      </c>
      <c r="AY694" t="s">
        <v>74</v>
      </c>
      <c r="AZ694" t="s">
        <v>74</v>
      </c>
      <c r="BA694" t="s">
        <v>74</v>
      </c>
      <c r="BB694">
        <v>171</v>
      </c>
      <c r="BC694">
        <v>181</v>
      </c>
      <c r="BD694" t="s">
        <v>74</v>
      </c>
      <c r="BE694" t="s">
        <v>13316</v>
      </c>
      <c r="BF694" t="str">
        <f>HYPERLINK("http://dx.doi.org/10.1007/978-3-030-24254-1_11","http://dx.doi.org/10.1007/978-3-030-24254-1_11")</f>
        <v>http://dx.doi.org/10.1007/978-3-030-24254-1_11</v>
      </c>
      <c r="BG694" t="s">
        <v>13300</v>
      </c>
      <c r="BH694" t="s">
        <v>74</v>
      </c>
      <c r="BI694">
        <v>11</v>
      </c>
      <c r="BJ694" t="s">
        <v>13301</v>
      </c>
      <c r="BK694" t="s">
        <v>13302</v>
      </c>
      <c r="BL694" t="s">
        <v>13303</v>
      </c>
      <c r="BM694" t="s">
        <v>13304</v>
      </c>
      <c r="BN694" t="s">
        <v>74</v>
      </c>
      <c r="BO694" t="s">
        <v>74</v>
      </c>
      <c r="BP694" t="s">
        <v>74</v>
      </c>
      <c r="BQ694" t="s">
        <v>74</v>
      </c>
      <c r="BR694" t="s">
        <v>106</v>
      </c>
      <c r="BS694" t="s">
        <v>13317</v>
      </c>
      <c r="BT694" t="str">
        <f>HYPERLINK("https%3A%2F%2Fwww.webofscience.com%2Fwos%2Fwoscc%2Ffull-record%2FWOS:000637313800013","View Full Record in Web of Science")</f>
        <v>View Full Record in Web of Science</v>
      </c>
    </row>
    <row r="695" spans="1:72" x14ac:dyDescent="0.15">
      <c r="A695" t="s">
        <v>12416</v>
      </c>
      <c r="B695" t="s">
        <v>13318</v>
      </c>
      <c r="C695" t="s">
        <v>74</v>
      </c>
      <c r="D695" t="s">
        <v>13319</v>
      </c>
      <c r="E695" t="s">
        <v>74</v>
      </c>
      <c r="F695" t="s">
        <v>13320</v>
      </c>
      <c r="G695" t="s">
        <v>74</v>
      </c>
      <c r="H695" t="s">
        <v>74</v>
      </c>
      <c r="I695" t="s">
        <v>13321</v>
      </c>
      <c r="J695" t="s">
        <v>13322</v>
      </c>
      <c r="K695" t="s">
        <v>13323</v>
      </c>
      <c r="L695" t="s">
        <v>74</v>
      </c>
      <c r="M695" t="s">
        <v>78</v>
      </c>
      <c r="N695" t="s">
        <v>12422</v>
      </c>
      <c r="O695" t="s">
        <v>74</v>
      </c>
      <c r="P695" t="s">
        <v>74</v>
      </c>
      <c r="Q695" t="s">
        <v>74</v>
      </c>
      <c r="R695" t="s">
        <v>74</v>
      </c>
      <c r="S695" t="s">
        <v>74</v>
      </c>
      <c r="T695" t="s">
        <v>13324</v>
      </c>
      <c r="U695" t="s">
        <v>74</v>
      </c>
      <c r="V695" t="s">
        <v>13325</v>
      </c>
      <c r="W695" t="s">
        <v>13326</v>
      </c>
      <c r="X695" t="s">
        <v>13327</v>
      </c>
      <c r="Y695" t="s">
        <v>13328</v>
      </c>
      <c r="Z695" t="s">
        <v>13329</v>
      </c>
      <c r="AA695" t="s">
        <v>13330</v>
      </c>
      <c r="AB695" t="s">
        <v>13331</v>
      </c>
      <c r="AC695" t="s">
        <v>74</v>
      </c>
      <c r="AD695" t="s">
        <v>74</v>
      </c>
      <c r="AE695" t="s">
        <v>74</v>
      </c>
      <c r="AF695" t="s">
        <v>74</v>
      </c>
      <c r="AG695">
        <v>4</v>
      </c>
      <c r="AH695">
        <v>3</v>
      </c>
      <c r="AI695">
        <v>3</v>
      </c>
      <c r="AJ695">
        <v>0</v>
      </c>
      <c r="AK695">
        <v>0</v>
      </c>
      <c r="AL695" t="s">
        <v>13332</v>
      </c>
      <c r="AM695" t="s">
        <v>13333</v>
      </c>
      <c r="AN695" t="s">
        <v>13334</v>
      </c>
      <c r="AO695" t="s">
        <v>74</v>
      </c>
      <c r="AP695" t="s">
        <v>74</v>
      </c>
      <c r="AQ695" t="s">
        <v>13335</v>
      </c>
      <c r="AR695" t="s">
        <v>13336</v>
      </c>
      <c r="AS695" t="s">
        <v>74</v>
      </c>
      <c r="AT695" t="s">
        <v>74</v>
      </c>
      <c r="AU695">
        <v>2020</v>
      </c>
      <c r="AV695">
        <v>56</v>
      </c>
      <c r="AW695" t="s">
        <v>74</v>
      </c>
      <c r="AX695" t="s">
        <v>74</v>
      </c>
      <c r="AY695" t="s">
        <v>74</v>
      </c>
      <c r="AZ695" t="s">
        <v>74</v>
      </c>
      <c r="BA695" t="s">
        <v>74</v>
      </c>
      <c r="BB695">
        <v>161</v>
      </c>
      <c r="BC695">
        <v>170</v>
      </c>
      <c r="BD695" t="s">
        <v>74</v>
      </c>
      <c r="BE695" t="s">
        <v>74</v>
      </c>
      <c r="BF695" t="s">
        <v>74</v>
      </c>
      <c r="BG695" t="s">
        <v>74</v>
      </c>
      <c r="BH695" t="s">
        <v>74</v>
      </c>
      <c r="BI695">
        <v>10</v>
      </c>
      <c r="BJ695" t="s">
        <v>10665</v>
      </c>
      <c r="BK695" t="s">
        <v>12436</v>
      </c>
      <c r="BL695" t="s">
        <v>219</v>
      </c>
      <c r="BM695" t="s">
        <v>13337</v>
      </c>
      <c r="BN695" t="s">
        <v>74</v>
      </c>
      <c r="BO695" t="s">
        <v>74</v>
      </c>
      <c r="BP695" t="s">
        <v>74</v>
      </c>
      <c r="BQ695" t="s">
        <v>74</v>
      </c>
      <c r="BR695" t="s">
        <v>106</v>
      </c>
      <c r="BS695" t="s">
        <v>13338</v>
      </c>
      <c r="BT695" t="str">
        <f>HYPERLINK("https%3A%2F%2Fwww.webofscience.com%2Fwos%2Fwoscc%2Ffull-record%2FWOS:000637180200015","View Full Record in Web of Science")</f>
        <v>View Full Record in Web of Science</v>
      </c>
    </row>
    <row r="696" spans="1:72" x14ac:dyDescent="0.15">
      <c r="A696" t="s">
        <v>12416</v>
      </c>
      <c r="B696" t="s">
        <v>13339</v>
      </c>
      <c r="C696" t="s">
        <v>74</v>
      </c>
      <c r="D696" t="s">
        <v>13319</v>
      </c>
      <c r="E696" t="s">
        <v>74</v>
      </c>
      <c r="F696" t="s">
        <v>13340</v>
      </c>
      <c r="G696" t="s">
        <v>74</v>
      </c>
      <c r="H696" t="s">
        <v>74</v>
      </c>
      <c r="I696" t="s">
        <v>13341</v>
      </c>
      <c r="J696" t="s">
        <v>13322</v>
      </c>
      <c r="K696" t="s">
        <v>13323</v>
      </c>
      <c r="L696" t="s">
        <v>74</v>
      </c>
      <c r="M696" t="s">
        <v>78</v>
      </c>
      <c r="N696" t="s">
        <v>12422</v>
      </c>
      <c r="O696" t="s">
        <v>74</v>
      </c>
      <c r="P696" t="s">
        <v>74</v>
      </c>
      <c r="Q696" t="s">
        <v>74</v>
      </c>
      <c r="R696" t="s">
        <v>74</v>
      </c>
      <c r="S696" t="s">
        <v>74</v>
      </c>
      <c r="T696" t="s">
        <v>13342</v>
      </c>
      <c r="U696" t="s">
        <v>74</v>
      </c>
      <c r="V696" t="s">
        <v>13343</v>
      </c>
      <c r="W696" t="s">
        <v>13344</v>
      </c>
      <c r="X696" t="s">
        <v>13345</v>
      </c>
      <c r="Y696" t="s">
        <v>13346</v>
      </c>
      <c r="Z696" t="s">
        <v>13347</v>
      </c>
      <c r="AA696" t="s">
        <v>13348</v>
      </c>
      <c r="AB696" t="s">
        <v>13349</v>
      </c>
      <c r="AC696" t="s">
        <v>74</v>
      </c>
      <c r="AD696" t="s">
        <v>74</v>
      </c>
      <c r="AE696" t="s">
        <v>74</v>
      </c>
      <c r="AF696" t="s">
        <v>74</v>
      </c>
      <c r="AG696">
        <v>15</v>
      </c>
      <c r="AH696">
        <v>10</v>
      </c>
      <c r="AI696">
        <v>10</v>
      </c>
      <c r="AJ696">
        <v>0</v>
      </c>
      <c r="AK696">
        <v>0</v>
      </c>
      <c r="AL696" t="s">
        <v>13332</v>
      </c>
      <c r="AM696" t="s">
        <v>13333</v>
      </c>
      <c r="AN696" t="s">
        <v>13334</v>
      </c>
      <c r="AO696" t="s">
        <v>74</v>
      </c>
      <c r="AP696" t="s">
        <v>74</v>
      </c>
      <c r="AQ696" t="s">
        <v>13335</v>
      </c>
      <c r="AR696" t="s">
        <v>13336</v>
      </c>
      <c r="AS696" t="s">
        <v>74</v>
      </c>
      <c r="AT696" t="s">
        <v>74</v>
      </c>
      <c r="AU696">
        <v>2020</v>
      </c>
      <c r="AV696">
        <v>56</v>
      </c>
      <c r="AW696" t="s">
        <v>74</v>
      </c>
      <c r="AX696" t="s">
        <v>74</v>
      </c>
      <c r="AY696" t="s">
        <v>74</v>
      </c>
      <c r="AZ696" t="s">
        <v>74</v>
      </c>
      <c r="BA696" t="s">
        <v>74</v>
      </c>
      <c r="BB696">
        <v>183</v>
      </c>
      <c r="BC696">
        <v>191</v>
      </c>
      <c r="BD696" t="s">
        <v>74</v>
      </c>
      <c r="BE696" t="s">
        <v>74</v>
      </c>
      <c r="BF696" t="s">
        <v>74</v>
      </c>
      <c r="BG696" t="s">
        <v>74</v>
      </c>
      <c r="BH696" t="s">
        <v>74</v>
      </c>
      <c r="BI696">
        <v>9</v>
      </c>
      <c r="BJ696" t="s">
        <v>10665</v>
      </c>
      <c r="BK696" t="s">
        <v>12436</v>
      </c>
      <c r="BL696" t="s">
        <v>219</v>
      </c>
      <c r="BM696" t="s">
        <v>13337</v>
      </c>
      <c r="BN696" t="s">
        <v>74</v>
      </c>
      <c r="BO696" t="s">
        <v>74</v>
      </c>
      <c r="BP696" t="s">
        <v>74</v>
      </c>
      <c r="BQ696" t="s">
        <v>74</v>
      </c>
      <c r="BR696" t="s">
        <v>106</v>
      </c>
      <c r="BS696" t="s">
        <v>13350</v>
      </c>
      <c r="BT696" t="str">
        <f>HYPERLINK("https%3A%2F%2Fwww.webofscience.com%2Fwos%2Fwoscc%2Ffull-record%2FWOS:000637180200017","View Full Record in Web of Science")</f>
        <v>View Full Record in Web of Science</v>
      </c>
    </row>
    <row r="697" spans="1:72" x14ac:dyDescent="0.15">
      <c r="A697" t="s">
        <v>12440</v>
      </c>
      <c r="B697" t="s">
        <v>13351</v>
      </c>
      <c r="C697" t="s">
        <v>74</v>
      </c>
      <c r="D697" t="s">
        <v>74</v>
      </c>
      <c r="E697" t="s">
        <v>12442</v>
      </c>
      <c r="F697" t="s">
        <v>13352</v>
      </c>
      <c r="G697" t="s">
        <v>74</v>
      </c>
      <c r="H697" t="s">
        <v>74</v>
      </c>
      <c r="I697" t="s">
        <v>13353</v>
      </c>
      <c r="J697" t="s">
        <v>13354</v>
      </c>
      <c r="K697" t="s">
        <v>74</v>
      </c>
      <c r="L697" t="s">
        <v>74</v>
      </c>
      <c r="M697" t="s">
        <v>78</v>
      </c>
      <c r="N697" t="s">
        <v>12447</v>
      </c>
      <c r="O697" t="s">
        <v>13355</v>
      </c>
      <c r="P697" t="s">
        <v>13356</v>
      </c>
      <c r="Q697" t="s">
        <v>13357</v>
      </c>
      <c r="R697" t="s">
        <v>74</v>
      </c>
      <c r="S697" t="s">
        <v>74</v>
      </c>
      <c r="T697" t="s">
        <v>13358</v>
      </c>
      <c r="U697" t="s">
        <v>13359</v>
      </c>
      <c r="V697" t="s">
        <v>13360</v>
      </c>
      <c r="W697" t="s">
        <v>13361</v>
      </c>
      <c r="X697" t="s">
        <v>13362</v>
      </c>
      <c r="Y697" t="s">
        <v>13363</v>
      </c>
      <c r="Z697" t="s">
        <v>13364</v>
      </c>
      <c r="AA697" t="s">
        <v>13365</v>
      </c>
      <c r="AB697" t="s">
        <v>13366</v>
      </c>
      <c r="AC697" t="s">
        <v>13367</v>
      </c>
      <c r="AD697" t="s">
        <v>13368</v>
      </c>
      <c r="AE697" t="s">
        <v>13369</v>
      </c>
      <c r="AF697" t="s">
        <v>74</v>
      </c>
      <c r="AG697">
        <v>33</v>
      </c>
      <c r="AH697">
        <v>0</v>
      </c>
      <c r="AI697">
        <v>0</v>
      </c>
      <c r="AJ697">
        <v>1</v>
      </c>
      <c r="AK697">
        <v>3</v>
      </c>
      <c r="AL697" t="s">
        <v>12442</v>
      </c>
      <c r="AM697" t="s">
        <v>166</v>
      </c>
      <c r="AN697" t="s">
        <v>12459</v>
      </c>
      <c r="AO697" t="s">
        <v>74</v>
      </c>
      <c r="AP697" t="s">
        <v>74</v>
      </c>
      <c r="AQ697" t="s">
        <v>13370</v>
      </c>
      <c r="AR697" t="s">
        <v>74</v>
      </c>
      <c r="AS697" t="s">
        <v>74</v>
      </c>
      <c r="AT697" t="s">
        <v>74</v>
      </c>
      <c r="AU697">
        <v>2020</v>
      </c>
      <c r="AV697" t="s">
        <v>74</v>
      </c>
      <c r="AW697" t="s">
        <v>74</v>
      </c>
      <c r="AX697" t="s">
        <v>74</v>
      </c>
      <c r="AY697" t="s">
        <v>74</v>
      </c>
      <c r="AZ697" t="s">
        <v>74</v>
      </c>
      <c r="BA697" t="s">
        <v>74</v>
      </c>
      <c r="BB697">
        <v>296</v>
      </c>
      <c r="BC697">
        <v>301</v>
      </c>
      <c r="BD697" t="s">
        <v>74</v>
      </c>
      <c r="BE697" t="s">
        <v>13371</v>
      </c>
      <c r="BF697" t="str">
        <f>HYPERLINK("http://dx.doi.org/10.5194/isprs-annals-iv-3-w2-2020-137-2020","http://dx.doi.org/10.5194/isprs-annals-iv-3-w2-2020-137-2020")</f>
        <v>http://dx.doi.org/10.5194/isprs-annals-iv-3-w2-2020-137-2020</v>
      </c>
      <c r="BG697" t="s">
        <v>74</v>
      </c>
      <c r="BH697" t="s">
        <v>74</v>
      </c>
      <c r="BI697">
        <v>6</v>
      </c>
      <c r="BJ697" t="s">
        <v>13372</v>
      </c>
      <c r="BK697" t="s">
        <v>12464</v>
      </c>
      <c r="BL697" t="s">
        <v>13373</v>
      </c>
      <c r="BM697" t="s">
        <v>13374</v>
      </c>
      <c r="BN697" t="s">
        <v>74</v>
      </c>
      <c r="BO697" t="s">
        <v>13375</v>
      </c>
      <c r="BP697" t="s">
        <v>74</v>
      </c>
      <c r="BQ697" t="s">
        <v>74</v>
      </c>
      <c r="BR697" t="s">
        <v>106</v>
      </c>
      <c r="BS697" t="s">
        <v>13376</v>
      </c>
      <c r="BT697" t="str">
        <f>HYPERLINK("https%3A%2F%2Fwww.webofscience.com%2Fwos%2Fwoscc%2Ffull-record%2FWOS:000626733300057","View Full Record in Web of Science")</f>
        <v>View Full Record in Web of Science</v>
      </c>
    </row>
    <row r="698" spans="1:72" x14ac:dyDescent="0.15">
      <c r="A698" t="s">
        <v>12440</v>
      </c>
      <c r="B698" t="s">
        <v>13377</v>
      </c>
      <c r="C698" t="s">
        <v>74</v>
      </c>
      <c r="D698" t="s">
        <v>74</v>
      </c>
      <c r="E698" t="s">
        <v>12442</v>
      </c>
      <c r="F698" t="s">
        <v>13378</v>
      </c>
      <c r="G698" t="s">
        <v>74</v>
      </c>
      <c r="H698" t="s">
        <v>74</v>
      </c>
      <c r="I698" t="s">
        <v>13379</v>
      </c>
      <c r="J698" t="s">
        <v>13354</v>
      </c>
      <c r="K698" t="s">
        <v>74</v>
      </c>
      <c r="L698" t="s">
        <v>74</v>
      </c>
      <c r="M698" t="s">
        <v>78</v>
      </c>
      <c r="N698" t="s">
        <v>12447</v>
      </c>
      <c r="O698" t="s">
        <v>13355</v>
      </c>
      <c r="P698" t="s">
        <v>13356</v>
      </c>
      <c r="Q698" t="s">
        <v>13357</v>
      </c>
      <c r="R698" t="s">
        <v>74</v>
      </c>
      <c r="S698" t="s">
        <v>74</v>
      </c>
      <c r="T698" t="s">
        <v>13380</v>
      </c>
      <c r="U698" t="s">
        <v>74</v>
      </c>
      <c r="V698" t="s">
        <v>13381</v>
      </c>
      <c r="W698" t="s">
        <v>13382</v>
      </c>
      <c r="X698" t="s">
        <v>13383</v>
      </c>
      <c r="Y698" t="s">
        <v>13384</v>
      </c>
      <c r="Z698" t="s">
        <v>13385</v>
      </c>
      <c r="AA698" t="s">
        <v>13386</v>
      </c>
      <c r="AB698" t="s">
        <v>74</v>
      </c>
      <c r="AC698" t="s">
        <v>13387</v>
      </c>
      <c r="AD698" t="s">
        <v>13388</v>
      </c>
      <c r="AE698" t="s">
        <v>13389</v>
      </c>
      <c r="AF698" t="s">
        <v>74</v>
      </c>
      <c r="AG698">
        <v>12</v>
      </c>
      <c r="AH698">
        <v>4</v>
      </c>
      <c r="AI698">
        <v>4</v>
      </c>
      <c r="AJ698">
        <v>0</v>
      </c>
      <c r="AK698">
        <v>1</v>
      </c>
      <c r="AL698" t="s">
        <v>12442</v>
      </c>
      <c r="AM698" t="s">
        <v>166</v>
      </c>
      <c r="AN698" t="s">
        <v>12459</v>
      </c>
      <c r="AO698" t="s">
        <v>74</v>
      </c>
      <c r="AP698" t="s">
        <v>74</v>
      </c>
      <c r="AQ698" t="s">
        <v>13370</v>
      </c>
      <c r="AR698" t="s">
        <v>74</v>
      </c>
      <c r="AS698" t="s">
        <v>74</v>
      </c>
      <c r="AT698" t="s">
        <v>74</v>
      </c>
      <c r="AU698">
        <v>2020</v>
      </c>
      <c r="AV698" t="s">
        <v>74</v>
      </c>
      <c r="AW698" t="s">
        <v>74</v>
      </c>
      <c r="AX698" t="s">
        <v>74</v>
      </c>
      <c r="AY698" t="s">
        <v>74</v>
      </c>
      <c r="AZ698" t="s">
        <v>74</v>
      </c>
      <c r="BA698" t="s">
        <v>74</v>
      </c>
      <c r="BB698">
        <v>308</v>
      </c>
      <c r="BC698">
        <v>312</v>
      </c>
      <c r="BD698" t="s">
        <v>74</v>
      </c>
      <c r="BE698" t="s">
        <v>74</v>
      </c>
      <c r="BF698" t="s">
        <v>74</v>
      </c>
      <c r="BG698" t="s">
        <v>74</v>
      </c>
      <c r="BH698" t="s">
        <v>74</v>
      </c>
      <c r="BI698">
        <v>5</v>
      </c>
      <c r="BJ698" t="s">
        <v>13372</v>
      </c>
      <c r="BK698" t="s">
        <v>12464</v>
      </c>
      <c r="BL698" t="s">
        <v>13373</v>
      </c>
      <c r="BM698" t="s">
        <v>13374</v>
      </c>
      <c r="BN698" t="s">
        <v>74</v>
      </c>
      <c r="BO698" t="s">
        <v>74</v>
      </c>
      <c r="BP698" t="s">
        <v>74</v>
      </c>
      <c r="BQ698" t="s">
        <v>74</v>
      </c>
      <c r="BR698" t="s">
        <v>106</v>
      </c>
      <c r="BS698" t="s">
        <v>13390</v>
      </c>
      <c r="BT698" t="str">
        <f>HYPERLINK("https%3A%2F%2Fwww.webofscience.com%2Fwos%2Fwoscc%2Ffull-record%2FWOS:000626733300059","View Full Record in Web of Science")</f>
        <v>View Full Record in Web of Science</v>
      </c>
    </row>
    <row r="699" spans="1:72" x14ac:dyDescent="0.15">
      <c r="A699" t="s">
        <v>12440</v>
      </c>
      <c r="B699" t="s">
        <v>13391</v>
      </c>
      <c r="C699" t="s">
        <v>74</v>
      </c>
      <c r="D699" t="s">
        <v>74</v>
      </c>
      <c r="E699" t="s">
        <v>12442</v>
      </c>
      <c r="F699" t="s">
        <v>13392</v>
      </c>
      <c r="G699" t="s">
        <v>74</v>
      </c>
      <c r="H699" t="s">
        <v>74</v>
      </c>
      <c r="I699" t="s">
        <v>13393</v>
      </c>
      <c r="J699" t="s">
        <v>13354</v>
      </c>
      <c r="K699" t="s">
        <v>74</v>
      </c>
      <c r="L699" t="s">
        <v>74</v>
      </c>
      <c r="M699" t="s">
        <v>78</v>
      </c>
      <c r="N699" t="s">
        <v>12447</v>
      </c>
      <c r="O699" t="s">
        <v>13355</v>
      </c>
      <c r="P699" t="s">
        <v>13356</v>
      </c>
      <c r="Q699" t="s">
        <v>13357</v>
      </c>
      <c r="R699" t="s">
        <v>74</v>
      </c>
      <c r="S699" t="s">
        <v>74</v>
      </c>
      <c r="T699" t="s">
        <v>13394</v>
      </c>
      <c r="U699" t="s">
        <v>74</v>
      </c>
      <c r="V699" t="s">
        <v>13395</v>
      </c>
      <c r="W699" t="s">
        <v>13396</v>
      </c>
      <c r="X699" t="s">
        <v>13397</v>
      </c>
      <c r="Y699" t="s">
        <v>13398</v>
      </c>
      <c r="Z699" t="s">
        <v>74</v>
      </c>
      <c r="AA699" t="s">
        <v>74</v>
      </c>
      <c r="AB699" t="s">
        <v>13399</v>
      </c>
      <c r="AC699" t="s">
        <v>13400</v>
      </c>
      <c r="AD699" t="s">
        <v>13401</v>
      </c>
      <c r="AE699" t="s">
        <v>13402</v>
      </c>
      <c r="AF699" t="s">
        <v>74</v>
      </c>
      <c r="AG699">
        <v>16</v>
      </c>
      <c r="AH699">
        <v>0</v>
      </c>
      <c r="AI699">
        <v>0</v>
      </c>
      <c r="AJ699">
        <v>1</v>
      </c>
      <c r="AK699">
        <v>1</v>
      </c>
      <c r="AL699" t="s">
        <v>12442</v>
      </c>
      <c r="AM699" t="s">
        <v>166</v>
      </c>
      <c r="AN699" t="s">
        <v>12459</v>
      </c>
      <c r="AO699" t="s">
        <v>74</v>
      </c>
      <c r="AP699" t="s">
        <v>74</v>
      </c>
      <c r="AQ699" t="s">
        <v>13370</v>
      </c>
      <c r="AR699" t="s">
        <v>74</v>
      </c>
      <c r="AS699" t="s">
        <v>74</v>
      </c>
      <c r="AT699" t="s">
        <v>74</v>
      </c>
      <c r="AU699">
        <v>2020</v>
      </c>
      <c r="AV699" t="s">
        <v>74</v>
      </c>
      <c r="AW699" t="s">
        <v>74</v>
      </c>
      <c r="AX699" t="s">
        <v>74</v>
      </c>
      <c r="AY699" t="s">
        <v>74</v>
      </c>
      <c r="AZ699" t="s">
        <v>74</v>
      </c>
      <c r="BA699" t="s">
        <v>74</v>
      </c>
      <c r="BB699">
        <v>505</v>
      </c>
      <c r="BC699">
        <v>510</v>
      </c>
      <c r="BD699" t="s">
        <v>74</v>
      </c>
      <c r="BE699" t="s">
        <v>13403</v>
      </c>
      <c r="BF699" t="str">
        <f>HYPERLINK("http://dx.doi.org/10.1109/lagirs48042.2020.9165572","http://dx.doi.org/10.1109/lagirs48042.2020.9165572")</f>
        <v>http://dx.doi.org/10.1109/lagirs48042.2020.9165572</v>
      </c>
      <c r="BG699" t="s">
        <v>74</v>
      </c>
      <c r="BH699" t="s">
        <v>74</v>
      </c>
      <c r="BI699">
        <v>6</v>
      </c>
      <c r="BJ699" t="s">
        <v>13372</v>
      </c>
      <c r="BK699" t="s">
        <v>12464</v>
      </c>
      <c r="BL699" t="s">
        <v>13373</v>
      </c>
      <c r="BM699" t="s">
        <v>13374</v>
      </c>
      <c r="BN699" t="s">
        <v>74</v>
      </c>
      <c r="BO699" t="s">
        <v>74</v>
      </c>
      <c r="BP699" t="s">
        <v>74</v>
      </c>
      <c r="BQ699" t="s">
        <v>74</v>
      </c>
      <c r="BR699" t="s">
        <v>106</v>
      </c>
      <c r="BS699" t="s">
        <v>13404</v>
      </c>
      <c r="BT699" t="str">
        <f>HYPERLINK("https%3A%2F%2Fwww.webofscience.com%2Fwos%2Fwoscc%2Ffull-record%2FWOS:000626733300094","View Full Record in Web of Science")</f>
        <v>View Full Record in Web of Science</v>
      </c>
    </row>
    <row r="700" spans="1:72" x14ac:dyDescent="0.15">
      <c r="A700" t="s">
        <v>12440</v>
      </c>
      <c r="B700" t="s">
        <v>13405</v>
      </c>
      <c r="C700" t="s">
        <v>74</v>
      </c>
      <c r="D700" t="s">
        <v>74</v>
      </c>
      <c r="E700" t="s">
        <v>12442</v>
      </c>
      <c r="F700" t="s">
        <v>13406</v>
      </c>
      <c r="G700" t="s">
        <v>74</v>
      </c>
      <c r="H700" t="s">
        <v>74</v>
      </c>
      <c r="I700" t="s">
        <v>13407</v>
      </c>
      <c r="J700" t="s">
        <v>13354</v>
      </c>
      <c r="K700" t="s">
        <v>74</v>
      </c>
      <c r="L700" t="s">
        <v>74</v>
      </c>
      <c r="M700" t="s">
        <v>78</v>
      </c>
      <c r="N700" t="s">
        <v>12447</v>
      </c>
      <c r="O700" t="s">
        <v>13355</v>
      </c>
      <c r="P700" t="s">
        <v>13356</v>
      </c>
      <c r="Q700" t="s">
        <v>13357</v>
      </c>
      <c r="R700" t="s">
        <v>74</v>
      </c>
      <c r="S700" t="s">
        <v>74</v>
      </c>
      <c r="T700" t="s">
        <v>13408</v>
      </c>
      <c r="U700" t="s">
        <v>13409</v>
      </c>
      <c r="V700" t="s">
        <v>13410</v>
      </c>
      <c r="W700" t="s">
        <v>13411</v>
      </c>
      <c r="X700" t="s">
        <v>13412</v>
      </c>
      <c r="Y700" t="s">
        <v>13413</v>
      </c>
      <c r="Z700" t="s">
        <v>13414</v>
      </c>
      <c r="AA700" t="s">
        <v>13415</v>
      </c>
      <c r="AB700" t="s">
        <v>13416</v>
      </c>
      <c r="AC700" t="s">
        <v>13417</v>
      </c>
      <c r="AD700" t="s">
        <v>13417</v>
      </c>
      <c r="AE700" t="s">
        <v>13418</v>
      </c>
      <c r="AF700" t="s">
        <v>74</v>
      </c>
      <c r="AG700">
        <v>10</v>
      </c>
      <c r="AH700">
        <v>7</v>
      </c>
      <c r="AI700">
        <v>7</v>
      </c>
      <c r="AJ700">
        <v>1</v>
      </c>
      <c r="AK700">
        <v>3</v>
      </c>
      <c r="AL700" t="s">
        <v>12442</v>
      </c>
      <c r="AM700" t="s">
        <v>166</v>
      </c>
      <c r="AN700" t="s">
        <v>12459</v>
      </c>
      <c r="AO700" t="s">
        <v>74</v>
      </c>
      <c r="AP700" t="s">
        <v>74</v>
      </c>
      <c r="AQ700" t="s">
        <v>13370</v>
      </c>
      <c r="AR700" t="s">
        <v>74</v>
      </c>
      <c r="AS700" t="s">
        <v>74</v>
      </c>
      <c r="AT700" t="s">
        <v>74</v>
      </c>
      <c r="AU700">
        <v>2020</v>
      </c>
      <c r="AV700" t="s">
        <v>74</v>
      </c>
      <c r="AW700" t="s">
        <v>74</v>
      </c>
      <c r="AX700" t="s">
        <v>74</v>
      </c>
      <c r="AY700" t="s">
        <v>74</v>
      </c>
      <c r="AZ700" t="s">
        <v>74</v>
      </c>
      <c r="BA700" t="s">
        <v>74</v>
      </c>
      <c r="BB700">
        <v>539</v>
      </c>
      <c r="BC700">
        <v>541</v>
      </c>
      <c r="BD700" t="s">
        <v>74</v>
      </c>
      <c r="BE700" t="s">
        <v>13419</v>
      </c>
      <c r="BF700" t="str">
        <f>HYPERLINK("http://dx.doi.org/10.1109/lagirs48042.2020.9165584","http://dx.doi.org/10.1109/lagirs48042.2020.9165584")</f>
        <v>http://dx.doi.org/10.1109/lagirs48042.2020.9165584</v>
      </c>
      <c r="BG700" t="s">
        <v>74</v>
      </c>
      <c r="BH700" t="s">
        <v>74</v>
      </c>
      <c r="BI700">
        <v>3</v>
      </c>
      <c r="BJ700" t="s">
        <v>13372</v>
      </c>
      <c r="BK700" t="s">
        <v>12464</v>
      </c>
      <c r="BL700" t="s">
        <v>13373</v>
      </c>
      <c r="BM700" t="s">
        <v>13374</v>
      </c>
      <c r="BN700" t="s">
        <v>74</v>
      </c>
      <c r="BO700" t="s">
        <v>74</v>
      </c>
      <c r="BP700" t="s">
        <v>74</v>
      </c>
      <c r="BQ700" t="s">
        <v>74</v>
      </c>
      <c r="BR700" t="s">
        <v>106</v>
      </c>
      <c r="BS700" t="s">
        <v>13420</v>
      </c>
      <c r="BT700" t="str">
        <f>HYPERLINK("https%3A%2F%2Fwww.webofscience.com%2Fwos%2Fwoscc%2Ffull-record%2FWOS:000626733300100","View Full Record in Web of Science")</f>
        <v>View Full Record in Web of Science</v>
      </c>
    </row>
    <row r="701" spans="1:72" x14ac:dyDescent="0.15">
      <c r="A701" t="s">
        <v>72</v>
      </c>
      <c r="B701" t="s">
        <v>13421</v>
      </c>
      <c r="C701" t="s">
        <v>74</v>
      </c>
      <c r="D701" t="s">
        <v>74</v>
      </c>
      <c r="E701" t="s">
        <v>74</v>
      </c>
      <c r="F701" t="s">
        <v>13422</v>
      </c>
      <c r="G701" t="s">
        <v>74</v>
      </c>
      <c r="H701" t="s">
        <v>74</v>
      </c>
      <c r="I701" t="s">
        <v>13423</v>
      </c>
      <c r="J701" t="s">
        <v>13424</v>
      </c>
      <c r="K701" t="s">
        <v>74</v>
      </c>
      <c r="L701" t="s">
        <v>74</v>
      </c>
      <c r="M701" t="s">
        <v>13425</v>
      </c>
      <c r="N701" t="s">
        <v>79</v>
      </c>
      <c r="O701" t="s">
        <v>74</v>
      </c>
      <c r="P701" t="s">
        <v>74</v>
      </c>
      <c r="Q701" t="s">
        <v>74</v>
      </c>
      <c r="R701" t="s">
        <v>74</v>
      </c>
      <c r="S701" t="s">
        <v>74</v>
      </c>
      <c r="T701" t="s">
        <v>13426</v>
      </c>
      <c r="U701" t="s">
        <v>13427</v>
      </c>
      <c r="V701" t="s">
        <v>13428</v>
      </c>
      <c r="W701" t="s">
        <v>13429</v>
      </c>
      <c r="X701" t="s">
        <v>13430</v>
      </c>
      <c r="Y701" t="s">
        <v>13431</v>
      </c>
      <c r="Z701" t="s">
        <v>13432</v>
      </c>
      <c r="AA701" t="s">
        <v>13433</v>
      </c>
      <c r="AB701" t="s">
        <v>13434</v>
      </c>
      <c r="AC701" t="s">
        <v>74</v>
      </c>
      <c r="AD701" t="s">
        <v>74</v>
      </c>
      <c r="AE701" t="s">
        <v>74</v>
      </c>
      <c r="AF701" t="s">
        <v>74</v>
      </c>
      <c r="AG701">
        <v>46</v>
      </c>
      <c r="AH701">
        <v>0</v>
      </c>
      <c r="AI701">
        <v>0</v>
      </c>
      <c r="AJ701">
        <v>6</v>
      </c>
      <c r="AK701">
        <v>33</v>
      </c>
      <c r="AL701" t="s">
        <v>13435</v>
      </c>
      <c r="AM701" t="s">
        <v>13436</v>
      </c>
      <c r="AN701" t="s">
        <v>13437</v>
      </c>
      <c r="AO701" t="s">
        <v>13438</v>
      </c>
      <c r="AP701" t="s">
        <v>74</v>
      </c>
      <c r="AQ701" t="s">
        <v>74</v>
      </c>
      <c r="AR701" t="s">
        <v>13424</v>
      </c>
      <c r="AS701" t="s">
        <v>13439</v>
      </c>
      <c r="AT701" t="s">
        <v>74</v>
      </c>
      <c r="AU701">
        <v>2020</v>
      </c>
      <c r="AV701">
        <v>48</v>
      </c>
      <c r="AW701">
        <v>2</v>
      </c>
      <c r="AX701" t="s">
        <v>74</v>
      </c>
      <c r="AY701" t="s">
        <v>74</v>
      </c>
      <c r="AZ701" t="s">
        <v>74</v>
      </c>
      <c r="BA701" t="s">
        <v>74</v>
      </c>
      <c r="BB701">
        <v>213</v>
      </c>
      <c r="BC701">
        <v>228</v>
      </c>
      <c r="BD701" t="s">
        <v>74</v>
      </c>
      <c r="BE701" t="s">
        <v>74</v>
      </c>
      <c r="BF701" t="s">
        <v>74</v>
      </c>
      <c r="BG701" t="s">
        <v>74</v>
      </c>
      <c r="BH701" t="s">
        <v>74</v>
      </c>
      <c r="BI701">
        <v>16</v>
      </c>
      <c r="BJ701" t="s">
        <v>13440</v>
      </c>
      <c r="BK701" t="s">
        <v>3467</v>
      </c>
      <c r="BL701" t="s">
        <v>13440</v>
      </c>
      <c r="BM701" t="s">
        <v>13441</v>
      </c>
      <c r="BN701" t="s">
        <v>74</v>
      </c>
      <c r="BO701" t="s">
        <v>74</v>
      </c>
      <c r="BP701" t="s">
        <v>74</v>
      </c>
      <c r="BQ701" t="s">
        <v>74</v>
      </c>
      <c r="BR701" t="s">
        <v>106</v>
      </c>
      <c r="BS701" t="s">
        <v>13442</v>
      </c>
      <c r="BT701" t="str">
        <f>HYPERLINK("https%3A%2F%2Fwww.webofscience.com%2Fwos%2Fwoscc%2Ffull-record%2FWOS:000636821200010","View Full Record in Web of Science")</f>
        <v>View Full Record in Web of Science</v>
      </c>
    </row>
    <row r="702" spans="1:72" x14ac:dyDescent="0.15">
      <c r="A702" t="s">
        <v>12440</v>
      </c>
      <c r="B702" t="s">
        <v>13443</v>
      </c>
      <c r="C702" t="s">
        <v>74</v>
      </c>
      <c r="D702" t="s">
        <v>13444</v>
      </c>
      <c r="E702" t="s">
        <v>74</v>
      </c>
      <c r="F702" t="s">
        <v>13445</v>
      </c>
      <c r="G702" t="s">
        <v>74</v>
      </c>
      <c r="H702" t="s">
        <v>74</v>
      </c>
      <c r="I702" t="s">
        <v>13446</v>
      </c>
      <c r="J702" t="s">
        <v>13447</v>
      </c>
      <c r="K702" t="s">
        <v>13448</v>
      </c>
      <c r="L702" t="s">
        <v>74</v>
      </c>
      <c r="M702" t="s">
        <v>78</v>
      </c>
      <c r="N702" t="s">
        <v>12447</v>
      </c>
      <c r="O702" t="s">
        <v>13449</v>
      </c>
      <c r="P702" t="s">
        <v>13450</v>
      </c>
      <c r="Q702" t="s">
        <v>13451</v>
      </c>
      <c r="R702" t="s">
        <v>74</v>
      </c>
      <c r="S702" t="s">
        <v>74</v>
      </c>
      <c r="T702" t="s">
        <v>74</v>
      </c>
      <c r="U702" t="s">
        <v>13452</v>
      </c>
      <c r="V702" t="s">
        <v>74</v>
      </c>
      <c r="W702" t="s">
        <v>13453</v>
      </c>
      <c r="X702" t="s">
        <v>13454</v>
      </c>
      <c r="Y702" t="s">
        <v>13455</v>
      </c>
      <c r="Z702" t="s">
        <v>13456</v>
      </c>
      <c r="AA702" t="s">
        <v>74</v>
      </c>
      <c r="AB702" t="s">
        <v>13457</v>
      </c>
      <c r="AC702" t="s">
        <v>13458</v>
      </c>
      <c r="AD702" t="s">
        <v>13459</v>
      </c>
      <c r="AE702" t="s">
        <v>13460</v>
      </c>
      <c r="AF702" t="s">
        <v>74</v>
      </c>
      <c r="AG702">
        <v>12</v>
      </c>
      <c r="AH702">
        <v>0</v>
      </c>
      <c r="AI702">
        <v>0</v>
      </c>
      <c r="AJ702">
        <v>0</v>
      </c>
      <c r="AK702">
        <v>5</v>
      </c>
      <c r="AL702" t="s">
        <v>12570</v>
      </c>
      <c r="AM702" t="s">
        <v>12571</v>
      </c>
      <c r="AN702" t="s">
        <v>12572</v>
      </c>
      <c r="AO702" t="s">
        <v>13461</v>
      </c>
      <c r="AP702" t="s">
        <v>13462</v>
      </c>
      <c r="AQ702" t="s">
        <v>13463</v>
      </c>
      <c r="AR702" t="s">
        <v>13464</v>
      </c>
      <c r="AS702" t="s">
        <v>74</v>
      </c>
      <c r="AT702" t="s">
        <v>74</v>
      </c>
      <c r="AU702">
        <v>2020</v>
      </c>
      <c r="AV702" t="s">
        <v>74</v>
      </c>
      <c r="AW702" t="s">
        <v>74</v>
      </c>
      <c r="AX702" t="s">
        <v>74</v>
      </c>
      <c r="AY702" t="s">
        <v>74</v>
      </c>
      <c r="AZ702" t="s">
        <v>74</v>
      </c>
      <c r="BA702" t="s">
        <v>74</v>
      </c>
      <c r="BB702">
        <v>20</v>
      </c>
      <c r="BC702">
        <v>26</v>
      </c>
      <c r="BD702" t="s">
        <v>74</v>
      </c>
      <c r="BE702" t="s">
        <v>13465</v>
      </c>
      <c r="BF702" t="str">
        <f>HYPERLINK("http://dx.doi.org/10.1007/978-3-030-45909-3_5","http://dx.doi.org/10.1007/978-3-030-45909-3_5")</f>
        <v>http://dx.doi.org/10.1007/978-3-030-45909-3_5</v>
      </c>
      <c r="BG702" t="s">
        <v>74</v>
      </c>
      <c r="BH702" t="s">
        <v>74</v>
      </c>
      <c r="BI702">
        <v>7</v>
      </c>
      <c r="BJ702" t="s">
        <v>13466</v>
      </c>
      <c r="BK702" t="s">
        <v>12464</v>
      </c>
      <c r="BL702" t="s">
        <v>13467</v>
      </c>
      <c r="BM702" t="s">
        <v>13468</v>
      </c>
      <c r="BN702" t="s">
        <v>74</v>
      </c>
      <c r="BO702" t="s">
        <v>74</v>
      </c>
      <c r="BP702" t="s">
        <v>74</v>
      </c>
      <c r="BQ702" t="s">
        <v>74</v>
      </c>
      <c r="BR702" t="s">
        <v>106</v>
      </c>
      <c r="BS702" t="s">
        <v>13469</v>
      </c>
      <c r="BT702" t="str">
        <f>HYPERLINK("https%3A%2F%2Fwww.webofscience.com%2Fwos%2Fwoscc%2Ffull-record%2FWOS:000630043600005","View Full Record in Web of Science")</f>
        <v>View Full Record in Web of Science</v>
      </c>
    </row>
    <row r="703" spans="1:72" x14ac:dyDescent="0.15">
      <c r="A703" t="s">
        <v>12416</v>
      </c>
      <c r="B703" t="s">
        <v>13470</v>
      </c>
      <c r="C703" t="s">
        <v>74</v>
      </c>
      <c r="D703" t="s">
        <v>13471</v>
      </c>
      <c r="E703" t="s">
        <v>74</v>
      </c>
      <c r="F703" t="s">
        <v>13472</v>
      </c>
      <c r="G703" t="s">
        <v>74</v>
      </c>
      <c r="H703" t="s">
        <v>74</v>
      </c>
      <c r="I703" t="s">
        <v>13473</v>
      </c>
      <c r="J703" t="s">
        <v>13474</v>
      </c>
      <c r="K703" t="s">
        <v>74</v>
      </c>
      <c r="L703" t="s">
        <v>74</v>
      </c>
      <c r="M703" t="s">
        <v>78</v>
      </c>
      <c r="N703" t="s">
        <v>12422</v>
      </c>
      <c r="O703" t="s">
        <v>74</v>
      </c>
      <c r="P703" t="s">
        <v>74</v>
      </c>
      <c r="Q703" t="s">
        <v>74</v>
      </c>
      <c r="R703" t="s">
        <v>74</v>
      </c>
      <c r="S703" t="s">
        <v>74</v>
      </c>
      <c r="T703" t="s">
        <v>74</v>
      </c>
      <c r="U703" t="s">
        <v>13475</v>
      </c>
      <c r="V703" t="s">
        <v>74</v>
      </c>
      <c r="W703" t="s">
        <v>13476</v>
      </c>
      <c r="X703" t="s">
        <v>13477</v>
      </c>
      <c r="Y703" t="s">
        <v>13478</v>
      </c>
      <c r="Z703" t="s">
        <v>74</v>
      </c>
      <c r="AA703" t="s">
        <v>13479</v>
      </c>
      <c r="AB703" t="s">
        <v>74</v>
      </c>
      <c r="AC703" t="s">
        <v>13480</v>
      </c>
      <c r="AD703" t="s">
        <v>13481</v>
      </c>
      <c r="AE703" t="s">
        <v>13482</v>
      </c>
      <c r="AF703" t="s">
        <v>74</v>
      </c>
      <c r="AG703">
        <v>184</v>
      </c>
      <c r="AH703">
        <v>13</v>
      </c>
      <c r="AI703">
        <v>13</v>
      </c>
      <c r="AJ703">
        <v>0</v>
      </c>
      <c r="AK703">
        <v>0</v>
      </c>
      <c r="AL703" t="s">
        <v>238</v>
      </c>
      <c r="AM703" t="s">
        <v>3234</v>
      </c>
      <c r="AN703" t="s">
        <v>13483</v>
      </c>
      <c r="AO703" t="s">
        <v>74</v>
      </c>
      <c r="AP703" t="s">
        <v>74</v>
      </c>
      <c r="AQ703" t="s">
        <v>13484</v>
      </c>
      <c r="AR703" t="s">
        <v>74</v>
      </c>
      <c r="AS703" t="s">
        <v>74</v>
      </c>
      <c r="AT703" t="s">
        <v>74</v>
      </c>
      <c r="AU703">
        <v>2020</v>
      </c>
      <c r="AV703" t="s">
        <v>74</v>
      </c>
      <c r="AW703" t="s">
        <v>74</v>
      </c>
      <c r="AX703" t="s">
        <v>74</v>
      </c>
      <c r="AY703" t="s">
        <v>74</v>
      </c>
      <c r="AZ703" t="s">
        <v>74</v>
      </c>
      <c r="BA703" t="s">
        <v>74</v>
      </c>
      <c r="BB703">
        <v>237</v>
      </c>
      <c r="BC703">
        <v>275</v>
      </c>
      <c r="BD703" t="s">
        <v>74</v>
      </c>
      <c r="BE703" t="s">
        <v>74</v>
      </c>
      <c r="BF703" t="s">
        <v>74</v>
      </c>
      <c r="BG703" t="s">
        <v>13485</v>
      </c>
      <c r="BH703" t="s">
        <v>74</v>
      </c>
      <c r="BI703">
        <v>39</v>
      </c>
      <c r="BJ703" t="s">
        <v>442</v>
      </c>
      <c r="BK703" t="s">
        <v>12436</v>
      </c>
      <c r="BL703" t="s">
        <v>442</v>
      </c>
      <c r="BM703" t="s">
        <v>13486</v>
      </c>
      <c r="BN703" t="s">
        <v>74</v>
      </c>
      <c r="BO703" t="s">
        <v>193</v>
      </c>
      <c r="BP703" t="s">
        <v>74</v>
      </c>
      <c r="BQ703" t="s">
        <v>74</v>
      </c>
      <c r="BR703" t="s">
        <v>106</v>
      </c>
      <c r="BS703" t="s">
        <v>13487</v>
      </c>
      <c r="BT703" t="str">
        <f>HYPERLINK("https%3A%2F%2Fwww.webofscience.com%2Fwos%2Fwoscc%2Ffull-record%2FWOS:000588462500009","View Full Record in Web of Science")</f>
        <v>View Full Record in Web of Science</v>
      </c>
    </row>
    <row r="704" spans="1:72" x14ac:dyDescent="0.15">
      <c r="A704" t="s">
        <v>12440</v>
      </c>
      <c r="B704" t="s">
        <v>13488</v>
      </c>
      <c r="C704" t="s">
        <v>74</v>
      </c>
      <c r="D704" t="s">
        <v>13489</v>
      </c>
      <c r="E704" t="s">
        <v>74</v>
      </c>
      <c r="F704" t="s">
        <v>13490</v>
      </c>
      <c r="G704" t="s">
        <v>74</v>
      </c>
      <c r="H704" t="s">
        <v>74</v>
      </c>
      <c r="I704" t="s">
        <v>13491</v>
      </c>
      <c r="J704" t="s">
        <v>13492</v>
      </c>
      <c r="K704" t="s">
        <v>12963</v>
      </c>
      <c r="L704" t="s">
        <v>74</v>
      </c>
      <c r="M704" t="s">
        <v>78</v>
      </c>
      <c r="N704" t="s">
        <v>12447</v>
      </c>
      <c r="O704" t="s">
        <v>13493</v>
      </c>
      <c r="P704" t="s">
        <v>13494</v>
      </c>
      <c r="Q704" t="s">
        <v>12450</v>
      </c>
      <c r="R704" t="s">
        <v>74</v>
      </c>
      <c r="S704" t="s">
        <v>74</v>
      </c>
      <c r="T704" t="s">
        <v>13495</v>
      </c>
      <c r="U704" t="s">
        <v>13496</v>
      </c>
      <c r="V704" t="s">
        <v>13497</v>
      </c>
      <c r="W704" t="s">
        <v>13498</v>
      </c>
      <c r="X704" t="s">
        <v>13499</v>
      </c>
      <c r="Y704" t="s">
        <v>13500</v>
      </c>
      <c r="Z704" t="s">
        <v>74</v>
      </c>
      <c r="AA704" t="s">
        <v>13501</v>
      </c>
      <c r="AB704" t="s">
        <v>13502</v>
      </c>
      <c r="AC704" t="s">
        <v>74</v>
      </c>
      <c r="AD704" t="s">
        <v>74</v>
      </c>
      <c r="AE704" t="s">
        <v>74</v>
      </c>
      <c r="AF704" t="s">
        <v>74</v>
      </c>
      <c r="AG704">
        <v>27</v>
      </c>
      <c r="AH704">
        <v>0</v>
      </c>
      <c r="AI704">
        <v>0</v>
      </c>
      <c r="AJ704">
        <v>1</v>
      </c>
      <c r="AK704">
        <v>2</v>
      </c>
      <c r="AL704" t="s">
        <v>12977</v>
      </c>
      <c r="AM704" t="s">
        <v>12978</v>
      </c>
      <c r="AN704" t="s">
        <v>12979</v>
      </c>
      <c r="AO704" t="s">
        <v>12980</v>
      </c>
      <c r="AP704" t="s">
        <v>12981</v>
      </c>
      <c r="AQ704" t="s">
        <v>13503</v>
      </c>
      <c r="AR704" t="s">
        <v>12983</v>
      </c>
      <c r="AS704" t="s">
        <v>74</v>
      </c>
      <c r="AT704" t="s">
        <v>74</v>
      </c>
      <c r="AU704">
        <v>2020</v>
      </c>
      <c r="AV704">
        <v>11501</v>
      </c>
      <c r="AW704" t="s">
        <v>74</v>
      </c>
      <c r="AX704" t="s">
        <v>74</v>
      </c>
      <c r="AY704" t="s">
        <v>74</v>
      </c>
      <c r="AZ704" t="s">
        <v>74</v>
      </c>
      <c r="BA704" t="s">
        <v>74</v>
      </c>
      <c r="BB704" t="s">
        <v>74</v>
      </c>
      <c r="BC704" t="s">
        <v>74</v>
      </c>
      <c r="BD704" t="s">
        <v>13504</v>
      </c>
      <c r="BE704" t="s">
        <v>13505</v>
      </c>
      <c r="BF704" t="str">
        <f>HYPERLINK("http://dx.doi.org/10.1117/12.2567226","http://dx.doi.org/10.1117/12.2567226")</f>
        <v>http://dx.doi.org/10.1117/12.2567226</v>
      </c>
      <c r="BG704" t="s">
        <v>74</v>
      </c>
      <c r="BH704" t="s">
        <v>74</v>
      </c>
      <c r="BI704">
        <v>13</v>
      </c>
      <c r="BJ704" t="s">
        <v>13506</v>
      </c>
      <c r="BK704" t="s">
        <v>12464</v>
      </c>
      <c r="BL704" t="s">
        <v>13507</v>
      </c>
      <c r="BM704" t="s">
        <v>13508</v>
      </c>
      <c r="BN704" t="s">
        <v>74</v>
      </c>
      <c r="BO704" t="s">
        <v>74</v>
      </c>
      <c r="BP704" t="s">
        <v>74</v>
      </c>
      <c r="BQ704" t="s">
        <v>74</v>
      </c>
      <c r="BR704" t="s">
        <v>106</v>
      </c>
      <c r="BS704" t="s">
        <v>13509</v>
      </c>
      <c r="BT704" t="str">
        <f>HYPERLINK("https%3A%2F%2Fwww.webofscience.com%2Fwos%2Fwoscc%2Ffull-record%2FWOS:000632463000031","View Full Record in Web of Science")</f>
        <v>View Full Record in Web of Science</v>
      </c>
    </row>
    <row r="705" spans="1:72" x14ac:dyDescent="0.15">
      <c r="A705" t="s">
        <v>72</v>
      </c>
      <c r="B705" t="s">
        <v>13510</v>
      </c>
      <c r="C705" t="s">
        <v>74</v>
      </c>
      <c r="D705" t="s">
        <v>74</v>
      </c>
      <c r="E705" t="s">
        <v>74</v>
      </c>
      <c r="F705" t="s">
        <v>13511</v>
      </c>
      <c r="G705" t="s">
        <v>74</v>
      </c>
      <c r="H705" t="s">
        <v>74</v>
      </c>
      <c r="I705" t="s">
        <v>13512</v>
      </c>
      <c r="J705" t="s">
        <v>13513</v>
      </c>
      <c r="K705" t="s">
        <v>74</v>
      </c>
      <c r="L705" t="s">
        <v>74</v>
      </c>
      <c r="M705" t="s">
        <v>13514</v>
      </c>
      <c r="N705" t="s">
        <v>79</v>
      </c>
      <c r="O705" t="s">
        <v>74</v>
      </c>
      <c r="P705" t="s">
        <v>74</v>
      </c>
      <c r="Q705" t="s">
        <v>74</v>
      </c>
      <c r="R705" t="s">
        <v>74</v>
      </c>
      <c r="S705" t="s">
        <v>74</v>
      </c>
      <c r="T705" t="s">
        <v>74</v>
      </c>
      <c r="U705" t="s">
        <v>74</v>
      </c>
      <c r="V705" t="s">
        <v>74</v>
      </c>
      <c r="W705" t="s">
        <v>13515</v>
      </c>
      <c r="X705" t="s">
        <v>13516</v>
      </c>
      <c r="Y705" t="s">
        <v>13517</v>
      </c>
      <c r="Z705" t="s">
        <v>74</v>
      </c>
      <c r="AA705" t="s">
        <v>13518</v>
      </c>
      <c r="AB705" t="s">
        <v>74</v>
      </c>
      <c r="AC705" t="s">
        <v>74</v>
      </c>
      <c r="AD705" t="s">
        <v>74</v>
      </c>
      <c r="AE705" t="s">
        <v>74</v>
      </c>
      <c r="AF705" t="s">
        <v>74</v>
      </c>
      <c r="AG705">
        <v>28</v>
      </c>
      <c r="AH705">
        <v>0</v>
      </c>
      <c r="AI705">
        <v>0</v>
      </c>
      <c r="AJ705">
        <v>0</v>
      </c>
      <c r="AK705">
        <v>2</v>
      </c>
      <c r="AL705" t="s">
        <v>13519</v>
      </c>
      <c r="AM705" t="s">
        <v>3623</v>
      </c>
      <c r="AN705" t="s">
        <v>13520</v>
      </c>
      <c r="AO705" t="s">
        <v>13521</v>
      </c>
      <c r="AP705" t="s">
        <v>74</v>
      </c>
      <c r="AQ705" t="s">
        <v>74</v>
      </c>
      <c r="AR705" t="s">
        <v>13522</v>
      </c>
      <c r="AS705" t="s">
        <v>13523</v>
      </c>
      <c r="AT705" t="s">
        <v>74</v>
      </c>
      <c r="AU705">
        <v>2020</v>
      </c>
      <c r="AV705" t="s">
        <v>74</v>
      </c>
      <c r="AW705">
        <v>6</v>
      </c>
      <c r="AX705" t="s">
        <v>74</v>
      </c>
      <c r="AY705" t="s">
        <v>74</v>
      </c>
      <c r="AZ705" t="s">
        <v>74</v>
      </c>
      <c r="BA705" t="s">
        <v>74</v>
      </c>
      <c r="BB705">
        <v>77</v>
      </c>
      <c r="BC705">
        <v>89</v>
      </c>
      <c r="BD705" t="s">
        <v>74</v>
      </c>
      <c r="BE705" t="s">
        <v>13524</v>
      </c>
      <c r="BF705" t="str">
        <f>HYPERLINK("http://dx.doi.org/10.31857/S086956870012932-6","http://dx.doi.org/10.31857/S086956870012932-6")</f>
        <v>http://dx.doi.org/10.31857/S086956870012932-6</v>
      </c>
      <c r="BG705" t="s">
        <v>74</v>
      </c>
      <c r="BH705" t="s">
        <v>74</v>
      </c>
      <c r="BI705">
        <v>13</v>
      </c>
      <c r="BJ705" t="s">
        <v>12329</v>
      </c>
      <c r="BK705" t="s">
        <v>3088</v>
      </c>
      <c r="BL705" t="s">
        <v>12329</v>
      </c>
      <c r="BM705" t="s">
        <v>13525</v>
      </c>
      <c r="BN705" t="s">
        <v>74</v>
      </c>
      <c r="BO705" t="s">
        <v>74</v>
      </c>
      <c r="BP705" t="s">
        <v>74</v>
      </c>
      <c r="BQ705" t="s">
        <v>74</v>
      </c>
      <c r="BR705" t="s">
        <v>106</v>
      </c>
      <c r="BS705" t="s">
        <v>13526</v>
      </c>
      <c r="BT705" t="str">
        <f>HYPERLINK("https%3A%2F%2Fwww.webofscience.com%2Fwos%2Fwoscc%2Ffull-record%2FWOS:000626643300006","View Full Record in Web of Science")</f>
        <v>View Full Record in Web of Science</v>
      </c>
    </row>
    <row r="706" spans="1:72" x14ac:dyDescent="0.15">
      <c r="A706" t="s">
        <v>72</v>
      </c>
      <c r="B706" t="s">
        <v>13527</v>
      </c>
      <c r="C706" t="s">
        <v>74</v>
      </c>
      <c r="D706" t="s">
        <v>74</v>
      </c>
      <c r="E706" t="s">
        <v>74</v>
      </c>
      <c r="F706" t="s">
        <v>13528</v>
      </c>
      <c r="G706" t="s">
        <v>74</v>
      </c>
      <c r="H706" t="s">
        <v>74</v>
      </c>
      <c r="I706" t="s">
        <v>13529</v>
      </c>
      <c r="J706" t="s">
        <v>13530</v>
      </c>
      <c r="K706" t="s">
        <v>74</v>
      </c>
      <c r="L706" t="s">
        <v>74</v>
      </c>
      <c r="M706" t="s">
        <v>78</v>
      </c>
      <c r="N706" t="s">
        <v>79</v>
      </c>
      <c r="O706" t="s">
        <v>74</v>
      </c>
      <c r="P706" t="s">
        <v>74</v>
      </c>
      <c r="Q706" t="s">
        <v>74</v>
      </c>
      <c r="R706" t="s">
        <v>74</v>
      </c>
      <c r="S706" t="s">
        <v>74</v>
      </c>
      <c r="T706" t="s">
        <v>13531</v>
      </c>
      <c r="U706" t="s">
        <v>13532</v>
      </c>
      <c r="V706" t="s">
        <v>13533</v>
      </c>
      <c r="W706" t="s">
        <v>13534</v>
      </c>
      <c r="X706" t="s">
        <v>13535</v>
      </c>
      <c r="Y706" t="s">
        <v>13536</v>
      </c>
      <c r="Z706" t="s">
        <v>13537</v>
      </c>
      <c r="AA706" t="s">
        <v>13538</v>
      </c>
      <c r="AB706" t="s">
        <v>13539</v>
      </c>
      <c r="AC706" t="s">
        <v>13540</v>
      </c>
      <c r="AD706" t="s">
        <v>13540</v>
      </c>
      <c r="AE706" t="s">
        <v>13541</v>
      </c>
      <c r="AF706" t="s">
        <v>74</v>
      </c>
      <c r="AG706">
        <v>41</v>
      </c>
      <c r="AH706">
        <v>5</v>
      </c>
      <c r="AI706">
        <v>5</v>
      </c>
      <c r="AJ706">
        <v>1</v>
      </c>
      <c r="AK706">
        <v>5</v>
      </c>
      <c r="AL706" t="s">
        <v>2627</v>
      </c>
      <c r="AM706" t="s">
        <v>2628</v>
      </c>
      <c r="AN706" t="s">
        <v>2629</v>
      </c>
      <c r="AO706" t="s">
        <v>13542</v>
      </c>
      <c r="AP706" t="s">
        <v>74</v>
      </c>
      <c r="AQ706" t="s">
        <v>74</v>
      </c>
      <c r="AR706" t="s">
        <v>13543</v>
      </c>
      <c r="AS706" t="s">
        <v>13544</v>
      </c>
      <c r="AT706" t="s">
        <v>12161</v>
      </c>
      <c r="AU706">
        <v>2020</v>
      </c>
      <c r="AV706">
        <v>87</v>
      </c>
      <c r="AW706">
        <v>1</v>
      </c>
      <c r="AX706" t="s">
        <v>74</v>
      </c>
      <c r="AY706" t="s">
        <v>74</v>
      </c>
      <c r="AZ706" t="s">
        <v>74</v>
      </c>
      <c r="BA706" t="s">
        <v>74</v>
      </c>
      <c r="BB706">
        <v>571</v>
      </c>
      <c r="BC706">
        <v>579</v>
      </c>
      <c r="BD706" t="s">
        <v>74</v>
      </c>
      <c r="BE706" t="s">
        <v>13545</v>
      </c>
      <c r="BF706" t="str">
        <f>HYPERLINK("http://dx.doi.org/10.1080/24750263.2020.1822451","http://dx.doi.org/10.1080/24750263.2020.1822451")</f>
        <v>http://dx.doi.org/10.1080/24750263.2020.1822451</v>
      </c>
      <c r="BG706" t="s">
        <v>74</v>
      </c>
      <c r="BH706" t="s">
        <v>74</v>
      </c>
      <c r="BI706">
        <v>9</v>
      </c>
      <c r="BJ706" t="s">
        <v>2510</v>
      </c>
      <c r="BK706" t="s">
        <v>103</v>
      </c>
      <c r="BL706" t="s">
        <v>2510</v>
      </c>
      <c r="BM706" t="s">
        <v>13546</v>
      </c>
      <c r="BN706" t="s">
        <v>74</v>
      </c>
      <c r="BO706" t="s">
        <v>2592</v>
      </c>
      <c r="BP706" t="s">
        <v>74</v>
      </c>
      <c r="BQ706" t="s">
        <v>74</v>
      </c>
      <c r="BR706" t="s">
        <v>106</v>
      </c>
      <c r="BS706" t="s">
        <v>13547</v>
      </c>
      <c r="BT706" t="str">
        <f>HYPERLINK("https%3A%2F%2Fwww.webofscience.com%2Fwos%2Fwoscc%2Ffull-record%2FWOS:000576106700001","View Full Record in Web of Science")</f>
        <v>View Full Record in Web of Science</v>
      </c>
    </row>
    <row r="707" spans="1:72" x14ac:dyDescent="0.15">
      <c r="A707" t="s">
        <v>12440</v>
      </c>
      <c r="B707" t="s">
        <v>13548</v>
      </c>
      <c r="C707" t="s">
        <v>74</v>
      </c>
      <c r="D707" t="s">
        <v>13549</v>
      </c>
      <c r="E707" t="s">
        <v>74</v>
      </c>
      <c r="F707" t="s">
        <v>13550</v>
      </c>
      <c r="G707" t="s">
        <v>74</v>
      </c>
      <c r="H707" t="s">
        <v>74</v>
      </c>
      <c r="I707" t="s">
        <v>13551</v>
      </c>
      <c r="J707" t="s">
        <v>13552</v>
      </c>
      <c r="K707" t="s">
        <v>13147</v>
      </c>
      <c r="L707" t="s">
        <v>74</v>
      </c>
      <c r="M707" t="s">
        <v>78</v>
      </c>
      <c r="N707" t="s">
        <v>12447</v>
      </c>
      <c r="O707" t="s">
        <v>13553</v>
      </c>
      <c r="P707" t="s">
        <v>13554</v>
      </c>
      <c r="Q707" t="s">
        <v>13555</v>
      </c>
      <c r="R707" t="s">
        <v>74</v>
      </c>
      <c r="S707" t="s">
        <v>74</v>
      </c>
      <c r="T707" t="s">
        <v>74</v>
      </c>
      <c r="U707" t="s">
        <v>74</v>
      </c>
      <c r="V707" t="s">
        <v>13556</v>
      </c>
      <c r="W707" t="s">
        <v>13557</v>
      </c>
      <c r="X707" t="s">
        <v>13558</v>
      </c>
      <c r="Y707" t="s">
        <v>13559</v>
      </c>
      <c r="Z707" t="s">
        <v>13560</v>
      </c>
      <c r="AA707" t="s">
        <v>74</v>
      </c>
      <c r="AB707" t="s">
        <v>74</v>
      </c>
      <c r="AC707" t="s">
        <v>13561</v>
      </c>
      <c r="AD707" t="s">
        <v>13562</v>
      </c>
      <c r="AE707" t="s">
        <v>13563</v>
      </c>
      <c r="AF707" t="s">
        <v>74</v>
      </c>
      <c r="AG707">
        <v>19</v>
      </c>
      <c r="AH707">
        <v>2</v>
      </c>
      <c r="AI707">
        <v>2</v>
      </c>
      <c r="AJ707">
        <v>0</v>
      </c>
      <c r="AK707">
        <v>0</v>
      </c>
      <c r="AL707" t="s">
        <v>92</v>
      </c>
      <c r="AM707" t="s">
        <v>93</v>
      </c>
      <c r="AN707" t="s">
        <v>12860</v>
      </c>
      <c r="AO707" t="s">
        <v>13161</v>
      </c>
      <c r="AP707" t="s">
        <v>13162</v>
      </c>
      <c r="AQ707" t="s">
        <v>74</v>
      </c>
      <c r="AR707" t="s">
        <v>13163</v>
      </c>
      <c r="AS707" t="s">
        <v>74</v>
      </c>
      <c r="AT707" t="s">
        <v>74</v>
      </c>
      <c r="AU707">
        <v>2020</v>
      </c>
      <c r="AV707">
        <v>1620</v>
      </c>
      <c r="AW707" t="s">
        <v>74</v>
      </c>
      <c r="AX707" t="s">
        <v>74</v>
      </c>
      <c r="AY707" t="s">
        <v>74</v>
      </c>
      <c r="AZ707" t="s">
        <v>74</v>
      </c>
      <c r="BA707" t="s">
        <v>74</v>
      </c>
      <c r="BB707" t="s">
        <v>74</v>
      </c>
      <c r="BC707" t="s">
        <v>74</v>
      </c>
      <c r="BD707">
        <v>12019</v>
      </c>
      <c r="BE707" t="s">
        <v>13564</v>
      </c>
      <c r="BF707" t="str">
        <f>HYPERLINK("http://dx.doi.org/10.1088/1742-6596/1620/1/012019","http://dx.doi.org/10.1088/1742-6596/1620/1/012019")</f>
        <v>http://dx.doi.org/10.1088/1742-6596/1620/1/012019</v>
      </c>
      <c r="BG707" t="s">
        <v>74</v>
      </c>
      <c r="BH707" t="s">
        <v>74</v>
      </c>
      <c r="BI707">
        <v>9</v>
      </c>
      <c r="BJ707" t="s">
        <v>102</v>
      </c>
      <c r="BK707" t="s">
        <v>12464</v>
      </c>
      <c r="BL707" t="s">
        <v>102</v>
      </c>
      <c r="BM707" t="s">
        <v>13565</v>
      </c>
      <c r="BN707" t="s">
        <v>74</v>
      </c>
      <c r="BO707" t="s">
        <v>1310</v>
      </c>
      <c r="BP707" t="s">
        <v>74</v>
      </c>
      <c r="BQ707" t="s">
        <v>74</v>
      </c>
      <c r="BR707" t="s">
        <v>106</v>
      </c>
      <c r="BS707" t="s">
        <v>13566</v>
      </c>
      <c r="BT707" t="str">
        <f>HYPERLINK("https%3A%2F%2Fwww.webofscience.com%2Fwos%2Fwoscc%2Ffull-record%2FWOS:000630894000019","View Full Record in Web of Science")</f>
        <v>View Full Record in Web of Science</v>
      </c>
    </row>
    <row r="708" spans="1:72" x14ac:dyDescent="0.15">
      <c r="A708" t="s">
        <v>72</v>
      </c>
      <c r="B708" t="s">
        <v>13567</v>
      </c>
      <c r="C708" t="s">
        <v>74</v>
      </c>
      <c r="D708" t="s">
        <v>74</v>
      </c>
      <c r="E708" t="s">
        <v>74</v>
      </c>
      <c r="F708" t="s">
        <v>13568</v>
      </c>
      <c r="G708" t="s">
        <v>74</v>
      </c>
      <c r="H708" t="s">
        <v>74</v>
      </c>
      <c r="I708" t="s">
        <v>13569</v>
      </c>
      <c r="J708" t="s">
        <v>13570</v>
      </c>
      <c r="K708" t="s">
        <v>74</v>
      </c>
      <c r="L708" t="s">
        <v>74</v>
      </c>
      <c r="M708" t="s">
        <v>78</v>
      </c>
      <c r="N708" t="s">
        <v>79</v>
      </c>
      <c r="O708" t="s">
        <v>74</v>
      </c>
      <c r="P708" t="s">
        <v>74</v>
      </c>
      <c r="Q708" t="s">
        <v>74</v>
      </c>
      <c r="R708" t="s">
        <v>74</v>
      </c>
      <c r="S708" t="s">
        <v>74</v>
      </c>
      <c r="T708" t="s">
        <v>13571</v>
      </c>
      <c r="U708" t="s">
        <v>13572</v>
      </c>
      <c r="V708" t="s">
        <v>13573</v>
      </c>
      <c r="W708" t="s">
        <v>13574</v>
      </c>
      <c r="X708" t="s">
        <v>13575</v>
      </c>
      <c r="Y708" t="s">
        <v>13576</v>
      </c>
      <c r="Z708" t="s">
        <v>13577</v>
      </c>
      <c r="AA708" t="s">
        <v>13578</v>
      </c>
      <c r="AB708" t="s">
        <v>13579</v>
      </c>
      <c r="AC708" t="s">
        <v>13580</v>
      </c>
      <c r="AD708" t="s">
        <v>13581</v>
      </c>
      <c r="AE708" t="s">
        <v>13582</v>
      </c>
      <c r="AF708" t="s">
        <v>74</v>
      </c>
      <c r="AG708">
        <v>69</v>
      </c>
      <c r="AH708">
        <v>3</v>
      </c>
      <c r="AI708">
        <v>3</v>
      </c>
      <c r="AJ708">
        <v>1</v>
      </c>
      <c r="AK708">
        <v>18</v>
      </c>
      <c r="AL708" t="s">
        <v>1709</v>
      </c>
      <c r="AM708" t="s">
        <v>1710</v>
      </c>
      <c r="AN708" t="s">
        <v>1711</v>
      </c>
      <c r="AO708" t="s">
        <v>13583</v>
      </c>
      <c r="AP708" t="s">
        <v>13584</v>
      </c>
      <c r="AQ708" t="s">
        <v>74</v>
      </c>
      <c r="AR708" t="s">
        <v>13585</v>
      </c>
      <c r="AS708" t="s">
        <v>13586</v>
      </c>
      <c r="AT708" t="s">
        <v>74</v>
      </c>
      <c r="AU708">
        <v>2020</v>
      </c>
      <c r="AV708">
        <v>85</v>
      </c>
      <c r="AW708" t="s">
        <v>74</v>
      </c>
      <c r="AX708" t="s">
        <v>74</v>
      </c>
      <c r="AY708" t="s">
        <v>74</v>
      </c>
      <c r="AZ708" t="s">
        <v>74</v>
      </c>
      <c r="BA708" t="s">
        <v>74</v>
      </c>
      <c r="BB708">
        <v>197</v>
      </c>
      <c r="BC708">
        <v>210</v>
      </c>
      <c r="BD708" t="s">
        <v>74</v>
      </c>
      <c r="BE708" t="s">
        <v>13587</v>
      </c>
      <c r="BF708" t="str">
        <f>HYPERLINK("http://dx.doi.org/10.3354/ame01948","http://dx.doi.org/10.3354/ame01948")</f>
        <v>http://dx.doi.org/10.3354/ame01948</v>
      </c>
      <c r="BG708" t="s">
        <v>74</v>
      </c>
      <c r="BH708" t="s">
        <v>74</v>
      </c>
      <c r="BI708">
        <v>14</v>
      </c>
      <c r="BJ708" t="s">
        <v>9172</v>
      </c>
      <c r="BK708" t="s">
        <v>103</v>
      </c>
      <c r="BL708" t="s">
        <v>9173</v>
      </c>
      <c r="BM708" t="s">
        <v>13588</v>
      </c>
      <c r="BN708" t="s">
        <v>74</v>
      </c>
      <c r="BO708" t="s">
        <v>1542</v>
      </c>
      <c r="BP708" t="s">
        <v>74</v>
      </c>
      <c r="BQ708" t="s">
        <v>74</v>
      </c>
      <c r="BR708" t="s">
        <v>106</v>
      </c>
      <c r="BS708" t="s">
        <v>13589</v>
      </c>
      <c r="BT708" t="str">
        <f>HYPERLINK("https%3A%2F%2Fwww.webofscience.com%2Fwos%2Fwoscc%2Ffull-record%2FWOS:000621233800015","View Full Record in Web of Science")</f>
        <v>View Full Record in Web of Science</v>
      </c>
    </row>
    <row r="709" spans="1:72" x14ac:dyDescent="0.15">
      <c r="A709" t="s">
        <v>72</v>
      </c>
      <c r="B709" t="s">
        <v>13590</v>
      </c>
      <c r="C709" t="s">
        <v>74</v>
      </c>
      <c r="D709" t="s">
        <v>74</v>
      </c>
      <c r="E709" t="s">
        <v>74</v>
      </c>
      <c r="F709" t="s">
        <v>13591</v>
      </c>
      <c r="G709" t="s">
        <v>74</v>
      </c>
      <c r="H709" t="s">
        <v>74</v>
      </c>
      <c r="I709" t="s">
        <v>13592</v>
      </c>
      <c r="J709" t="s">
        <v>13593</v>
      </c>
      <c r="K709" t="s">
        <v>74</v>
      </c>
      <c r="L709" t="s">
        <v>74</v>
      </c>
      <c r="M709" t="s">
        <v>78</v>
      </c>
      <c r="N709" t="s">
        <v>79</v>
      </c>
      <c r="O709" t="s">
        <v>74</v>
      </c>
      <c r="P709" t="s">
        <v>74</v>
      </c>
      <c r="Q709" t="s">
        <v>74</v>
      </c>
      <c r="R709" t="s">
        <v>74</v>
      </c>
      <c r="S709" t="s">
        <v>74</v>
      </c>
      <c r="T709" t="s">
        <v>13594</v>
      </c>
      <c r="U709" t="s">
        <v>13595</v>
      </c>
      <c r="V709" t="s">
        <v>13596</v>
      </c>
      <c r="W709" t="s">
        <v>13597</v>
      </c>
      <c r="X709" t="s">
        <v>13598</v>
      </c>
      <c r="Y709" t="s">
        <v>13599</v>
      </c>
      <c r="Z709" t="s">
        <v>13600</v>
      </c>
      <c r="AA709" t="s">
        <v>13601</v>
      </c>
      <c r="AB709" t="s">
        <v>13602</v>
      </c>
      <c r="AC709" t="s">
        <v>13603</v>
      </c>
      <c r="AD709" t="s">
        <v>13604</v>
      </c>
      <c r="AE709" t="s">
        <v>13605</v>
      </c>
      <c r="AF709" t="s">
        <v>74</v>
      </c>
      <c r="AG709">
        <v>45</v>
      </c>
      <c r="AH709">
        <v>17</v>
      </c>
      <c r="AI709">
        <v>17</v>
      </c>
      <c r="AJ709">
        <v>3</v>
      </c>
      <c r="AK709">
        <v>10</v>
      </c>
      <c r="AL709" t="s">
        <v>289</v>
      </c>
      <c r="AM709" t="s">
        <v>290</v>
      </c>
      <c r="AN709" t="s">
        <v>291</v>
      </c>
      <c r="AO709" t="s">
        <v>74</v>
      </c>
      <c r="AP709" t="s">
        <v>13606</v>
      </c>
      <c r="AQ709" t="s">
        <v>74</v>
      </c>
      <c r="AR709" t="s">
        <v>13607</v>
      </c>
      <c r="AS709" t="s">
        <v>13608</v>
      </c>
      <c r="AT709" t="s">
        <v>1033</v>
      </c>
      <c r="AU709">
        <v>2020</v>
      </c>
      <c r="AV709">
        <v>23</v>
      </c>
      <c r="AW709" t="s">
        <v>74</v>
      </c>
      <c r="AX709" t="s">
        <v>74</v>
      </c>
      <c r="AY709" t="s">
        <v>74</v>
      </c>
      <c r="AZ709" t="s">
        <v>74</v>
      </c>
      <c r="BA709" t="s">
        <v>74</v>
      </c>
      <c r="BB709" t="s">
        <v>74</v>
      </c>
      <c r="BC709" t="s">
        <v>74</v>
      </c>
      <c r="BD709">
        <v>101452</v>
      </c>
      <c r="BE709" t="s">
        <v>13609</v>
      </c>
      <c r="BF709" t="str">
        <f>HYPERLINK("http://dx.doi.org/10.1016/j.bcab.2019.101452","http://dx.doi.org/10.1016/j.bcab.2019.101452")</f>
        <v>http://dx.doi.org/10.1016/j.bcab.2019.101452</v>
      </c>
      <c r="BG709" t="s">
        <v>74</v>
      </c>
      <c r="BH709" t="s">
        <v>74</v>
      </c>
      <c r="BI709">
        <v>8</v>
      </c>
      <c r="BJ709" t="s">
        <v>6453</v>
      </c>
      <c r="BK709" t="s">
        <v>274</v>
      </c>
      <c r="BL709" t="s">
        <v>6453</v>
      </c>
      <c r="BM709" t="s">
        <v>13610</v>
      </c>
      <c r="BN709" t="s">
        <v>74</v>
      </c>
      <c r="BO709" t="s">
        <v>74</v>
      </c>
      <c r="BP709" t="s">
        <v>74</v>
      </c>
      <c r="BQ709" t="s">
        <v>74</v>
      </c>
      <c r="BR709" t="s">
        <v>106</v>
      </c>
      <c r="BS709" t="s">
        <v>13611</v>
      </c>
      <c r="BT709" t="str">
        <f>HYPERLINK("https%3A%2F%2Fwww.webofscience.com%2Fwos%2Fwoscc%2Ffull-record%2FWOS:000621810600011","View Full Record in Web of Science")</f>
        <v>View Full Record in Web of Science</v>
      </c>
    </row>
    <row r="710" spans="1:72" x14ac:dyDescent="0.15">
      <c r="A710" t="s">
        <v>12556</v>
      </c>
      <c r="B710" t="s">
        <v>13612</v>
      </c>
      <c r="C710" t="s">
        <v>74</v>
      </c>
      <c r="D710" t="s">
        <v>13613</v>
      </c>
      <c r="E710" t="s">
        <v>74</v>
      </c>
      <c r="F710" t="s">
        <v>13614</v>
      </c>
      <c r="G710" t="s">
        <v>74</v>
      </c>
      <c r="H710" t="s">
        <v>74</v>
      </c>
      <c r="I710" t="s">
        <v>13615</v>
      </c>
      <c r="J710" t="s">
        <v>13616</v>
      </c>
      <c r="K710" t="s">
        <v>13617</v>
      </c>
      <c r="L710" t="s">
        <v>74</v>
      </c>
      <c r="M710" t="s">
        <v>78</v>
      </c>
      <c r="N710" t="s">
        <v>12422</v>
      </c>
      <c r="O710" t="s">
        <v>74</v>
      </c>
      <c r="P710" t="s">
        <v>74</v>
      </c>
      <c r="Q710" t="s">
        <v>74</v>
      </c>
      <c r="R710" t="s">
        <v>74</v>
      </c>
      <c r="S710" t="s">
        <v>74</v>
      </c>
      <c r="T710" t="s">
        <v>74</v>
      </c>
      <c r="U710" t="s">
        <v>13618</v>
      </c>
      <c r="V710" t="s">
        <v>13619</v>
      </c>
      <c r="W710" t="s">
        <v>13620</v>
      </c>
      <c r="X710" t="s">
        <v>13621</v>
      </c>
      <c r="Y710" t="s">
        <v>13622</v>
      </c>
      <c r="Z710" t="s">
        <v>13623</v>
      </c>
      <c r="AA710" t="s">
        <v>13624</v>
      </c>
      <c r="AB710" t="s">
        <v>13625</v>
      </c>
      <c r="AC710" t="s">
        <v>13626</v>
      </c>
      <c r="AD710" t="s">
        <v>13627</v>
      </c>
      <c r="AE710" t="s">
        <v>13628</v>
      </c>
      <c r="AF710" t="s">
        <v>74</v>
      </c>
      <c r="AG710">
        <v>104</v>
      </c>
      <c r="AH710">
        <v>3</v>
      </c>
      <c r="AI710">
        <v>3</v>
      </c>
      <c r="AJ710">
        <v>0</v>
      </c>
      <c r="AK710">
        <v>3</v>
      </c>
      <c r="AL710" t="s">
        <v>13629</v>
      </c>
      <c r="AM710" t="s">
        <v>13630</v>
      </c>
      <c r="AN710" t="s">
        <v>13631</v>
      </c>
      <c r="AO710" t="s">
        <v>13632</v>
      </c>
      <c r="AP710" t="s">
        <v>74</v>
      </c>
      <c r="AQ710" t="s">
        <v>13633</v>
      </c>
      <c r="AR710" t="s">
        <v>13634</v>
      </c>
      <c r="AS710" t="s">
        <v>13635</v>
      </c>
      <c r="AT710" t="s">
        <v>74</v>
      </c>
      <c r="AU710">
        <v>2020</v>
      </c>
      <c r="AV710">
        <v>497</v>
      </c>
      <c r="AW710" t="s">
        <v>74</v>
      </c>
      <c r="AX710" t="s">
        <v>74</v>
      </c>
      <c r="AY710" t="s">
        <v>74</v>
      </c>
      <c r="AZ710" t="s">
        <v>74</v>
      </c>
      <c r="BA710" t="s">
        <v>74</v>
      </c>
      <c r="BB710">
        <v>205</v>
      </c>
      <c r="BC710">
        <v>227</v>
      </c>
      <c r="BD710" t="s">
        <v>74</v>
      </c>
      <c r="BE710" t="s">
        <v>13636</v>
      </c>
      <c r="BF710" t="str">
        <f>HYPERLINK("http://dx.doi.org/10.1144/SP497-2019-38","http://dx.doi.org/10.1144/SP497-2019-38")</f>
        <v>http://dx.doi.org/10.1144/SP497-2019-38</v>
      </c>
      <c r="BG710" t="s">
        <v>13637</v>
      </c>
      <c r="BH710" t="s">
        <v>74</v>
      </c>
      <c r="BI710">
        <v>23</v>
      </c>
      <c r="BJ710" t="s">
        <v>442</v>
      </c>
      <c r="BK710" t="s">
        <v>12436</v>
      </c>
      <c r="BL710" t="s">
        <v>442</v>
      </c>
      <c r="BM710" t="s">
        <v>13638</v>
      </c>
      <c r="BN710" t="s">
        <v>74</v>
      </c>
      <c r="BO710" t="s">
        <v>74</v>
      </c>
      <c r="BP710" t="s">
        <v>74</v>
      </c>
      <c r="BQ710" t="s">
        <v>74</v>
      </c>
      <c r="BR710" t="s">
        <v>106</v>
      </c>
      <c r="BS710" t="s">
        <v>13639</v>
      </c>
      <c r="BT710" t="str">
        <f>HYPERLINK("https%3A%2F%2Fwww.webofscience.com%2Fwos%2Fwoscc%2Ffull-record%2FWOS:000620165800013","View Full Record in Web of Science")</f>
        <v>View Full Record in Web of Science</v>
      </c>
    </row>
    <row r="711" spans="1:72" x14ac:dyDescent="0.15">
      <c r="A711" t="s">
        <v>12440</v>
      </c>
      <c r="B711" t="s">
        <v>13640</v>
      </c>
      <c r="C711" t="s">
        <v>74</v>
      </c>
      <c r="D711" t="s">
        <v>13641</v>
      </c>
      <c r="E711" t="s">
        <v>74</v>
      </c>
      <c r="F711" t="s">
        <v>13642</v>
      </c>
      <c r="G711" t="s">
        <v>74</v>
      </c>
      <c r="H711" t="s">
        <v>74</v>
      </c>
      <c r="I711" t="s">
        <v>13643</v>
      </c>
      <c r="J711" t="s">
        <v>13644</v>
      </c>
      <c r="K711" t="s">
        <v>13645</v>
      </c>
      <c r="L711" t="s">
        <v>74</v>
      </c>
      <c r="M711" t="s">
        <v>78</v>
      </c>
      <c r="N711" t="s">
        <v>12447</v>
      </c>
      <c r="O711" t="s">
        <v>13646</v>
      </c>
      <c r="P711" t="s">
        <v>13647</v>
      </c>
      <c r="Q711" t="s">
        <v>13648</v>
      </c>
      <c r="R711" t="s">
        <v>74</v>
      </c>
      <c r="S711" t="s">
        <v>74</v>
      </c>
      <c r="T711" t="s">
        <v>13649</v>
      </c>
      <c r="U711" t="s">
        <v>13650</v>
      </c>
      <c r="V711" t="s">
        <v>13651</v>
      </c>
      <c r="W711" t="s">
        <v>13652</v>
      </c>
      <c r="X711" t="s">
        <v>13653</v>
      </c>
      <c r="Y711" t="s">
        <v>13654</v>
      </c>
      <c r="Z711" t="s">
        <v>13655</v>
      </c>
      <c r="AA711" t="s">
        <v>74</v>
      </c>
      <c r="AB711" t="s">
        <v>13656</v>
      </c>
      <c r="AC711" t="s">
        <v>13657</v>
      </c>
      <c r="AD711" t="s">
        <v>13658</v>
      </c>
      <c r="AE711" t="s">
        <v>13659</v>
      </c>
      <c r="AF711" t="s">
        <v>74</v>
      </c>
      <c r="AG711">
        <v>30</v>
      </c>
      <c r="AH711">
        <v>21</v>
      </c>
      <c r="AI711">
        <v>21</v>
      </c>
      <c r="AJ711">
        <v>2</v>
      </c>
      <c r="AK711">
        <v>34</v>
      </c>
      <c r="AL711" t="s">
        <v>12570</v>
      </c>
      <c r="AM711" t="s">
        <v>12571</v>
      </c>
      <c r="AN711" t="s">
        <v>12572</v>
      </c>
      <c r="AO711" t="s">
        <v>13660</v>
      </c>
      <c r="AP711" t="s">
        <v>13661</v>
      </c>
      <c r="AQ711" t="s">
        <v>13662</v>
      </c>
      <c r="AR711" t="s">
        <v>13663</v>
      </c>
      <c r="AS711" t="s">
        <v>74</v>
      </c>
      <c r="AT711" t="s">
        <v>74</v>
      </c>
      <c r="AU711">
        <v>2020</v>
      </c>
      <c r="AV711">
        <v>853</v>
      </c>
      <c r="AW711" t="s">
        <v>74</v>
      </c>
      <c r="AX711" t="s">
        <v>74</v>
      </c>
      <c r="AY711" t="s">
        <v>74</v>
      </c>
      <c r="AZ711" t="s">
        <v>74</v>
      </c>
      <c r="BA711" t="s">
        <v>74</v>
      </c>
      <c r="BB711">
        <v>158</v>
      </c>
      <c r="BC711">
        <v>170</v>
      </c>
      <c r="BD711" t="s">
        <v>74</v>
      </c>
      <c r="BE711" t="s">
        <v>13664</v>
      </c>
      <c r="BF711" t="str">
        <f>HYPERLINK("http://dx.doi.org/10.1007/978-3-030-27477-1_12","http://dx.doi.org/10.1007/978-3-030-27477-1_12")</f>
        <v>http://dx.doi.org/10.1007/978-3-030-27477-1_12</v>
      </c>
      <c r="BG711" t="s">
        <v>74</v>
      </c>
      <c r="BH711" t="s">
        <v>74</v>
      </c>
      <c r="BI711">
        <v>13</v>
      </c>
      <c r="BJ711" t="s">
        <v>13665</v>
      </c>
      <c r="BK711" t="s">
        <v>12464</v>
      </c>
      <c r="BL711" t="s">
        <v>13666</v>
      </c>
      <c r="BM711" t="s">
        <v>13667</v>
      </c>
      <c r="BN711" t="s">
        <v>74</v>
      </c>
      <c r="BO711" t="s">
        <v>74</v>
      </c>
      <c r="BP711" t="s">
        <v>74</v>
      </c>
      <c r="BQ711" t="s">
        <v>74</v>
      </c>
      <c r="BR711" t="s">
        <v>106</v>
      </c>
      <c r="BS711" t="s">
        <v>13668</v>
      </c>
      <c r="BT711" t="str">
        <f>HYPERLINK("https%3A%2F%2Fwww.webofscience.com%2Fwos%2Fwoscc%2Ffull-record%2FWOS:000620144800012","View Full Record in Web of Science")</f>
        <v>View Full Record in Web of Science</v>
      </c>
    </row>
    <row r="712" spans="1:72" x14ac:dyDescent="0.15">
      <c r="A712" t="s">
        <v>12440</v>
      </c>
      <c r="B712" t="s">
        <v>13669</v>
      </c>
      <c r="C712" t="s">
        <v>74</v>
      </c>
      <c r="D712" t="s">
        <v>13670</v>
      </c>
      <c r="E712" t="s">
        <v>74</v>
      </c>
      <c r="F712" t="s">
        <v>13671</v>
      </c>
      <c r="G712" t="s">
        <v>74</v>
      </c>
      <c r="H712" t="s">
        <v>74</v>
      </c>
      <c r="I712" t="s">
        <v>13672</v>
      </c>
      <c r="J712" t="s">
        <v>13673</v>
      </c>
      <c r="K712" t="s">
        <v>12847</v>
      </c>
      <c r="L712" t="s">
        <v>74</v>
      </c>
      <c r="M712" t="s">
        <v>78</v>
      </c>
      <c r="N712" t="s">
        <v>12447</v>
      </c>
      <c r="O712" t="s">
        <v>13674</v>
      </c>
      <c r="P712" t="s">
        <v>13675</v>
      </c>
      <c r="Q712" t="s">
        <v>12450</v>
      </c>
      <c r="R712" t="s">
        <v>74</v>
      </c>
      <c r="S712" t="s">
        <v>74</v>
      </c>
      <c r="T712" t="s">
        <v>74</v>
      </c>
      <c r="U712" t="s">
        <v>74</v>
      </c>
      <c r="V712" t="s">
        <v>13676</v>
      </c>
      <c r="W712" t="s">
        <v>13677</v>
      </c>
      <c r="X712" t="s">
        <v>13678</v>
      </c>
      <c r="Y712" t="s">
        <v>13679</v>
      </c>
      <c r="Z712" t="s">
        <v>13680</v>
      </c>
      <c r="AA712" t="s">
        <v>13681</v>
      </c>
      <c r="AB712" t="s">
        <v>13682</v>
      </c>
      <c r="AC712" t="s">
        <v>13683</v>
      </c>
      <c r="AD712" t="s">
        <v>13684</v>
      </c>
      <c r="AE712" t="s">
        <v>13685</v>
      </c>
      <c r="AF712" t="s">
        <v>74</v>
      </c>
      <c r="AG712">
        <v>12</v>
      </c>
      <c r="AH712">
        <v>0</v>
      </c>
      <c r="AI712">
        <v>0</v>
      </c>
      <c r="AJ712">
        <v>1</v>
      </c>
      <c r="AK712">
        <v>4</v>
      </c>
      <c r="AL712" t="s">
        <v>92</v>
      </c>
      <c r="AM712" t="s">
        <v>93</v>
      </c>
      <c r="AN712" t="s">
        <v>12860</v>
      </c>
      <c r="AO712" t="s">
        <v>12861</v>
      </c>
      <c r="AP712" t="s">
        <v>74</v>
      </c>
      <c r="AQ712" t="s">
        <v>74</v>
      </c>
      <c r="AR712" t="s">
        <v>12862</v>
      </c>
      <c r="AS712" t="s">
        <v>12863</v>
      </c>
      <c r="AT712" t="s">
        <v>74</v>
      </c>
      <c r="AU712">
        <v>2020</v>
      </c>
      <c r="AV712">
        <v>540</v>
      </c>
      <c r="AW712" t="s">
        <v>74</v>
      </c>
      <c r="AX712" t="s">
        <v>74</v>
      </c>
      <c r="AY712" t="s">
        <v>74</v>
      </c>
      <c r="AZ712" t="s">
        <v>74</v>
      </c>
      <c r="BA712" t="s">
        <v>74</v>
      </c>
      <c r="BB712" t="s">
        <v>74</v>
      </c>
      <c r="BC712" t="s">
        <v>74</v>
      </c>
      <c r="BD712">
        <v>12086</v>
      </c>
      <c r="BE712" t="s">
        <v>13686</v>
      </c>
      <c r="BF712" t="str">
        <f>HYPERLINK("http://dx.doi.org/10.1088/1755-1315/540/1/012086","http://dx.doi.org/10.1088/1755-1315/540/1/012086")</f>
        <v>http://dx.doi.org/10.1088/1755-1315/540/1/012086</v>
      </c>
      <c r="BG712" t="s">
        <v>74</v>
      </c>
      <c r="BH712" t="s">
        <v>74</v>
      </c>
      <c r="BI712">
        <v>10</v>
      </c>
      <c r="BJ712" t="s">
        <v>13687</v>
      </c>
      <c r="BK712" t="s">
        <v>12464</v>
      </c>
      <c r="BL712" t="s">
        <v>13688</v>
      </c>
      <c r="BM712" t="s">
        <v>13689</v>
      </c>
      <c r="BN712" t="s">
        <v>74</v>
      </c>
      <c r="BO712" t="s">
        <v>2592</v>
      </c>
      <c r="BP712" t="s">
        <v>74</v>
      </c>
      <c r="BQ712" t="s">
        <v>74</v>
      </c>
      <c r="BR712" t="s">
        <v>106</v>
      </c>
      <c r="BS712" t="s">
        <v>13690</v>
      </c>
      <c r="BT712" t="str">
        <f>HYPERLINK("https%3A%2F%2Fwww.webofscience.com%2Fwos%2Fwoscc%2Ffull-record%2FWOS:000617132600086","View Full Record in Web of Science")</f>
        <v>View Full Record in Web of Science</v>
      </c>
    </row>
    <row r="713" spans="1:72" x14ac:dyDescent="0.15">
      <c r="A713" t="s">
        <v>72</v>
      </c>
      <c r="B713" t="s">
        <v>13691</v>
      </c>
      <c r="C713" t="s">
        <v>74</v>
      </c>
      <c r="D713" t="s">
        <v>74</v>
      </c>
      <c r="E713" t="s">
        <v>74</v>
      </c>
      <c r="F713" t="s">
        <v>13692</v>
      </c>
      <c r="G713" t="s">
        <v>74</v>
      </c>
      <c r="H713" t="s">
        <v>74</v>
      </c>
      <c r="I713" t="s">
        <v>13693</v>
      </c>
      <c r="J713" t="s">
        <v>13694</v>
      </c>
      <c r="K713" t="s">
        <v>74</v>
      </c>
      <c r="L713" t="s">
        <v>74</v>
      </c>
      <c r="M713" t="s">
        <v>78</v>
      </c>
      <c r="N713" t="s">
        <v>79</v>
      </c>
      <c r="O713" t="s">
        <v>74</v>
      </c>
      <c r="P713" t="s">
        <v>74</v>
      </c>
      <c r="Q713" t="s">
        <v>74</v>
      </c>
      <c r="R713" t="s">
        <v>74</v>
      </c>
      <c r="S713" t="s">
        <v>74</v>
      </c>
      <c r="T713" t="s">
        <v>13695</v>
      </c>
      <c r="U713" t="s">
        <v>13696</v>
      </c>
      <c r="V713" t="s">
        <v>13697</v>
      </c>
      <c r="W713" t="s">
        <v>13698</v>
      </c>
      <c r="X713" t="s">
        <v>13699</v>
      </c>
      <c r="Y713" t="s">
        <v>13700</v>
      </c>
      <c r="Z713" t="s">
        <v>13701</v>
      </c>
      <c r="AA713" t="s">
        <v>13702</v>
      </c>
      <c r="AB713" t="s">
        <v>13703</v>
      </c>
      <c r="AC713" t="s">
        <v>13704</v>
      </c>
      <c r="AD713" t="s">
        <v>13704</v>
      </c>
      <c r="AE713" t="s">
        <v>13705</v>
      </c>
      <c r="AF713" t="s">
        <v>74</v>
      </c>
      <c r="AG713">
        <v>57</v>
      </c>
      <c r="AH713">
        <v>13</v>
      </c>
      <c r="AI713">
        <v>14</v>
      </c>
      <c r="AJ713">
        <v>4</v>
      </c>
      <c r="AK713">
        <v>16</v>
      </c>
      <c r="AL713" t="s">
        <v>1709</v>
      </c>
      <c r="AM713" t="s">
        <v>1710</v>
      </c>
      <c r="AN713" t="s">
        <v>1711</v>
      </c>
      <c r="AO713" t="s">
        <v>13706</v>
      </c>
      <c r="AP713" t="s">
        <v>13707</v>
      </c>
      <c r="AQ713" t="s">
        <v>74</v>
      </c>
      <c r="AR713" t="s">
        <v>13708</v>
      </c>
      <c r="AS713" t="s">
        <v>13709</v>
      </c>
      <c r="AT713" t="s">
        <v>74</v>
      </c>
      <c r="AU713">
        <v>2020</v>
      </c>
      <c r="AV713">
        <v>43</v>
      </c>
      <c r="AW713" t="s">
        <v>74</v>
      </c>
      <c r="AX713" t="s">
        <v>74</v>
      </c>
      <c r="AY713" t="s">
        <v>74</v>
      </c>
      <c r="AZ713" t="s">
        <v>74</v>
      </c>
      <c r="BA713" t="s">
        <v>74</v>
      </c>
      <c r="BB713">
        <v>291</v>
      </c>
      <c r="BC713">
        <v>304</v>
      </c>
      <c r="BD713" t="s">
        <v>74</v>
      </c>
      <c r="BE713" t="s">
        <v>13710</v>
      </c>
      <c r="BF713" t="str">
        <f>HYPERLINK("http://dx.doi.org/10.3354/esr01066","http://dx.doi.org/10.3354/esr01066")</f>
        <v>http://dx.doi.org/10.3354/esr01066</v>
      </c>
      <c r="BG713" t="s">
        <v>74</v>
      </c>
      <c r="BH713" t="s">
        <v>74</v>
      </c>
      <c r="BI713">
        <v>14</v>
      </c>
      <c r="BJ713" t="s">
        <v>13711</v>
      </c>
      <c r="BK713" t="s">
        <v>103</v>
      </c>
      <c r="BL713" t="s">
        <v>13712</v>
      </c>
      <c r="BM713" t="s">
        <v>13713</v>
      </c>
      <c r="BN713" t="s">
        <v>74</v>
      </c>
      <c r="BO713" t="s">
        <v>276</v>
      </c>
      <c r="BP713" t="s">
        <v>74</v>
      </c>
      <c r="BQ713" t="s">
        <v>74</v>
      </c>
      <c r="BR713" t="s">
        <v>106</v>
      </c>
      <c r="BS713" t="s">
        <v>13714</v>
      </c>
      <c r="BT713" t="str">
        <f>HYPERLINK("https%3A%2F%2Fwww.webofscience.com%2Fwos%2Fwoscc%2Ffull-record%2FWOS:000619516900022","View Full Record in Web of Science")</f>
        <v>View Full Record in Web of Science</v>
      </c>
    </row>
    <row r="714" spans="1:72" x14ac:dyDescent="0.15">
      <c r="A714" t="s">
        <v>72</v>
      </c>
      <c r="B714" t="s">
        <v>13715</v>
      </c>
      <c r="C714" t="s">
        <v>74</v>
      </c>
      <c r="D714" t="s">
        <v>74</v>
      </c>
      <c r="E714" t="s">
        <v>74</v>
      </c>
      <c r="F714" t="s">
        <v>13716</v>
      </c>
      <c r="G714" t="s">
        <v>74</v>
      </c>
      <c r="H714" t="s">
        <v>74</v>
      </c>
      <c r="I714" t="s">
        <v>13717</v>
      </c>
      <c r="J714" t="s">
        <v>13694</v>
      </c>
      <c r="K714" t="s">
        <v>74</v>
      </c>
      <c r="L714" t="s">
        <v>74</v>
      </c>
      <c r="M714" t="s">
        <v>78</v>
      </c>
      <c r="N714" t="s">
        <v>79</v>
      </c>
      <c r="O714" t="s">
        <v>74</v>
      </c>
      <c r="P714" t="s">
        <v>74</v>
      </c>
      <c r="Q714" t="s">
        <v>74</v>
      </c>
      <c r="R714" t="s">
        <v>74</v>
      </c>
      <c r="S714" t="s">
        <v>74</v>
      </c>
      <c r="T714" t="s">
        <v>13718</v>
      </c>
      <c r="U714" t="s">
        <v>13719</v>
      </c>
      <c r="V714" t="s">
        <v>13720</v>
      </c>
      <c r="W714" t="s">
        <v>13721</v>
      </c>
      <c r="X714" t="s">
        <v>13722</v>
      </c>
      <c r="Y714" t="s">
        <v>13723</v>
      </c>
      <c r="Z714" t="s">
        <v>13724</v>
      </c>
      <c r="AA714" t="s">
        <v>13725</v>
      </c>
      <c r="AB714" t="s">
        <v>13726</v>
      </c>
      <c r="AC714" t="s">
        <v>13727</v>
      </c>
      <c r="AD714" t="s">
        <v>13728</v>
      </c>
      <c r="AE714" t="s">
        <v>13729</v>
      </c>
      <c r="AF714" t="s">
        <v>74</v>
      </c>
      <c r="AG714">
        <v>93</v>
      </c>
      <c r="AH714">
        <v>24</v>
      </c>
      <c r="AI714">
        <v>24</v>
      </c>
      <c r="AJ714">
        <v>4</v>
      </c>
      <c r="AK714">
        <v>20</v>
      </c>
      <c r="AL714" t="s">
        <v>1709</v>
      </c>
      <c r="AM714" t="s">
        <v>1710</v>
      </c>
      <c r="AN714" t="s">
        <v>1711</v>
      </c>
      <c r="AO714" t="s">
        <v>13706</v>
      </c>
      <c r="AP714" t="s">
        <v>13707</v>
      </c>
      <c r="AQ714" t="s">
        <v>74</v>
      </c>
      <c r="AR714" t="s">
        <v>13708</v>
      </c>
      <c r="AS714" t="s">
        <v>13709</v>
      </c>
      <c r="AT714" t="s">
        <v>74</v>
      </c>
      <c r="AU714">
        <v>2020</v>
      </c>
      <c r="AV714">
        <v>43</v>
      </c>
      <c r="AW714" t="s">
        <v>74</v>
      </c>
      <c r="AX714" t="s">
        <v>74</v>
      </c>
      <c r="AY714" t="s">
        <v>74</v>
      </c>
      <c r="AZ714" t="s">
        <v>74</v>
      </c>
      <c r="BA714" t="s">
        <v>74</v>
      </c>
      <c r="BB714">
        <v>323</v>
      </c>
      <c r="BC714">
        <v>339</v>
      </c>
      <c r="BD714" t="s">
        <v>74</v>
      </c>
      <c r="BE714" t="s">
        <v>13730</v>
      </c>
      <c r="BF714" t="str">
        <f>HYPERLINK("http://dx.doi.org/10.3354/esr01072","http://dx.doi.org/10.3354/esr01072")</f>
        <v>http://dx.doi.org/10.3354/esr01072</v>
      </c>
      <c r="BG714" t="s">
        <v>74</v>
      </c>
      <c r="BH714" t="s">
        <v>74</v>
      </c>
      <c r="BI714">
        <v>17</v>
      </c>
      <c r="BJ714" t="s">
        <v>13711</v>
      </c>
      <c r="BK714" t="s">
        <v>103</v>
      </c>
      <c r="BL714" t="s">
        <v>13712</v>
      </c>
      <c r="BM714" t="s">
        <v>13713</v>
      </c>
      <c r="BN714" t="s">
        <v>74</v>
      </c>
      <c r="BO714" t="s">
        <v>2074</v>
      </c>
      <c r="BP714" t="s">
        <v>74</v>
      </c>
      <c r="BQ714" t="s">
        <v>74</v>
      </c>
      <c r="BR714" t="s">
        <v>106</v>
      </c>
      <c r="BS714" t="s">
        <v>13731</v>
      </c>
      <c r="BT714" t="str">
        <f>HYPERLINK("https%3A%2F%2Fwww.webofscience.com%2Fwos%2Fwoscc%2Ffull-record%2FWOS:000619516900024","View Full Record in Web of Science")</f>
        <v>View Full Record in Web of Science</v>
      </c>
    </row>
    <row r="715" spans="1:72" x14ac:dyDescent="0.15">
      <c r="A715" t="s">
        <v>72</v>
      </c>
      <c r="B715" t="s">
        <v>13732</v>
      </c>
      <c r="C715" t="s">
        <v>74</v>
      </c>
      <c r="D715" t="s">
        <v>74</v>
      </c>
      <c r="E715" t="s">
        <v>74</v>
      </c>
      <c r="F715" t="s">
        <v>13733</v>
      </c>
      <c r="G715" t="s">
        <v>74</v>
      </c>
      <c r="H715" t="s">
        <v>74</v>
      </c>
      <c r="I715" t="s">
        <v>13734</v>
      </c>
      <c r="J715" t="s">
        <v>13694</v>
      </c>
      <c r="K715" t="s">
        <v>74</v>
      </c>
      <c r="L715" t="s">
        <v>74</v>
      </c>
      <c r="M715" t="s">
        <v>78</v>
      </c>
      <c r="N715" t="s">
        <v>79</v>
      </c>
      <c r="O715" t="s">
        <v>74</v>
      </c>
      <c r="P715" t="s">
        <v>74</v>
      </c>
      <c r="Q715" t="s">
        <v>74</v>
      </c>
      <c r="R715" t="s">
        <v>74</v>
      </c>
      <c r="S715" t="s">
        <v>74</v>
      </c>
      <c r="T715" t="s">
        <v>13735</v>
      </c>
      <c r="U715" t="s">
        <v>13736</v>
      </c>
      <c r="V715" t="s">
        <v>13737</v>
      </c>
      <c r="W715" t="s">
        <v>13738</v>
      </c>
      <c r="X715" t="s">
        <v>13739</v>
      </c>
      <c r="Y715" t="s">
        <v>13740</v>
      </c>
      <c r="Z715" t="s">
        <v>13741</v>
      </c>
      <c r="AA715" t="s">
        <v>13742</v>
      </c>
      <c r="AB715" t="s">
        <v>13743</v>
      </c>
      <c r="AC715" t="s">
        <v>13744</v>
      </c>
      <c r="AD715" t="s">
        <v>13745</v>
      </c>
      <c r="AE715" t="s">
        <v>13746</v>
      </c>
      <c r="AF715" t="s">
        <v>74</v>
      </c>
      <c r="AG715">
        <v>61</v>
      </c>
      <c r="AH715">
        <v>3</v>
      </c>
      <c r="AI715">
        <v>3</v>
      </c>
      <c r="AJ715">
        <v>3</v>
      </c>
      <c r="AK715">
        <v>9</v>
      </c>
      <c r="AL715" t="s">
        <v>1709</v>
      </c>
      <c r="AM715" t="s">
        <v>1710</v>
      </c>
      <c r="AN715" t="s">
        <v>1711</v>
      </c>
      <c r="AO715" t="s">
        <v>13706</v>
      </c>
      <c r="AP715" t="s">
        <v>13707</v>
      </c>
      <c r="AQ715" t="s">
        <v>74</v>
      </c>
      <c r="AR715" t="s">
        <v>13708</v>
      </c>
      <c r="AS715" t="s">
        <v>13709</v>
      </c>
      <c r="AT715" t="s">
        <v>74</v>
      </c>
      <c r="AU715">
        <v>2020</v>
      </c>
      <c r="AV715">
        <v>42</v>
      </c>
      <c r="AW715" t="s">
        <v>74</v>
      </c>
      <c r="AX715" t="s">
        <v>74</v>
      </c>
      <c r="AY715" t="s">
        <v>74</v>
      </c>
      <c r="AZ715" t="s">
        <v>74</v>
      </c>
      <c r="BA715" t="s">
        <v>74</v>
      </c>
      <c r="BB715">
        <v>185</v>
      </c>
      <c r="BC715">
        <v>199</v>
      </c>
      <c r="BD715" t="s">
        <v>74</v>
      </c>
      <c r="BE715" t="s">
        <v>13747</v>
      </c>
      <c r="BF715" t="str">
        <f>HYPERLINK("http://dx.doi.org/10.3354/esr01048","http://dx.doi.org/10.3354/esr01048")</f>
        <v>http://dx.doi.org/10.3354/esr01048</v>
      </c>
      <c r="BG715" t="s">
        <v>74</v>
      </c>
      <c r="BH715" t="s">
        <v>74</v>
      </c>
      <c r="BI715">
        <v>15</v>
      </c>
      <c r="BJ715" t="s">
        <v>13711</v>
      </c>
      <c r="BK715" t="s">
        <v>1149</v>
      </c>
      <c r="BL715" t="s">
        <v>13712</v>
      </c>
      <c r="BM715" t="s">
        <v>13748</v>
      </c>
      <c r="BN715" t="s">
        <v>74</v>
      </c>
      <c r="BO715" t="s">
        <v>2592</v>
      </c>
      <c r="BP715" t="s">
        <v>74</v>
      </c>
      <c r="BQ715" t="s">
        <v>74</v>
      </c>
      <c r="BR715" t="s">
        <v>106</v>
      </c>
      <c r="BS715" t="s">
        <v>13749</v>
      </c>
      <c r="BT715" t="str">
        <f>HYPERLINK("https%3A%2F%2Fwww.webofscience.com%2Fwos%2Fwoscc%2Ffull-record%2FWOS:000619513900013","View Full Record in Web of Science")</f>
        <v>View Full Record in Web of Science</v>
      </c>
    </row>
    <row r="716" spans="1:72" x14ac:dyDescent="0.15">
      <c r="A716" t="s">
        <v>72</v>
      </c>
      <c r="B716" t="s">
        <v>13750</v>
      </c>
      <c r="C716" t="s">
        <v>74</v>
      </c>
      <c r="D716" t="s">
        <v>74</v>
      </c>
      <c r="E716" t="s">
        <v>74</v>
      </c>
      <c r="F716" t="s">
        <v>13751</v>
      </c>
      <c r="G716" t="s">
        <v>74</v>
      </c>
      <c r="H716" t="s">
        <v>74</v>
      </c>
      <c r="I716" t="s">
        <v>13752</v>
      </c>
      <c r="J716" t="s">
        <v>13753</v>
      </c>
      <c r="K716" t="s">
        <v>74</v>
      </c>
      <c r="L716" t="s">
        <v>74</v>
      </c>
      <c r="M716" t="s">
        <v>78</v>
      </c>
      <c r="N716" t="s">
        <v>79</v>
      </c>
      <c r="O716" t="s">
        <v>74</v>
      </c>
      <c r="P716" t="s">
        <v>74</v>
      </c>
      <c r="Q716" t="s">
        <v>74</v>
      </c>
      <c r="R716" t="s">
        <v>74</v>
      </c>
      <c r="S716" t="s">
        <v>74</v>
      </c>
      <c r="T716" t="s">
        <v>13754</v>
      </c>
      <c r="U716" t="s">
        <v>13755</v>
      </c>
      <c r="V716" t="s">
        <v>13756</v>
      </c>
      <c r="W716" t="s">
        <v>13757</v>
      </c>
      <c r="X716" t="s">
        <v>13758</v>
      </c>
      <c r="Y716" t="s">
        <v>13759</v>
      </c>
      <c r="Z716" t="s">
        <v>13760</v>
      </c>
      <c r="AA716" t="s">
        <v>13761</v>
      </c>
      <c r="AB716" t="s">
        <v>13762</v>
      </c>
      <c r="AC716" t="s">
        <v>13763</v>
      </c>
      <c r="AD716" t="s">
        <v>13764</v>
      </c>
      <c r="AE716" t="s">
        <v>13765</v>
      </c>
      <c r="AF716" t="s">
        <v>74</v>
      </c>
      <c r="AG716">
        <v>75</v>
      </c>
      <c r="AH716">
        <v>3</v>
      </c>
      <c r="AI716">
        <v>3</v>
      </c>
      <c r="AJ716">
        <v>2</v>
      </c>
      <c r="AK716">
        <v>13</v>
      </c>
      <c r="AL716" t="s">
        <v>1709</v>
      </c>
      <c r="AM716" t="s">
        <v>1710</v>
      </c>
      <c r="AN716" t="s">
        <v>1711</v>
      </c>
      <c r="AO716" t="s">
        <v>13766</v>
      </c>
      <c r="AP716" t="s">
        <v>13767</v>
      </c>
      <c r="AQ716" t="s">
        <v>74</v>
      </c>
      <c r="AR716" t="s">
        <v>13768</v>
      </c>
      <c r="AS716" t="s">
        <v>13769</v>
      </c>
      <c r="AT716" t="s">
        <v>74</v>
      </c>
      <c r="AU716">
        <v>2020</v>
      </c>
      <c r="AV716">
        <v>142</v>
      </c>
      <c r="AW716" t="s">
        <v>74</v>
      </c>
      <c r="AX716" t="s">
        <v>74</v>
      </c>
      <c r="AY716" t="s">
        <v>74</v>
      </c>
      <c r="AZ716" t="s">
        <v>74</v>
      </c>
      <c r="BA716" t="s">
        <v>74</v>
      </c>
      <c r="BB716">
        <v>161</v>
      </c>
      <c r="BC716">
        <v>170</v>
      </c>
      <c r="BD716" t="s">
        <v>74</v>
      </c>
      <c r="BE716" t="s">
        <v>13770</v>
      </c>
      <c r="BF716" t="str">
        <f>HYPERLINK("http://dx.doi.org/10.3354/dao03548","http://dx.doi.org/10.3354/dao03548")</f>
        <v>http://dx.doi.org/10.3354/dao03548</v>
      </c>
      <c r="BG716" t="s">
        <v>74</v>
      </c>
      <c r="BH716" t="s">
        <v>74</v>
      </c>
      <c r="BI716">
        <v>10</v>
      </c>
      <c r="BJ716" t="s">
        <v>13771</v>
      </c>
      <c r="BK716" t="s">
        <v>103</v>
      </c>
      <c r="BL716" t="s">
        <v>13771</v>
      </c>
      <c r="BM716" t="s">
        <v>13772</v>
      </c>
      <c r="BN716">
        <v>33331283</v>
      </c>
      <c r="BO716" t="s">
        <v>74</v>
      </c>
      <c r="BP716" t="s">
        <v>74</v>
      </c>
      <c r="BQ716" t="s">
        <v>74</v>
      </c>
      <c r="BR716" t="s">
        <v>106</v>
      </c>
      <c r="BS716" t="s">
        <v>13773</v>
      </c>
      <c r="BT716" t="str">
        <f>HYPERLINK("https%3A%2F%2Fwww.webofscience.com%2Fwos%2Fwoscc%2Ffull-record%2FWOS:000614220600017","View Full Record in Web of Science")</f>
        <v>View Full Record in Web of Science</v>
      </c>
    </row>
    <row r="717" spans="1:72" x14ac:dyDescent="0.15">
      <c r="A717" t="s">
        <v>12556</v>
      </c>
      <c r="B717" t="s">
        <v>13774</v>
      </c>
      <c r="C717" t="s">
        <v>74</v>
      </c>
      <c r="D717" t="s">
        <v>13775</v>
      </c>
      <c r="E717" t="s">
        <v>74</v>
      </c>
      <c r="F717" t="s">
        <v>13776</v>
      </c>
      <c r="G717" t="s">
        <v>74</v>
      </c>
      <c r="H717" t="s">
        <v>74</v>
      </c>
      <c r="I717" t="s">
        <v>13777</v>
      </c>
      <c r="J717" t="s">
        <v>13778</v>
      </c>
      <c r="K717" t="s">
        <v>13779</v>
      </c>
      <c r="L717" t="s">
        <v>74</v>
      </c>
      <c r="M717" t="s">
        <v>78</v>
      </c>
      <c r="N717" t="s">
        <v>13780</v>
      </c>
      <c r="O717" t="s">
        <v>74</v>
      </c>
      <c r="P717" t="s">
        <v>74</v>
      </c>
      <c r="Q717" t="s">
        <v>74</v>
      </c>
      <c r="R717" t="s">
        <v>74</v>
      </c>
      <c r="S717" t="s">
        <v>74</v>
      </c>
      <c r="T717" t="s">
        <v>13781</v>
      </c>
      <c r="U717" t="s">
        <v>13782</v>
      </c>
      <c r="V717" t="s">
        <v>13783</v>
      </c>
      <c r="W717" t="s">
        <v>13784</v>
      </c>
      <c r="X717" t="s">
        <v>13785</v>
      </c>
      <c r="Y717" t="s">
        <v>13786</v>
      </c>
      <c r="Z717" t="s">
        <v>13787</v>
      </c>
      <c r="AA717" t="s">
        <v>13788</v>
      </c>
      <c r="AB717" t="s">
        <v>13789</v>
      </c>
      <c r="AC717" t="s">
        <v>13790</v>
      </c>
      <c r="AD717" t="s">
        <v>13791</v>
      </c>
      <c r="AE717" t="s">
        <v>74</v>
      </c>
      <c r="AF717" t="s">
        <v>74</v>
      </c>
      <c r="AG717">
        <v>164</v>
      </c>
      <c r="AH717">
        <v>6</v>
      </c>
      <c r="AI717">
        <v>6</v>
      </c>
      <c r="AJ717">
        <v>5</v>
      </c>
      <c r="AK717">
        <v>19</v>
      </c>
      <c r="AL717" t="s">
        <v>13792</v>
      </c>
      <c r="AM717" t="s">
        <v>13793</v>
      </c>
      <c r="AN717" t="s">
        <v>13794</v>
      </c>
      <c r="AO717" t="s">
        <v>13795</v>
      </c>
      <c r="AP717" t="s">
        <v>13796</v>
      </c>
      <c r="AQ717" t="s">
        <v>13797</v>
      </c>
      <c r="AR717" t="s">
        <v>13798</v>
      </c>
      <c r="AS717" t="s">
        <v>13799</v>
      </c>
      <c r="AT717" t="s">
        <v>74</v>
      </c>
      <c r="AU717">
        <v>2020</v>
      </c>
      <c r="AV717">
        <v>48</v>
      </c>
      <c r="AW717" t="s">
        <v>74</v>
      </c>
      <c r="AX717" t="s">
        <v>74</v>
      </c>
      <c r="AY717" t="s">
        <v>74</v>
      </c>
      <c r="AZ717" t="s">
        <v>74</v>
      </c>
      <c r="BA717" t="s">
        <v>74</v>
      </c>
      <c r="BB717">
        <v>233</v>
      </c>
      <c r="BC717">
        <v>258</v>
      </c>
      <c r="BD717" t="s">
        <v>74</v>
      </c>
      <c r="BE717" t="s">
        <v>13800</v>
      </c>
      <c r="BF717" t="str">
        <f>HYPERLINK("http://dx.doi.org/10.1146/annurev-earth-082719-055815","http://dx.doi.org/10.1146/annurev-earth-082719-055815")</f>
        <v>http://dx.doi.org/10.1146/annurev-earth-082719-055815</v>
      </c>
      <c r="BG717" t="s">
        <v>74</v>
      </c>
      <c r="BH717" t="s">
        <v>74</v>
      </c>
      <c r="BI717">
        <v>26</v>
      </c>
      <c r="BJ717" t="s">
        <v>3781</v>
      </c>
      <c r="BK717" t="s">
        <v>13801</v>
      </c>
      <c r="BL717" t="s">
        <v>3782</v>
      </c>
      <c r="BM717" t="s">
        <v>13802</v>
      </c>
      <c r="BN717">
        <v>33380754</v>
      </c>
      <c r="BO717" t="s">
        <v>4545</v>
      </c>
      <c r="BP717" t="s">
        <v>74</v>
      </c>
      <c r="BQ717" t="s">
        <v>74</v>
      </c>
      <c r="BR717" t="s">
        <v>106</v>
      </c>
      <c r="BS717" t="s">
        <v>13803</v>
      </c>
      <c r="BT717" t="str">
        <f>HYPERLINK("https%3A%2F%2Fwww.webofscience.com%2Fwos%2Fwoscc%2Ffull-record%2FWOS:000613951000011","View Full Record in Web of Science")</f>
        <v>View Full Record in Web of Science</v>
      </c>
    </row>
    <row r="718" spans="1:72" x14ac:dyDescent="0.15">
      <c r="A718" t="s">
        <v>12556</v>
      </c>
      <c r="B718" t="s">
        <v>13804</v>
      </c>
      <c r="C718" t="s">
        <v>74</v>
      </c>
      <c r="D718" t="s">
        <v>13775</v>
      </c>
      <c r="E718" t="s">
        <v>74</v>
      </c>
      <c r="F718" t="s">
        <v>13805</v>
      </c>
      <c r="G718" t="s">
        <v>74</v>
      </c>
      <c r="H718" t="s">
        <v>74</v>
      </c>
      <c r="I718" t="s">
        <v>13806</v>
      </c>
      <c r="J718" t="s">
        <v>13778</v>
      </c>
      <c r="K718" t="s">
        <v>13779</v>
      </c>
      <c r="L718" t="s">
        <v>74</v>
      </c>
      <c r="M718" t="s">
        <v>78</v>
      </c>
      <c r="N718" t="s">
        <v>13780</v>
      </c>
      <c r="O718" t="s">
        <v>74</v>
      </c>
      <c r="P718" t="s">
        <v>74</v>
      </c>
      <c r="Q718" t="s">
        <v>74</v>
      </c>
      <c r="R718" t="s">
        <v>74</v>
      </c>
      <c r="S718" t="s">
        <v>74</v>
      </c>
      <c r="T718" t="s">
        <v>13807</v>
      </c>
      <c r="U718" t="s">
        <v>13808</v>
      </c>
      <c r="V718" t="s">
        <v>13809</v>
      </c>
      <c r="W718" t="s">
        <v>13810</v>
      </c>
      <c r="X718" t="s">
        <v>13811</v>
      </c>
      <c r="Y718" t="s">
        <v>13812</v>
      </c>
      <c r="Z718" t="s">
        <v>13813</v>
      </c>
      <c r="AA718" t="s">
        <v>13814</v>
      </c>
      <c r="AB718" t="s">
        <v>13815</v>
      </c>
      <c r="AC718" t="s">
        <v>13816</v>
      </c>
      <c r="AD718" t="s">
        <v>1736</v>
      </c>
      <c r="AE718" t="s">
        <v>74</v>
      </c>
      <c r="AF718" t="s">
        <v>74</v>
      </c>
      <c r="AG718">
        <v>176</v>
      </c>
      <c r="AH718">
        <v>48</v>
      </c>
      <c r="AI718">
        <v>50</v>
      </c>
      <c r="AJ718">
        <v>10</v>
      </c>
      <c r="AK718">
        <v>70</v>
      </c>
      <c r="AL718" t="s">
        <v>13792</v>
      </c>
      <c r="AM718" t="s">
        <v>13793</v>
      </c>
      <c r="AN718" t="s">
        <v>13794</v>
      </c>
      <c r="AO718" t="s">
        <v>13795</v>
      </c>
      <c r="AP718" t="s">
        <v>13796</v>
      </c>
      <c r="AQ718" t="s">
        <v>13797</v>
      </c>
      <c r="AR718" t="s">
        <v>13798</v>
      </c>
      <c r="AS718" t="s">
        <v>13799</v>
      </c>
      <c r="AT718" t="s">
        <v>74</v>
      </c>
      <c r="AU718">
        <v>2020</v>
      </c>
      <c r="AV718">
        <v>48</v>
      </c>
      <c r="AW718" t="s">
        <v>74</v>
      </c>
      <c r="AX718" t="s">
        <v>74</v>
      </c>
      <c r="AY718" t="s">
        <v>74</v>
      </c>
      <c r="AZ718" t="s">
        <v>74</v>
      </c>
      <c r="BA718" t="s">
        <v>74</v>
      </c>
      <c r="BB718">
        <v>403</v>
      </c>
      <c r="BC718">
        <v>429</v>
      </c>
      <c r="BD718" t="s">
        <v>74</v>
      </c>
      <c r="BE718" t="s">
        <v>13817</v>
      </c>
      <c r="BF718" t="str">
        <f>HYPERLINK("http://dx.doi.org/10.1146/annurev-earth-081619-052818","http://dx.doi.org/10.1146/annurev-earth-081619-052818")</f>
        <v>http://dx.doi.org/10.1146/annurev-earth-081619-052818</v>
      </c>
      <c r="BG718" t="s">
        <v>74</v>
      </c>
      <c r="BH718" t="s">
        <v>74</v>
      </c>
      <c r="BI718">
        <v>27</v>
      </c>
      <c r="BJ718" t="s">
        <v>3781</v>
      </c>
      <c r="BK718" t="s">
        <v>13801</v>
      </c>
      <c r="BL718" t="s">
        <v>3782</v>
      </c>
      <c r="BM718" t="s">
        <v>13802</v>
      </c>
      <c r="BN718" t="s">
        <v>74</v>
      </c>
      <c r="BO718" t="s">
        <v>2488</v>
      </c>
      <c r="BP718" t="s">
        <v>74</v>
      </c>
      <c r="BQ718" t="s">
        <v>74</v>
      </c>
      <c r="BR718" t="s">
        <v>106</v>
      </c>
      <c r="BS718" t="s">
        <v>13818</v>
      </c>
      <c r="BT718" t="str">
        <f>HYPERLINK("https%3A%2F%2Fwww.webofscience.com%2Fwos%2Fwoscc%2Ffull-record%2FWOS:000613951000017","View Full Record in Web of Science")</f>
        <v>View Full Record in Web of Science</v>
      </c>
    </row>
    <row r="719" spans="1:72" x14ac:dyDescent="0.15">
      <c r="A719" t="s">
        <v>72</v>
      </c>
      <c r="B719" t="s">
        <v>13819</v>
      </c>
      <c r="C719" t="s">
        <v>74</v>
      </c>
      <c r="D719" t="s">
        <v>74</v>
      </c>
      <c r="E719" t="s">
        <v>74</v>
      </c>
      <c r="F719" t="s">
        <v>13820</v>
      </c>
      <c r="G719" t="s">
        <v>74</v>
      </c>
      <c r="H719" t="s">
        <v>74</v>
      </c>
      <c r="I719" t="s">
        <v>13821</v>
      </c>
      <c r="J719" t="s">
        <v>13753</v>
      </c>
      <c r="K719" t="s">
        <v>74</v>
      </c>
      <c r="L719" t="s">
        <v>74</v>
      </c>
      <c r="M719" t="s">
        <v>78</v>
      </c>
      <c r="N719" t="s">
        <v>79</v>
      </c>
      <c r="O719" t="s">
        <v>74</v>
      </c>
      <c r="P719" t="s">
        <v>74</v>
      </c>
      <c r="Q719" t="s">
        <v>74</v>
      </c>
      <c r="R719" t="s">
        <v>74</v>
      </c>
      <c r="S719" t="s">
        <v>74</v>
      </c>
      <c r="T719" t="s">
        <v>13822</v>
      </c>
      <c r="U719" t="s">
        <v>13823</v>
      </c>
      <c r="V719" t="s">
        <v>13824</v>
      </c>
      <c r="W719" t="s">
        <v>13825</v>
      </c>
      <c r="X719" t="s">
        <v>13826</v>
      </c>
      <c r="Y719" t="s">
        <v>13827</v>
      </c>
      <c r="Z719" t="s">
        <v>13828</v>
      </c>
      <c r="AA719" t="s">
        <v>13829</v>
      </c>
      <c r="AB719" t="s">
        <v>13830</v>
      </c>
      <c r="AC719" t="s">
        <v>13831</v>
      </c>
      <c r="AD719" t="s">
        <v>13832</v>
      </c>
      <c r="AE719" t="s">
        <v>13833</v>
      </c>
      <c r="AF719" t="s">
        <v>74</v>
      </c>
      <c r="AG719">
        <v>31</v>
      </c>
      <c r="AH719">
        <v>3</v>
      </c>
      <c r="AI719">
        <v>3</v>
      </c>
      <c r="AJ719">
        <v>1</v>
      </c>
      <c r="AK719">
        <v>2</v>
      </c>
      <c r="AL719" t="s">
        <v>1709</v>
      </c>
      <c r="AM719" t="s">
        <v>1710</v>
      </c>
      <c r="AN719" t="s">
        <v>1711</v>
      </c>
      <c r="AO719" t="s">
        <v>13766</v>
      </c>
      <c r="AP719" t="s">
        <v>13767</v>
      </c>
      <c r="AQ719" t="s">
        <v>74</v>
      </c>
      <c r="AR719" t="s">
        <v>13768</v>
      </c>
      <c r="AS719" t="s">
        <v>13769</v>
      </c>
      <c r="AT719" t="s">
        <v>74</v>
      </c>
      <c r="AU719">
        <v>2020</v>
      </c>
      <c r="AV719">
        <v>140</v>
      </c>
      <c r="AW719" t="s">
        <v>74</v>
      </c>
      <c r="AX719" t="s">
        <v>74</v>
      </c>
      <c r="AY719" t="s">
        <v>74</v>
      </c>
      <c r="AZ719" t="s">
        <v>74</v>
      </c>
      <c r="BA719" t="s">
        <v>74</v>
      </c>
      <c r="BB719">
        <v>103</v>
      </c>
      <c r="BC719">
        <v>108</v>
      </c>
      <c r="BD719" t="s">
        <v>74</v>
      </c>
      <c r="BE719" t="s">
        <v>13834</v>
      </c>
      <c r="BF719" t="str">
        <f>HYPERLINK("http://dx.doi.org/10.3354/dao03498","http://dx.doi.org/10.3354/dao03498")</f>
        <v>http://dx.doi.org/10.3354/dao03498</v>
      </c>
      <c r="BG719" t="s">
        <v>74</v>
      </c>
      <c r="BH719" t="s">
        <v>74</v>
      </c>
      <c r="BI719">
        <v>6</v>
      </c>
      <c r="BJ719" t="s">
        <v>13771</v>
      </c>
      <c r="BK719" t="s">
        <v>103</v>
      </c>
      <c r="BL719" t="s">
        <v>13771</v>
      </c>
      <c r="BM719" t="s">
        <v>13835</v>
      </c>
      <c r="BN719">
        <v>32701066</v>
      </c>
      <c r="BO719" t="s">
        <v>74</v>
      </c>
      <c r="BP719" t="s">
        <v>74</v>
      </c>
      <c r="BQ719" t="s">
        <v>74</v>
      </c>
      <c r="BR719" t="s">
        <v>106</v>
      </c>
      <c r="BS719" t="s">
        <v>13836</v>
      </c>
      <c r="BT719" t="str">
        <f>HYPERLINK("https%3A%2F%2Fwww.webofscience.com%2Fwos%2Fwoscc%2Ffull-record%2FWOS:000614219200011","View Full Record in Web of Science")</f>
        <v>View Full Record in Web of Science</v>
      </c>
    </row>
    <row r="720" spans="1:72" x14ac:dyDescent="0.15">
      <c r="A720" t="s">
        <v>72</v>
      </c>
      <c r="B720" t="s">
        <v>13837</v>
      </c>
      <c r="C720" t="s">
        <v>74</v>
      </c>
      <c r="D720" t="s">
        <v>74</v>
      </c>
      <c r="E720" t="s">
        <v>74</v>
      </c>
      <c r="F720" t="s">
        <v>13838</v>
      </c>
      <c r="G720" t="s">
        <v>74</v>
      </c>
      <c r="H720" t="s">
        <v>74</v>
      </c>
      <c r="I720" t="s">
        <v>13839</v>
      </c>
      <c r="J720" t="s">
        <v>5066</v>
      </c>
      <c r="K720" t="s">
        <v>74</v>
      </c>
      <c r="L720" t="s">
        <v>74</v>
      </c>
      <c r="M720" t="s">
        <v>78</v>
      </c>
      <c r="N720" t="s">
        <v>79</v>
      </c>
      <c r="O720" t="s">
        <v>74</v>
      </c>
      <c r="P720" t="s">
        <v>74</v>
      </c>
      <c r="Q720" t="s">
        <v>74</v>
      </c>
      <c r="R720" t="s">
        <v>74</v>
      </c>
      <c r="S720" t="s">
        <v>74</v>
      </c>
      <c r="T720" t="s">
        <v>74</v>
      </c>
      <c r="U720" t="s">
        <v>13840</v>
      </c>
      <c r="V720" t="s">
        <v>13841</v>
      </c>
      <c r="W720" t="s">
        <v>13842</v>
      </c>
      <c r="X720" t="s">
        <v>13843</v>
      </c>
      <c r="Y720" t="s">
        <v>13844</v>
      </c>
      <c r="Z720" t="s">
        <v>13845</v>
      </c>
      <c r="AA720" t="s">
        <v>13846</v>
      </c>
      <c r="AB720" t="s">
        <v>13847</v>
      </c>
      <c r="AC720" t="s">
        <v>74</v>
      </c>
      <c r="AD720" t="s">
        <v>74</v>
      </c>
      <c r="AE720" t="s">
        <v>74</v>
      </c>
      <c r="AF720" t="s">
        <v>74</v>
      </c>
      <c r="AG720">
        <v>41</v>
      </c>
      <c r="AH720">
        <v>22</v>
      </c>
      <c r="AI720">
        <v>23</v>
      </c>
      <c r="AJ720">
        <v>0</v>
      </c>
      <c r="AK720">
        <v>5</v>
      </c>
      <c r="AL720" t="s">
        <v>4084</v>
      </c>
      <c r="AM720" t="s">
        <v>4085</v>
      </c>
      <c r="AN720" t="s">
        <v>4086</v>
      </c>
      <c r="AO720" t="s">
        <v>5079</v>
      </c>
      <c r="AP720" t="s">
        <v>5080</v>
      </c>
      <c r="AQ720" t="s">
        <v>74</v>
      </c>
      <c r="AR720" t="s">
        <v>5081</v>
      </c>
      <c r="AS720" t="s">
        <v>5082</v>
      </c>
      <c r="AT720" t="s">
        <v>1033</v>
      </c>
      <c r="AU720">
        <v>2020</v>
      </c>
      <c r="AV720">
        <v>33</v>
      </c>
      <c r="AW720">
        <v>1</v>
      </c>
      <c r="AX720" t="s">
        <v>74</v>
      </c>
      <c r="AY720" t="s">
        <v>74</v>
      </c>
      <c r="AZ720" t="s">
        <v>74</v>
      </c>
      <c r="BA720" t="s">
        <v>74</v>
      </c>
      <c r="BB720">
        <v>115</v>
      </c>
      <c r="BC720">
        <v>129</v>
      </c>
      <c r="BD720" t="s">
        <v>74</v>
      </c>
      <c r="BE720" t="s">
        <v>13848</v>
      </c>
      <c r="BF720" t="str">
        <f>HYPERLINK("http://dx.doi.org/10.1175/JCLI-D-19-0224.1","http://dx.doi.org/10.1175/JCLI-D-19-0224.1")</f>
        <v>http://dx.doi.org/10.1175/JCLI-D-19-0224.1</v>
      </c>
      <c r="BG720" t="s">
        <v>74</v>
      </c>
      <c r="BH720" t="s">
        <v>74</v>
      </c>
      <c r="BI720">
        <v>15</v>
      </c>
      <c r="BJ720" t="s">
        <v>907</v>
      </c>
      <c r="BK720" t="s">
        <v>103</v>
      </c>
      <c r="BL720" t="s">
        <v>907</v>
      </c>
      <c r="BM720" t="s">
        <v>13849</v>
      </c>
      <c r="BN720" t="s">
        <v>74</v>
      </c>
      <c r="BO720" t="s">
        <v>2488</v>
      </c>
      <c r="BP720" t="s">
        <v>74</v>
      </c>
      <c r="BQ720" t="s">
        <v>74</v>
      </c>
      <c r="BR720" t="s">
        <v>106</v>
      </c>
      <c r="BS720" t="s">
        <v>13850</v>
      </c>
      <c r="BT720" t="str">
        <f>HYPERLINK("https%3A%2F%2Fwww.webofscience.com%2Fwos%2Fwoscc%2Ffull-record%2FWOS:000615086300001","View Full Record in Web of Science")</f>
        <v>View Full Record in Web of Science</v>
      </c>
    </row>
    <row r="721" spans="1:72" x14ac:dyDescent="0.15">
      <c r="A721" t="s">
        <v>72</v>
      </c>
      <c r="B721" t="s">
        <v>13851</v>
      </c>
      <c r="C721" t="s">
        <v>74</v>
      </c>
      <c r="D721" t="s">
        <v>74</v>
      </c>
      <c r="E721" t="s">
        <v>74</v>
      </c>
      <c r="F721" t="s">
        <v>13852</v>
      </c>
      <c r="G721" t="s">
        <v>74</v>
      </c>
      <c r="H721" t="s">
        <v>74</v>
      </c>
      <c r="I721" t="s">
        <v>13853</v>
      </c>
      <c r="J721" t="s">
        <v>13854</v>
      </c>
      <c r="K721" t="s">
        <v>74</v>
      </c>
      <c r="L721" t="s">
        <v>74</v>
      </c>
      <c r="M721" t="s">
        <v>78</v>
      </c>
      <c r="N721" t="s">
        <v>52</v>
      </c>
      <c r="O721" t="s">
        <v>74</v>
      </c>
      <c r="P721" t="s">
        <v>74</v>
      </c>
      <c r="Q721" t="s">
        <v>74</v>
      </c>
      <c r="R721" t="s">
        <v>74</v>
      </c>
      <c r="S721" t="s">
        <v>74</v>
      </c>
      <c r="T721" t="s">
        <v>74</v>
      </c>
      <c r="U721" t="s">
        <v>74</v>
      </c>
      <c r="V721" t="s">
        <v>74</v>
      </c>
      <c r="W721" t="s">
        <v>13855</v>
      </c>
      <c r="X721" t="s">
        <v>13856</v>
      </c>
      <c r="Y721" t="s">
        <v>74</v>
      </c>
      <c r="Z721" t="s">
        <v>74</v>
      </c>
      <c r="AA721" t="s">
        <v>74</v>
      </c>
      <c r="AB721" t="s">
        <v>74</v>
      </c>
      <c r="AC721" t="s">
        <v>74</v>
      </c>
      <c r="AD721" t="s">
        <v>74</v>
      </c>
      <c r="AE721" t="s">
        <v>74</v>
      </c>
      <c r="AF721" t="s">
        <v>74</v>
      </c>
      <c r="AG721">
        <v>0</v>
      </c>
      <c r="AH721">
        <v>0</v>
      </c>
      <c r="AI721">
        <v>0</v>
      </c>
      <c r="AJ721">
        <v>0</v>
      </c>
      <c r="AK721">
        <v>1</v>
      </c>
      <c r="AL721" t="s">
        <v>13857</v>
      </c>
      <c r="AM721" t="s">
        <v>13858</v>
      </c>
      <c r="AN721" t="s">
        <v>13859</v>
      </c>
      <c r="AO721" t="s">
        <v>13860</v>
      </c>
      <c r="AP721" t="s">
        <v>74</v>
      </c>
      <c r="AQ721" t="s">
        <v>74</v>
      </c>
      <c r="AR721" t="s">
        <v>13861</v>
      </c>
      <c r="AS721" t="s">
        <v>13862</v>
      </c>
      <c r="AT721" t="s">
        <v>74</v>
      </c>
      <c r="AU721">
        <v>2020</v>
      </c>
      <c r="AV721">
        <v>52</v>
      </c>
      <c r="AW721" t="s">
        <v>74</v>
      </c>
      <c r="AX721" t="s">
        <v>74</v>
      </c>
      <c r="AY721" t="s">
        <v>74</v>
      </c>
      <c r="AZ721" t="s">
        <v>74</v>
      </c>
      <c r="BA721" t="s">
        <v>13863</v>
      </c>
      <c r="BB721">
        <v>12</v>
      </c>
      <c r="BC721">
        <v>12</v>
      </c>
      <c r="BD721" t="s">
        <v>74</v>
      </c>
      <c r="BE721" t="s">
        <v>74</v>
      </c>
      <c r="BF721" t="s">
        <v>74</v>
      </c>
      <c r="BG721" t="s">
        <v>74</v>
      </c>
      <c r="BH721" t="s">
        <v>74</v>
      </c>
      <c r="BI721">
        <v>1</v>
      </c>
      <c r="BJ721" t="s">
        <v>2510</v>
      </c>
      <c r="BK721" t="s">
        <v>103</v>
      </c>
      <c r="BL721" t="s">
        <v>2510</v>
      </c>
      <c r="BM721" t="s">
        <v>13864</v>
      </c>
      <c r="BN721" t="s">
        <v>74</v>
      </c>
      <c r="BO721" t="s">
        <v>74</v>
      </c>
      <c r="BP721" t="s">
        <v>74</v>
      </c>
      <c r="BQ721" t="s">
        <v>74</v>
      </c>
      <c r="BR721" t="s">
        <v>106</v>
      </c>
      <c r="BS721" t="s">
        <v>13865</v>
      </c>
      <c r="BT721" t="str">
        <f>HYPERLINK("https%3A%2F%2Fwww.webofscience.com%2Fwos%2Fwoscc%2Ffull-record%2FWOS:000617941100033","View Full Record in Web of Science")</f>
        <v>View Full Record in Web of Science</v>
      </c>
    </row>
    <row r="722" spans="1:72" x14ac:dyDescent="0.15">
      <c r="A722" t="s">
        <v>72</v>
      </c>
      <c r="B722" t="s">
        <v>13866</v>
      </c>
      <c r="C722" t="s">
        <v>74</v>
      </c>
      <c r="D722" t="s">
        <v>74</v>
      </c>
      <c r="E722" t="s">
        <v>74</v>
      </c>
      <c r="F722" t="s">
        <v>13867</v>
      </c>
      <c r="G722" t="s">
        <v>74</v>
      </c>
      <c r="H722" t="s">
        <v>74</v>
      </c>
      <c r="I722" t="s">
        <v>13868</v>
      </c>
      <c r="J722" t="s">
        <v>13869</v>
      </c>
      <c r="K722" t="s">
        <v>74</v>
      </c>
      <c r="L722" t="s">
        <v>74</v>
      </c>
      <c r="M722" t="s">
        <v>78</v>
      </c>
      <c r="N722" t="s">
        <v>79</v>
      </c>
      <c r="O722" t="s">
        <v>74</v>
      </c>
      <c r="P722" t="s">
        <v>74</v>
      </c>
      <c r="Q722" t="s">
        <v>74</v>
      </c>
      <c r="R722" t="s">
        <v>74</v>
      </c>
      <c r="S722" t="s">
        <v>74</v>
      </c>
      <c r="T722" t="s">
        <v>13870</v>
      </c>
      <c r="U722" t="s">
        <v>13871</v>
      </c>
      <c r="V722" t="s">
        <v>13872</v>
      </c>
      <c r="W722" t="s">
        <v>13873</v>
      </c>
      <c r="X722" t="s">
        <v>13874</v>
      </c>
      <c r="Y722" t="s">
        <v>13875</v>
      </c>
      <c r="Z722" t="s">
        <v>13876</v>
      </c>
      <c r="AA722" t="s">
        <v>13877</v>
      </c>
      <c r="AB722" t="s">
        <v>74</v>
      </c>
      <c r="AC722" t="s">
        <v>13878</v>
      </c>
      <c r="AD722" t="s">
        <v>13879</v>
      </c>
      <c r="AE722" t="s">
        <v>13880</v>
      </c>
      <c r="AF722" t="s">
        <v>74</v>
      </c>
      <c r="AG722">
        <v>40</v>
      </c>
      <c r="AH722">
        <v>0</v>
      </c>
      <c r="AI722">
        <v>0</v>
      </c>
      <c r="AJ722">
        <v>0</v>
      </c>
      <c r="AK722">
        <v>2</v>
      </c>
      <c r="AL722" t="s">
        <v>13881</v>
      </c>
      <c r="AM722" t="s">
        <v>13882</v>
      </c>
      <c r="AN722" t="s">
        <v>13883</v>
      </c>
      <c r="AO722" t="s">
        <v>13884</v>
      </c>
      <c r="AP722" t="s">
        <v>13885</v>
      </c>
      <c r="AQ722" t="s">
        <v>74</v>
      </c>
      <c r="AR722" t="s">
        <v>13886</v>
      </c>
      <c r="AS722" t="s">
        <v>13887</v>
      </c>
      <c r="AT722" t="s">
        <v>74</v>
      </c>
      <c r="AU722">
        <v>2020</v>
      </c>
      <c r="AV722">
        <v>48</v>
      </c>
      <c r="AW722">
        <v>5</v>
      </c>
      <c r="AX722" t="s">
        <v>74</v>
      </c>
      <c r="AY722" t="s">
        <v>74</v>
      </c>
      <c r="AZ722" t="s">
        <v>74</v>
      </c>
      <c r="BA722" t="s">
        <v>74</v>
      </c>
      <c r="BB722">
        <v>847</v>
      </c>
      <c r="BC722">
        <v>854</v>
      </c>
      <c r="BD722" t="s">
        <v>74</v>
      </c>
      <c r="BE722" t="s">
        <v>13888</v>
      </c>
      <c r="BF722" t="str">
        <f>HYPERLINK("http://dx.doi.org/10.3856/vol48-issue5-fulltext-2550","http://dx.doi.org/10.3856/vol48-issue5-fulltext-2550")</f>
        <v>http://dx.doi.org/10.3856/vol48-issue5-fulltext-2550</v>
      </c>
      <c r="BG722" t="s">
        <v>74</v>
      </c>
      <c r="BH722" t="s">
        <v>74</v>
      </c>
      <c r="BI722">
        <v>8</v>
      </c>
      <c r="BJ722" t="s">
        <v>735</v>
      </c>
      <c r="BK722" t="s">
        <v>103</v>
      </c>
      <c r="BL722" t="s">
        <v>735</v>
      </c>
      <c r="BM722" t="s">
        <v>13889</v>
      </c>
      <c r="BN722" t="s">
        <v>74</v>
      </c>
      <c r="BO722" t="s">
        <v>1359</v>
      </c>
      <c r="BP722" t="s">
        <v>74</v>
      </c>
      <c r="BQ722" t="s">
        <v>74</v>
      </c>
      <c r="BR722" t="s">
        <v>106</v>
      </c>
      <c r="BS722" t="s">
        <v>13890</v>
      </c>
      <c r="BT722" t="str">
        <f>HYPERLINK("https%3A%2F%2Fwww.webofscience.com%2Fwos%2Fwoscc%2Ffull-record%2FWOS:000613093300012","View Full Record in Web of Science")</f>
        <v>View Full Record in Web of Science</v>
      </c>
    </row>
    <row r="723" spans="1:72" x14ac:dyDescent="0.15">
      <c r="A723" t="s">
        <v>72</v>
      </c>
      <c r="B723" t="s">
        <v>13891</v>
      </c>
      <c r="C723" t="s">
        <v>74</v>
      </c>
      <c r="D723" t="s">
        <v>74</v>
      </c>
      <c r="E723" t="s">
        <v>74</v>
      </c>
      <c r="F723" t="s">
        <v>13892</v>
      </c>
      <c r="G723" t="s">
        <v>74</v>
      </c>
      <c r="H723" t="s">
        <v>74</v>
      </c>
      <c r="I723" t="s">
        <v>13893</v>
      </c>
      <c r="J723" t="s">
        <v>13869</v>
      </c>
      <c r="K723" t="s">
        <v>74</v>
      </c>
      <c r="L723" t="s">
        <v>74</v>
      </c>
      <c r="M723" t="s">
        <v>78</v>
      </c>
      <c r="N723" t="s">
        <v>79</v>
      </c>
      <c r="O723" t="s">
        <v>74</v>
      </c>
      <c r="P723" t="s">
        <v>74</v>
      </c>
      <c r="Q723" t="s">
        <v>74</v>
      </c>
      <c r="R723" t="s">
        <v>74</v>
      </c>
      <c r="S723" t="s">
        <v>74</v>
      </c>
      <c r="T723" t="s">
        <v>13894</v>
      </c>
      <c r="U723" t="s">
        <v>13895</v>
      </c>
      <c r="V723" t="s">
        <v>13896</v>
      </c>
      <c r="W723" t="s">
        <v>13897</v>
      </c>
      <c r="X723" t="s">
        <v>13898</v>
      </c>
      <c r="Y723" t="s">
        <v>13899</v>
      </c>
      <c r="Z723" t="s">
        <v>13900</v>
      </c>
      <c r="AA723" t="s">
        <v>13901</v>
      </c>
      <c r="AB723" t="s">
        <v>13902</v>
      </c>
      <c r="AC723" t="s">
        <v>13903</v>
      </c>
      <c r="AD723" t="s">
        <v>13904</v>
      </c>
      <c r="AE723" t="s">
        <v>13905</v>
      </c>
      <c r="AF723" t="s">
        <v>74</v>
      </c>
      <c r="AG723">
        <v>55</v>
      </c>
      <c r="AH723">
        <v>3</v>
      </c>
      <c r="AI723">
        <v>3</v>
      </c>
      <c r="AJ723">
        <v>0</v>
      </c>
      <c r="AK723">
        <v>9</v>
      </c>
      <c r="AL723" t="s">
        <v>13881</v>
      </c>
      <c r="AM723" t="s">
        <v>13882</v>
      </c>
      <c r="AN723" t="s">
        <v>13883</v>
      </c>
      <c r="AO723" t="s">
        <v>13884</v>
      </c>
      <c r="AP723" t="s">
        <v>74</v>
      </c>
      <c r="AQ723" t="s">
        <v>74</v>
      </c>
      <c r="AR723" t="s">
        <v>13886</v>
      </c>
      <c r="AS723" t="s">
        <v>13887</v>
      </c>
      <c r="AT723" t="s">
        <v>74</v>
      </c>
      <c r="AU723">
        <v>2020</v>
      </c>
      <c r="AV723">
        <v>48</v>
      </c>
      <c r="AW723">
        <v>5</v>
      </c>
      <c r="AX723" t="s">
        <v>74</v>
      </c>
      <c r="AY723" t="s">
        <v>74</v>
      </c>
      <c r="AZ723" t="s">
        <v>74</v>
      </c>
      <c r="BA723" t="s">
        <v>74</v>
      </c>
      <c r="BB723">
        <v>886</v>
      </c>
      <c r="BC723">
        <v>894</v>
      </c>
      <c r="BD723" t="s">
        <v>74</v>
      </c>
      <c r="BE723" t="s">
        <v>13906</v>
      </c>
      <c r="BF723" t="str">
        <f>HYPERLINK("http://dx.doi.org/10.3856/vol48-issue5-fulltext-2455","http://dx.doi.org/10.3856/vol48-issue5-fulltext-2455")</f>
        <v>http://dx.doi.org/10.3856/vol48-issue5-fulltext-2455</v>
      </c>
      <c r="BG723" t="s">
        <v>74</v>
      </c>
      <c r="BH723" t="s">
        <v>74</v>
      </c>
      <c r="BI723">
        <v>9</v>
      </c>
      <c r="BJ723" t="s">
        <v>735</v>
      </c>
      <c r="BK723" t="s">
        <v>103</v>
      </c>
      <c r="BL723" t="s">
        <v>735</v>
      </c>
      <c r="BM723" t="s">
        <v>13889</v>
      </c>
      <c r="BN723" t="s">
        <v>74</v>
      </c>
      <c r="BO723" t="s">
        <v>1359</v>
      </c>
      <c r="BP723" t="s">
        <v>74</v>
      </c>
      <c r="BQ723" t="s">
        <v>74</v>
      </c>
      <c r="BR723" t="s">
        <v>106</v>
      </c>
      <c r="BS723" t="s">
        <v>13907</v>
      </c>
      <c r="BT723" t="str">
        <f>HYPERLINK("https%3A%2F%2Fwww.webofscience.com%2Fwos%2Fwoscc%2Ffull-record%2FWOS:000613093300016","View Full Record in Web of Science")</f>
        <v>View Full Record in Web of Science</v>
      </c>
    </row>
    <row r="724" spans="1:72" x14ac:dyDescent="0.15">
      <c r="A724" t="s">
        <v>72</v>
      </c>
      <c r="B724" t="s">
        <v>13908</v>
      </c>
      <c r="C724" t="s">
        <v>74</v>
      </c>
      <c r="D724" t="s">
        <v>74</v>
      </c>
      <c r="E724" t="s">
        <v>74</v>
      </c>
      <c r="F724" t="s">
        <v>13909</v>
      </c>
      <c r="G724" t="s">
        <v>74</v>
      </c>
      <c r="H724" t="s">
        <v>74</v>
      </c>
      <c r="I724" t="s">
        <v>13910</v>
      </c>
      <c r="J724" t="s">
        <v>13911</v>
      </c>
      <c r="K724" t="s">
        <v>74</v>
      </c>
      <c r="L724" t="s">
        <v>74</v>
      </c>
      <c r="M724" t="s">
        <v>78</v>
      </c>
      <c r="N724" t="s">
        <v>79</v>
      </c>
      <c r="O724" t="s">
        <v>74</v>
      </c>
      <c r="P724" t="s">
        <v>74</v>
      </c>
      <c r="Q724" t="s">
        <v>74</v>
      </c>
      <c r="R724" t="s">
        <v>74</v>
      </c>
      <c r="S724" t="s">
        <v>74</v>
      </c>
      <c r="T724" t="s">
        <v>13912</v>
      </c>
      <c r="U724" t="s">
        <v>13913</v>
      </c>
      <c r="V724" t="s">
        <v>13914</v>
      </c>
      <c r="W724" t="s">
        <v>13915</v>
      </c>
      <c r="X724" t="s">
        <v>13916</v>
      </c>
      <c r="Y724" t="s">
        <v>13917</v>
      </c>
      <c r="Z724" t="s">
        <v>13918</v>
      </c>
      <c r="AA724" t="s">
        <v>13919</v>
      </c>
      <c r="AB724" t="s">
        <v>13920</v>
      </c>
      <c r="AC724" t="s">
        <v>13921</v>
      </c>
      <c r="AD724" t="s">
        <v>13922</v>
      </c>
      <c r="AE724" t="s">
        <v>13923</v>
      </c>
      <c r="AF724" t="s">
        <v>74</v>
      </c>
      <c r="AG724">
        <v>102</v>
      </c>
      <c r="AH724">
        <v>5</v>
      </c>
      <c r="AI724">
        <v>5</v>
      </c>
      <c r="AJ724">
        <v>0</v>
      </c>
      <c r="AK724">
        <v>17</v>
      </c>
      <c r="AL724" t="s">
        <v>2627</v>
      </c>
      <c r="AM724" t="s">
        <v>2628</v>
      </c>
      <c r="AN724" t="s">
        <v>2629</v>
      </c>
      <c r="AO724" t="s">
        <v>13924</v>
      </c>
      <c r="AP724" t="s">
        <v>13925</v>
      </c>
      <c r="AQ724" t="s">
        <v>74</v>
      </c>
      <c r="AR724" t="s">
        <v>13926</v>
      </c>
      <c r="AS724" t="s">
        <v>13927</v>
      </c>
      <c r="AT724" t="s">
        <v>12161</v>
      </c>
      <c r="AU724">
        <v>2020</v>
      </c>
      <c r="AV724">
        <v>52</v>
      </c>
      <c r="AW724">
        <v>1</v>
      </c>
      <c r="AX724" t="s">
        <v>74</v>
      </c>
      <c r="AY724" t="s">
        <v>74</v>
      </c>
      <c r="AZ724" t="s">
        <v>74</v>
      </c>
      <c r="BA724" t="s">
        <v>74</v>
      </c>
      <c r="BB724">
        <v>264</v>
      </c>
      <c r="BC724">
        <v>280</v>
      </c>
      <c r="BD724" t="s">
        <v>74</v>
      </c>
      <c r="BE724" t="s">
        <v>13928</v>
      </c>
      <c r="BF724" t="str">
        <f>HYPERLINK("http://dx.doi.org/10.1080/15230430.2020.1744397","http://dx.doi.org/10.1080/15230430.2020.1744397")</f>
        <v>http://dx.doi.org/10.1080/15230430.2020.1744397</v>
      </c>
      <c r="BG724" t="s">
        <v>74</v>
      </c>
      <c r="BH724" t="s">
        <v>74</v>
      </c>
      <c r="BI724">
        <v>17</v>
      </c>
      <c r="BJ724" t="s">
        <v>13929</v>
      </c>
      <c r="BK724" t="s">
        <v>103</v>
      </c>
      <c r="BL724" t="s">
        <v>1828</v>
      </c>
      <c r="BM724" t="s">
        <v>13930</v>
      </c>
      <c r="BN724" t="s">
        <v>74</v>
      </c>
      <c r="BO724" t="s">
        <v>2592</v>
      </c>
      <c r="BP724" t="s">
        <v>74</v>
      </c>
      <c r="BQ724" t="s">
        <v>74</v>
      </c>
      <c r="BR724" t="s">
        <v>106</v>
      </c>
      <c r="BS724" t="s">
        <v>13931</v>
      </c>
      <c r="BT724" t="str">
        <f>HYPERLINK("https%3A%2F%2Fwww.webofscience.com%2Fwos%2Fwoscc%2Ffull-record%2FWOS:000614429500001","View Full Record in Web of Science")</f>
        <v>View Full Record in Web of Science</v>
      </c>
    </row>
    <row r="725" spans="1:72" x14ac:dyDescent="0.15">
      <c r="A725" t="s">
        <v>72</v>
      </c>
      <c r="B725" t="s">
        <v>13932</v>
      </c>
      <c r="C725" t="s">
        <v>74</v>
      </c>
      <c r="D725" t="s">
        <v>74</v>
      </c>
      <c r="E725" t="s">
        <v>74</v>
      </c>
      <c r="F725" t="s">
        <v>13933</v>
      </c>
      <c r="G725" t="s">
        <v>74</v>
      </c>
      <c r="H725" t="s">
        <v>74</v>
      </c>
      <c r="I725" t="s">
        <v>13934</v>
      </c>
      <c r="J725" t="s">
        <v>13911</v>
      </c>
      <c r="K725" t="s">
        <v>74</v>
      </c>
      <c r="L725" t="s">
        <v>74</v>
      </c>
      <c r="M725" t="s">
        <v>78</v>
      </c>
      <c r="N725" t="s">
        <v>79</v>
      </c>
      <c r="O725" t="s">
        <v>74</v>
      </c>
      <c r="P725" t="s">
        <v>74</v>
      </c>
      <c r="Q725" t="s">
        <v>74</v>
      </c>
      <c r="R725" t="s">
        <v>74</v>
      </c>
      <c r="S725" t="s">
        <v>74</v>
      </c>
      <c r="T725" t="s">
        <v>13935</v>
      </c>
      <c r="U725" t="s">
        <v>13936</v>
      </c>
      <c r="V725" t="s">
        <v>13937</v>
      </c>
      <c r="W725" t="s">
        <v>13938</v>
      </c>
      <c r="X725" t="s">
        <v>13939</v>
      </c>
      <c r="Y725" t="s">
        <v>13940</v>
      </c>
      <c r="Z725" t="s">
        <v>13941</v>
      </c>
      <c r="AA725" t="s">
        <v>74</v>
      </c>
      <c r="AB725" t="s">
        <v>13942</v>
      </c>
      <c r="AC725" t="s">
        <v>13943</v>
      </c>
      <c r="AD725" t="s">
        <v>13943</v>
      </c>
      <c r="AE725" t="s">
        <v>13944</v>
      </c>
      <c r="AF725" t="s">
        <v>74</v>
      </c>
      <c r="AG725">
        <v>56</v>
      </c>
      <c r="AH725">
        <v>3</v>
      </c>
      <c r="AI725">
        <v>3</v>
      </c>
      <c r="AJ725">
        <v>1</v>
      </c>
      <c r="AK725">
        <v>4</v>
      </c>
      <c r="AL725" t="s">
        <v>2627</v>
      </c>
      <c r="AM725" t="s">
        <v>2628</v>
      </c>
      <c r="AN725" t="s">
        <v>2629</v>
      </c>
      <c r="AO725" t="s">
        <v>13924</v>
      </c>
      <c r="AP725" t="s">
        <v>13925</v>
      </c>
      <c r="AQ725" t="s">
        <v>74</v>
      </c>
      <c r="AR725" t="s">
        <v>13926</v>
      </c>
      <c r="AS725" t="s">
        <v>13927</v>
      </c>
      <c r="AT725" t="s">
        <v>12161</v>
      </c>
      <c r="AU725">
        <v>2020</v>
      </c>
      <c r="AV725">
        <v>52</v>
      </c>
      <c r="AW725">
        <v>1</v>
      </c>
      <c r="AX725" t="s">
        <v>74</v>
      </c>
      <c r="AY725" t="s">
        <v>74</v>
      </c>
      <c r="AZ725" t="s">
        <v>74</v>
      </c>
      <c r="BA725" t="s">
        <v>74</v>
      </c>
      <c r="BB725">
        <v>222</v>
      </c>
      <c r="BC725">
        <v>235</v>
      </c>
      <c r="BD725" t="s">
        <v>74</v>
      </c>
      <c r="BE725" t="s">
        <v>13945</v>
      </c>
      <c r="BF725" t="str">
        <f>HYPERLINK("http://dx.doi.org/10.1080/15230430.2020.1747758","http://dx.doi.org/10.1080/15230430.2020.1747758")</f>
        <v>http://dx.doi.org/10.1080/15230430.2020.1747758</v>
      </c>
      <c r="BG725" t="s">
        <v>74</v>
      </c>
      <c r="BH725" t="s">
        <v>74</v>
      </c>
      <c r="BI725">
        <v>14</v>
      </c>
      <c r="BJ725" t="s">
        <v>13929</v>
      </c>
      <c r="BK725" t="s">
        <v>103</v>
      </c>
      <c r="BL725" t="s">
        <v>1828</v>
      </c>
      <c r="BM725" t="s">
        <v>13946</v>
      </c>
      <c r="BN725" t="s">
        <v>74</v>
      </c>
      <c r="BO725" t="s">
        <v>2592</v>
      </c>
      <c r="BP725" t="s">
        <v>74</v>
      </c>
      <c r="BQ725" t="s">
        <v>74</v>
      </c>
      <c r="BR725" t="s">
        <v>106</v>
      </c>
      <c r="BS725" t="s">
        <v>13947</v>
      </c>
      <c r="BT725" t="str">
        <f>HYPERLINK("https%3A%2F%2Fwww.webofscience.com%2Fwos%2Fwoscc%2Ffull-record%2FWOS:000614428200001","View Full Record in Web of Science")</f>
        <v>View Full Record in Web of Science</v>
      </c>
    </row>
    <row r="726" spans="1:72" x14ac:dyDescent="0.15">
      <c r="A726" t="s">
        <v>72</v>
      </c>
      <c r="B726" t="s">
        <v>13948</v>
      </c>
      <c r="C726" t="s">
        <v>74</v>
      </c>
      <c r="D726" t="s">
        <v>74</v>
      </c>
      <c r="E726" t="s">
        <v>74</v>
      </c>
      <c r="F726" t="s">
        <v>13949</v>
      </c>
      <c r="G726" t="s">
        <v>74</v>
      </c>
      <c r="H726" t="s">
        <v>74</v>
      </c>
      <c r="I726" t="s">
        <v>13950</v>
      </c>
      <c r="J726" t="s">
        <v>13951</v>
      </c>
      <c r="K726" t="s">
        <v>74</v>
      </c>
      <c r="L726" t="s">
        <v>74</v>
      </c>
      <c r="M726" t="s">
        <v>13952</v>
      </c>
      <c r="N726" t="s">
        <v>79</v>
      </c>
      <c r="O726" t="s">
        <v>74</v>
      </c>
      <c r="P726" t="s">
        <v>74</v>
      </c>
      <c r="Q726" t="s">
        <v>74</v>
      </c>
      <c r="R726" t="s">
        <v>74</v>
      </c>
      <c r="S726" t="s">
        <v>74</v>
      </c>
      <c r="T726" t="s">
        <v>13953</v>
      </c>
      <c r="U726" t="s">
        <v>74</v>
      </c>
      <c r="V726" t="s">
        <v>13954</v>
      </c>
      <c r="W726" t="s">
        <v>13955</v>
      </c>
      <c r="X726" t="s">
        <v>13956</v>
      </c>
      <c r="Y726" t="s">
        <v>13957</v>
      </c>
      <c r="Z726" t="s">
        <v>13958</v>
      </c>
      <c r="AA726" t="s">
        <v>13959</v>
      </c>
      <c r="AB726" t="s">
        <v>13960</v>
      </c>
      <c r="AC726" t="s">
        <v>74</v>
      </c>
      <c r="AD726" t="s">
        <v>74</v>
      </c>
      <c r="AE726" t="s">
        <v>74</v>
      </c>
      <c r="AF726" t="s">
        <v>74</v>
      </c>
      <c r="AG726">
        <v>8</v>
      </c>
      <c r="AH726">
        <v>0</v>
      </c>
      <c r="AI726">
        <v>0</v>
      </c>
      <c r="AJ726">
        <v>0</v>
      </c>
      <c r="AK726">
        <v>2</v>
      </c>
      <c r="AL726" t="s">
        <v>13961</v>
      </c>
      <c r="AM726" t="s">
        <v>13962</v>
      </c>
      <c r="AN726" t="s">
        <v>13963</v>
      </c>
      <c r="AO726" t="s">
        <v>13964</v>
      </c>
      <c r="AP726" t="s">
        <v>74</v>
      </c>
      <c r="AQ726" t="s">
        <v>74</v>
      </c>
      <c r="AR726" t="s">
        <v>13965</v>
      </c>
      <c r="AS726" t="s">
        <v>13966</v>
      </c>
      <c r="AT726" t="s">
        <v>74</v>
      </c>
      <c r="AU726">
        <v>2020</v>
      </c>
      <c r="AV726" t="s">
        <v>74</v>
      </c>
      <c r="AW726">
        <v>3</v>
      </c>
      <c r="AX726" t="s">
        <v>74</v>
      </c>
      <c r="AY726" t="s">
        <v>74</v>
      </c>
      <c r="AZ726" t="s">
        <v>74</v>
      </c>
      <c r="BA726" t="s">
        <v>74</v>
      </c>
      <c r="BB726">
        <v>18</v>
      </c>
      <c r="BC726">
        <v>27</v>
      </c>
      <c r="BD726" t="s">
        <v>74</v>
      </c>
      <c r="BE726" t="s">
        <v>13967</v>
      </c>
      <c r="BF726" t="str">
        <f>HYPERLINK("http://dx.doi.org/10.17721/1728-2713.90.03","http://dx.doi.org/10.17721/1728-2713.90.03")</f>
        <v>http://dx.doi.org/10.17721/1728-2713.90.03</v>
      </c>
      <c r="BG726" t="s">
        <v>74</v>
      </c>
      <c r="BH726" t="s">
        <v>74</v>
      </c>
      <c r="BI726">
        <v>10</v>
      </c>
      <c r="BJ726" t="s">
        <v>247</v>
      </c>
      <c r="BK726" t="s">
        <v>274</v>
      </c>
      <c r="BL726" t="s">
        <v>247</v>
      </c>
      <c r="BM726" t="s">
        <v>13968</v>
      </c>
      <c r="BN726" t="s">
        <v>74</v>
      </c>
      <c r="BO726" t="s">
        <v>517</v>
      </c>
      <c r="BP726" t="s">
        <v>74</v>
      </c>
      <c r="BQ726" t="s">
        <v>74</v>
      </c>
      <c r="BR726" t="s">
        <v>106</v>
      </c>
      <c r="BS726" t="s">
        <v>13969</v>
      </c>
      <c r="BT726" t="str">
        <f>HYPERLINK("https%3A%2F%2Fwww.webofscience.com%2Fwos%2Fwoscc%2Ffull-record%2FWOS:000610833900003","View Full Record in Web of Science")</f>
        <v>View Full Record in Web of Science</v>
      </c>
    </row>
    <row r="727" spans="1:72" x14ac:dyDescent="0.15">
      <c r="A727" t="s">
        <v>72</v>
      </c>
      <c r="B727" t="s">
        <v>13970</v>
      </c>
      <c r="C727" t="s">
        <v>74</v>
      </c>
      <c r="D727" t="s">
        <v>74</v>
      </c>
      <c r="E727" t="s">
        <v>74</v>
      </c>
      <c r="F727" t="s">
        <v>13971</v>
      </c>
      <c r="G727" t="s">
        <v>74</v>
      </c>
      <c r="H727" t="s">
        <v>74</v>
      </c>
      <c r="I727" t="s">
        <v>13972</v>
      </c>
      <c r="J727" t="s">
        <v>13973</v>
      </c>
      <c r="K727" t="s">
        <v>74</v>
      </c>
      <c r="L727" t="s">
        <v>74</v>
      </c>
      <c r="M727" t="s">
        <v>78</v>
      </c>
      <c r="N727" t="s">
        <v>79</v>
      </c>
      <c r="O727" t="s">
        <v>74</v>
      </c>
      <c r="P727" t="s">
        <v>74</v>
      </c>
      <c r="Q727" t="s">
        <v>74</v>
      </c>
      <c r="R727" t="s">
        <v>74</v>
      </c>
      <c r="S727" t="s">
        <v>74</v>
      </c>
      <c r="T727" t="s">
        <v>13974</v>
      </c>
      <c r="U727" t="s">
        <v>13975</v>
      </c>
      <c r="V727" t="s">
        <v>13976</v>
      </c>
      <c r="W727" t="s">
        <v>13977</v>
      </c>
      <c r="X727" t="s">
        <v>13978</v>
      </c>
      <c r="Y727" t="s">
        <v>13979</v>
      </c>
      <c r="Z727" t="s">
        <v>13980</v>
      </c>
      <c r="AA727" t="s">
        <v>74</v>
      </c>
      <c r="AB727" t="s">
        <v>13981</v>
      </c>
      <c r="AC727" t="s">
        <v>13982</v>
      </c>
      <c r="AD727" t="s">
        <v>5836</v>
      </c>
      <c r="AE727" t="s">
        <v>13983</v>
      </c>
      <c r="AF727" t="s">
        <v>74</v>
      </c>
      <c r="AG727">
        <v>55</v>
      </c>
      <c r="AH727">
        <v>7</v>
      </c>
      <c r="AI727">
        <v>7</v>
      </c>
      <c r="AJ727">
        <v>0</v>
      </c>
      <c r="AK727">
        <v>5</v>
      </c>
      <c r="AL727" t="s">
        <v>13984</v>
      </c>
      <c r="AM727" t="s">
        <v>545</v>
      </c>
      <c r="AN727" t="s">
        <v>13985</v>
      </c>
      <c r="AO727" t="s">
        <v>13986</v>
      </c>
      <c r="AP727" t="s">
        <v>13987</v>
      </c>
      <c r="AQ727" t="s">
        <v>74</v>
      </c>
      <c r="AR727" t="s">
        <v>13988</v>
      </c>
      <c r="AS727" t="s">
        <v>13989</v>
      </c>
      <c r="AT727" t="s">
        <v>74</v>
      </c>
      <c r="AU727">
        <v>2020</v>
      </c>
      <c r="AV727">
        <v>70</v>
      </c>
      <c r="AW727">
        <v>11</v>
      </c>
      <c r="AX727" t="s">
        <v>74</v>
      </c>
      <c r="AY727" t="s">
        <v>74</v>
      </c>
      <c r="AZ727" t="s">
        <v>74</v>
      </c>
      <c r="BA727" t="s">
        <v>74</v>
      </c>
      <c r="BB727">
        <v>5918</v>
      </c>
      <c r="BC727">
        <v>5925</v>
      </c>
      <c r="BD727" t="s">
        <v>74</v>
      </c>
      <c r="BE727" t="s">
        <v>13990</v>
      </c>
      <c r="BF727" t="str">
        <f>HYPERLINK("http://dx.doi.org/10.1099/ijsem.0.004495","http://dx.doi.org/10.1099/ijsem.0.004495")</f>
        <v>http://dx.doi.org/10.1099/ijsem.0.004495</v>
      </c>
      <c r="BG727" t="s">
        <v>74</v>
      </c>
      <c r="BH727" t="s">
        <v>74</v>
      </c>
      <c r="BI727">
        <v>8</v>
      </c>
      <c r="BJ727" t="s">
        <v>273</v>
      </c>
      <c r="BK727" t="s">
        <v>103</v>
      </c>
      <c r="BL727" t="s">
        <v>273</v>
      </c>
      <c r="BM727" t="s">
        <v>13991</v>
      </c>
      <c r="BN727">
        <v>33034550</v>
      </c>
      <c r="BO727" t="s">
        <v>517</v>
      </c>
      <c r="BP727" t="s">
        <v>74</v>
      </c>
      <c r="BQ727" t="s">
        <v>74</v>
      </c>
      <c r="BR727" t="s">
        <v>106</v>
      </c>
      <c r="BS727" t="s">
        <v>13992</v>
      </c>
      <c r="BT727" t="str">
        <f>HYPERLINK("https%3A%2F%2Fwww.webofscience.com%2Fwos%2Fwoscc%2Ffull-record%2FWOS:000608414600037","View Full Record in Web of Science")</f>
        <v>View Full Record in Web of Science</v>
      </c>
    </row>
    <row r="728" spans="1:72" x14ac:dyDescent="0.15">
      <c r="A728" t="s">
        <v>72</v>
      </c>
      <c r="B728" t="s">
        <v>13993</v>
      </c>
      <c r="C728" t="s">
        <v>74</v>
      </c>
      <c r="D728" t="s">
        <v>74</v>
      </c>
      <c r="E728" t="s">
        <v>74</v>
      </c>
      <c r="F728" t="s">
        <v>13994</v>
      </c>
      <c r="G728" t="s">
        <v>74</v>
      </c>
      <c r="H728" t="s">
        <v>74</v>
      </c>
      <c r="I728" t="s">
        <v>13995</v>
      </c>
      <c r="J728" t="s">
        <v>13996</v>
      </c>
      <c r="K728" t="s">
        <v>74</v>
      </c>
      <c r="L728" t="s">
        <v>74</v>
      </c>
      <c r="M728" t="s">
        <v>78</v>
      </c>
      <c r="N728" t="s">
        <v>1226</v>
      </c>
      <c r="O728" t="s">
        <v>74</v>
      </c>
      <c r="P728" t="s">
        <v>74</v>
      </c>
      <c r="Q728" t="s">
        <v>74</v>
      </c>
      <c r="R728" t="s">
        <v>74</v>
      </c>
      <c r="S728" t="s">
        <v>74</v>
      </c>
      <c r="T728" t="s">
        <v>74</v>
      </c>
      <c r="U728" t="s">
        <v>13997</v>
      </c>
      <c r="V728" t="s">
        <v>13998</v>
      </c>
      <c r="W728" t="s">
        <v>13999</v>
      </c>
      <c r="X728" t="s">
        <v>14000</v>
      </c>
      <c r="Y728" t="s">
        <v>14001</v>
      </c>
      <c r="Z728" t="s">
        <v>14002</v>
      </c>
      <c r="AA728" t="s">
        <v>14003</v>
      </c>
      <c r="AB728" t="s">
        <v>14004</v>
      </c>
      <c r="AC728" t="s">
        <v>14005</v>
      </c>
      <c r="AD728" t="s">
        <v>14006</v>
      </c>
      <c r="AE728" t="s">
        <v>14007</v>
      </c>
      <c r="AF728" t="s">
        <v>74</v>
      </c>
      <c r="AG728">
        <v>36</v>
      </c>
      <c r="AH728">
        <v>0</v>
      </c>
      <c r="AI728">
        <v>0</v>
      </c>
      <c r="AJ728">
        <v>0</v>
      </c>
      <c r="AK728">
        <v>7</v>
      </c>
      <c r="AL728" t="s">
        <v>14008</v>
      </c>
      <c r="AM728" t="s">
        <v>14009</v>
      </c>
      <c r="AN728" t="s">
        <v>14010</v>
      </c>
      <c r="AO728" t="s">
        <v>74</v>
      </c>
      <c r="AP728" t="s">
        <v>14011</v>
      </c>
      <c r="AQ728" t="s">
        <v>74</v>
      </c>
      <c r="AR728" t="s">
        <v>14012</v>
      </c>
      <c r="AS728" t="s">
        <v>14013</v>
      </c>
      <c r="AT728" t="s">
        <v>74</v>
      </c>
      <c r="AU728">
        <v>2020</v>
      </c>
      <c r="AV728">
        <v>70</v>
      </c>
      <c r="AW728">
        <v>1</v>
      </c>
      <c r="AX728" t="s">
        <v>74</v>
      </c>
      <c r="AY728" t="s">
        <v>74</v>
      </c>
      <c r="AZ728" t="s">
        <v>74</v>
      </c>
      <c r="BA728" t="s">
        <v>74</v>
      </c>
      <c r="BB728">
        <v>394</v>
      </c>
      <c r="BC728" t="s">
        <v>759</v>
      </c>
      <c r="BD728" t="s">
        <v>74</v>
      </c>
      <c r="BE728" t="s">
        <v>14014</v>
      </c>
      <c r="BF728" t="str">
        <f>HYPERLINK("http://dx.doi.org/10.1071/ES19009_CO","http://dx.doi.org/10.1071/ES19009_CO")</f>
        <v>http://dx.doi.org/10.1071/ES19009_CO</v>
      </c>
      <c r="BG728" t="s">
        <v>74</v>
      </c>
      <c r="BH728" t="s">
        <v>74</v>
      </c>
      <c r="BI728">
        <v>12</v>
      </c>
      <c r="BJ728" t="s">
        <v>1766</v>
      </c>
      <c r="BK728" t="s">
        <v>103</v>
      </c>
      <c r="BL728" t="s">
        <v>1766</v>
      </c>
      <c r="BM728" t="s">
        <v>14015</v>
      </c>
      <c r="BN728" t="s">
        <v>74</v>
      </c>
      <c r="BO728" t="s">
        <v>2592</v>
      </c>
      <c r="BP728" t="s">
        <v>74</v>
      </c>
      <c r="BQ728" t="s">
        <v>74</v>
      </c>
      <c r="BR728" t="s">
        <v>106</v>
      </c>
      <c r="BS728" t="s">
        <v>14016</v>
      </c>
      <c r="BT728" t="str">
        <f>HYPERLINK("https%3A%2F%2Fwww.webofscience.com%2Fwos%2Fwoscc%2Ffull-record%2FWOS:000606511600029","View Full Record in Web of Science")</f>
        <v>View Full Record in Web of Science</v>
      </c>
    </row>
    <row r="729" spans="1:72" x14ac:dyDescent="0.15">
      <c r="A729" t="s">
        <v>72</v>
      </c>
      <c r="B729" t="s">
        <v>14017</v>
      </c>
      <c r="C729" t="s">
        <v>74</v>
      </c>
      <c r="D729" t="s">
        <v>74</v>
      </c>
      <c r="E729" t="s">
        <v>74</v>
      </c>
      <c r="F729" t="s">
        <v>14018</v>
      </c>
      <c r="G729" t="s">
        <v>74</v>
      </c>
      <c r="H729" t="s">
        <v>74</v>
      </c>
      <c r="I729" t="s">
        <v>14019</v>
      </c>
      <c r="J729" t="s">
        <v>14020</v>
      </c>
      <c r="K729" t="s">
        <v>74</v>
      </c>
      <c r="L729" t="s">
        <v>74</v>
      </c>
      <c r="M729" t="s">
        <v>78</v>
      </c>
      <c r="N729" t="s">
        <v>79</v>
      </c>
      <c r="O729" t="s">
        <v>74</v>
      </c>
      <c r="P729" t="s">
        <v>74</v>
      </c>
      <c r="Q729" t="s">
        <v>74</v>
      </c>
      <c r="R729" t="s">
        <v>74</v>
      </c>
      <c r="S729" t="s">
        <v>74</v>
      </c>
      <c r="T729" t="s">
        <v>14021</v>
      </c>
      <c r="U729" t="s">
        <v>74</v>
      </c>
      <c r="V729" t="s">
        <v>14022</v>
      </c>
      <c r="W729" t="s">
        <v>14023</v>
      </c>
      <c r="X729" t="s">
        <v>14024</v>
      </c>
      <c r="Y729" t="s">
        <v>14025</v>
      </c>
      <c r="Z729" t="s">
        <v>14026</v>
      </c>
      <c r="AA729" t="s">
        <v>74</v>
      </c>
      <c r="AB729" t="s">
        <v>74</v>
      </c>
      <c r="AC729" t="s">
        <v>14027</v>
      </c>
      <c r="AD729" t="s">
        <v>14028</v>
      </c>
      <c r="AE729" t="s">
        <v>14029</v>
      </c>
      <c r="AF729" t="s">
        <v>74</v>
      </c>
      <c r="AG729">
        <v>6</v>
      </c>
      <c r="AH729">
        <v>2</v>
      </c>
      <c r="AI729">
        <v>2</v>
      </c>
      <c r="AJ729">
        <v>1</v>
      </c>
      <c r="AK729">
        <v>8</v>
      </c>
      <c r="AL729" t="s">
        <v>289</v>
      </c>
      <c r="AM729" t="s">
        <v>290</v>
      </c>
      <c r="AN729" t="s">
        <v>291</v>
      </c>
      <c r="AO729" t="s">
        <v>74</v>
      </c>
      <c r="AP729" t="s">
        <v>14030</v>
      </c>
      <c r="AQ729" t="s">
        <v>74</v>
      </c>
      <c r="AR729" t="s">
        <v>14020</v>
      </c>
      <c r="AS729" t="s">
        <v>14031</v>
      </c>
      <c r="AT729" t="s">
        <v>74</v>
      </c>
      <c r="AU729">
        <v>2020</v>
      </c>
      <c r="AV729">
        <v>7</v>
      </c>
      <c r="AW729" t="s">
        <v>74</v>
      </c>
      <c r="AX729" t="s">
        <v>74</v>
      </c>
      <c r="AY729" t="s">
        <v>74</v>
      </c>
      <c r="AZ729" t="s">
        <v>74</v>
      </c>
      <c r="BA729" t="s">
        <v>74</v>
      </c>
      <c r="BB729" t="s">
        <v>74</v>
      </c>
      <c r="BC729" t="s">
        <v>74</v>
      </c>
      <c r="BD729">
        <v>100968</v>
      </c>
      <c r="BE729" t="s">
        <v>14032</v>
      </c>
      <c r="BF729" t="str">
        <f>HYPERLINK("http://dx.doi.org/10.1016/j.mex.2020.100968","http://dx.doi.org/10.1016/j.mex.2020.100968")</f>
        <v>http://dx.doi.org/10.1016/j.mex.2020.100968</v>
      </c>
      <c r="BG729" t="s">
        <v>74</v>
      </c>
      <c r="BH729" t="s">
        <v>74</v>
      </c>
      <c r="BI729">
        <v>4</v>
      </c>
      <c r="BJ729" t="s">
        <v>322</v>
      </c>
      <c r="BK729" t="s">
        <v>274</v>
      </c>
      <c r="BL729" t="s">
        <v>323</v>
      </c>
      <c r="BM729" t="s">
        <v>14033</v>
      </c>
      <c r="BN729">
        <v>32642452</v>
      </c>
      <c r="BO729" t="s">
        <v>1359</v>
      </c>
      <c r="BP729" t="s">
        <v>74</v>
      </c>
      <c r="BQ729" t="s">
        <v>74</v>
      </c>
      <c r="BR729" t="s">
        <v>106</v>
      </c>
      <c r="BS729" t="s">
        <v>14034</v>
      </c>
      <c r="BT729" t="str">
        <f>HYPERLINK("https%3A%2F%2Fwww.webofscience.com%2Fwos%2Fwoscc%2Ffull-record%2FWOS:000608187800031","View Full Record in Web of Science")</f>
        <v>View Full Record in Web of Science</v>
      </c>
    </row>
    <row r="730" spans="1:72" x14ac:dyDescent="0.15">
      <c r="A730" t="s">
        <v>72</v>
      </c>
      <c r="B730" t="s">
        <v>14035</v>
      </c>
      <c r="C730" t="s">
        <v>74</v>
      </c>
      <c r="D730" t="s">
        <v>74</v>
      </c>
      <c r="E730" t="s">
        <v>74</v>
      </c>
      <c r="F730" t="s">
        <v>14036</v>
      </c>
      <c r="G730" t="s">
        <v>74</v>
      </c>
      <c r="H730" t="s">
        <v>74</v>
      </c>
      <c r="I730" t="s">
        <v>14037</v>
      </c>
      <c r="J730" t="s">
        <v>14038</v>
      </c>
      <c r="K730" t="s">
        <v>74</v>
      </c>
      <c r="L730" t="s">
        <v>74</v>
      </c>
      <c r="M730" t="s">
        <v>13952</v>
      </c>
      <c r="N730" t="s">
        <v>79</v>
      </c>
      <c r="O730" t="s">
        <v>74</v>
      </c>
      <c r="P730" t="s">
        <v>74</v>
      </c>
      <c r="Q730" t="s">
        <v>74</v>
      </c>
      <c r="R730" t="s">
        <v>74</v>
      </c>
      <c r="S730" t="s">
        <v>74</v>
      </c>
      <c r="T730" t="s">
        <v>14039</v>
      </c>
      <c r="U730" t="s">
        <v>74</v>
      </c>
      <c r="V730" t="s">
        <v>14040</v>
      </c>
      <c r="W730" t="s">
        <v>14041</v>
      </c>
      <c r="X730" t="s">
        <v>14042</v>
      </c>
      <c r="Y730" t="s">
        <v>14043</v>
      </c>
      <c r="Z730" t="s">
        <v>14044</v>
      </c>
      <c r="AA730" t="s">
        <v>14045</v>
      </c>
      <c r="AB730" t="s">
        <v>14046</v>
      </c>
      <c r="AC730" t="s">
        <v>74</v>
      </c>
      <c r="AD730" t="s">
        <v>74</v>
      </c>
      <c r="AE730" t="s">
        <v>74</v>
      </c>
      <c r="AF730" t="s">
        <v>74</v>
      </c>
      <c r="AG730">
        <v>11</v>
      </c>
      <c r="AH730">
        <v>0</v>
      </c>
      <c r="AI730">
        <v>0</v>
      </c>
      <c r="AJ730">
        <v>0</v>
      </c>
      <c r="AK730">
        <v>1</v>
      </c>
      <c r="AL730" t="s">
        <v>14047</v>
      </c>
      <c r="AM730" t="s">
        <v>13962</v>
      </c>
      <c r="AN730" t="s">
        <v>14048</v>
      </c>
      <c r="AO730" t="s">
        <v>14049</v>
      </c>
      <c r="AP730" t="s">
        <v>14050</v>
      </c>
      <c r="AQ730" t="s">
        <v>74</v>
      </c>
      <c r="AR730" t="s">
        <v>14051</v>
      </c>
      <c r="AS730" t="s">
        <v>14052</v>
      </c>
      <c r="AT730" t="s">
        <v>74</v>
      </c>
      <c r="AU730">
        <v>2020</v>
      </c>
      <c r="AV730">
        <v>42</v>
      </c>
      <c r="AW730">
        <v>4</v>
      </c>
      <c r="AX730" t="s">
        <v>74</v>
      </c>
      <c r="AY730" t="s">
        <v>74</v>
      </c>
      <c r="AZ730" t="s">
        <v>74</v>
      </c>
      <c r="BA730" t="s">
        <v>74</v>
      </c>
      <c r="BB730">
        <v>69</v>
      </c>
      <c r="BC730">
        <v>83</v>
      </c>
      <c r="BD730" t="s">
        <v>74</v>
      </c>
      <c r="BE730" t="s">
        <v>14053</v>
      </c>
      <c r="BF730" t="str">
        <f>HYPERLINK("http://dx.doi.org/10.15407/mineraljournal.42.04.069","http://dx.doi.org/10.15407/mineraljournal.42.04.069")</f>
        <v>http://dx.doi.org/10.15407/mineraljournal.42.04.069</v>
      </c>
      <c r="BG730" t="s">
        <v>74</v>
      </c>
      <c r="BH730" t="s">
        <v>74</v>
      </c>
      <c r="BI730">
        <v>15</v>
      </c>
      <c r="BJ730" t="s">
        <v>4137</v>
      </c>
      <c r="BK730" t="s">
        <v>274</v>
      </c>
      <c r="BL730" t="s">
        <v>4137</v>
      </c>
      <c r="BM730" t="s">
        <v>14054</v>
      </c>
      <c r="BN730" t="s">
        <v>74</v>
      </c>
      <c r="BO730" t="s">
        <v>74</v>
      </c>
      <c r="BP730" t="s">
        <v>74</v>
      </c>
      <c r="BQ730" t="s">
        <v>74</v>
      </c>
      <c r="BR730" t="s">
        <v>106</v>
      </c>
      <c r="BS730" t="s">
        <v>14055</v>
      </c>
      <c r="BT730" t="str">
        <f>HYPERLINK("https%3A%2F%2Fwww.webofscience.com%2Fwos%2Fwoscc%2Ffull-record%2FWOS:000607538800006","View Full Record in Web of Science")</f>
        <v>View Full Record in Web of Science</v>
      </c>
    </row>
    <row r="731" spans="1:72" x14ac:dyDescent="0.15">
      <c r="A731" t="s">
        <v>72</v>
      </c>
      <c r="B731" t="s">
        <v>14056</v>
      </c>
      <c r="C731" t="s">
        <v>74</v>
      </c>
      <c r="D731" t="s">
        <v>74</v>
      </c>
      <c r="E731" t="s">
        <v>74</v>
      </c>
      <c r="F731" t="s">
        <v>14057</v>
      </c>
      <c r="G731" t="s">
        <v>74</v>
      </c>
      <c r="H731" t="s">
        <v>74</v>
      </c>
      <c r="I731" t="s">
        <v>14058</v>
      </c>
      <c r="J731" t="s">
        <v>14059</v>
      </c>
      <c r="K731" t="s">
        <v>74</v>
      </c>
      <c r="L731" t="s">
        <v>74</v>
      </c>
      <c r="M731" t="s">
        <v>78</v>
      </c>
      <c r="N731" t="s">
        <v>79</v>
      </c>
      <c r="O731" t="s">
        <v>74</v>
      </c>
      <c r="P731" t="s">
        <v>74</v>
      </c>
      <c r="Q731" t="s">
        <v>74</v>
      </c>
      <c r="R731" t="s">
        <v>74</v>
      </c>
      <c r="S731" t="s">
        <v>74</v>
      </c>
      <c r="T731" t="s">
        <v>14060</v>
      </c>
      <c r="U731" t="s">
        <v>14061</v>
      </c>
      <c r="V731" t="s">
        <v>14062</v>
      </c>
      <c r="W731" t="s">
        <v>14063</v>
      </c>
      <c r="X731" t="s">
        <v>3637</v>
      </c>
      <c r="Y731" t="s">
        <v>14064</v>
      </c>
      <c r="Z731" t="s">
        <v>14065</v>
      </c>
      <c r="AA731" t="s">
        <v>14066</v>
      </c>
      <c r="AB731" t="s">
        <v>74</v>
      </c>
      <c r="AC731" t="s">
        <v>74</v>
      </c>
      <c r="AD731" t="s">
        <v>74</v>
      </c>
      <c r="AE731" t="s">
        <v>74</v>
      </c>
      <c r="AF731" t="s">
        <v>74</v>
      </c>
      <c r="AG731">
        <v>41</v>
      </c>
      <c r="AH731">
        <v>2</v>
      </c>
      <c r="AI731">
        <v>2</v>
      </c>
      <c r="AJ731">
        <v>1</v>
      </c>
      <c r="AK731">
        <v>3</v>
      </c>
      <c r="AL731" t="s">
        <v>14067</v>
      </c>
      <c r="AM731" t="s">
        <v>14068</v>
      </c>
      <c r="AN731" t="s">
        <v>14069</v>
      </c>
      <c r="AO731" t="s">
        <v>14070</v>
      </c>
      <c r="AP731" t="s">
        <v>14071</v>
      </c>
      <c r="AQ731" t="s">
        <v>74</v>
      </c>
      <c r="AR731" t="s">
        <v>14059</v>
      </c>
      <c r="AS731" t="s">
        <v>14059</v>
      </c>
      <c r="AT731" t="s">
        <v>74</v>
      </c>
      <c r="AU731">
        <v>2020</v>
      </c>
      <c r="AV731">
        <v>67</v>
      </c>
      <c r="AW731">
        <v>2</v>
      </c>
      <c r="AX731" t="s">
        <v>74</v>
      </c>
      <c r="AY731" t="s">
        <v>74</v>
      </c>
      <c r="AZ731" t="s">
        <v>74</v>
      </c>
      <c r="BA731" t="s">
        <v>74</v>
      </c>
      <c r="BB731">
        <v>459</v>
      </c>
      <c r="BC731">
        <v>468</v>
      </c>
      <c r="BD731" t="s">
        <v>74</v>
      </c>
      <c r="BE731" t="s">
        <v>74</v>
      </c>
      <c r="BF731" t="s">
        <v>74</v>
      </c>
      <c r="BG731" t="s">
        <v>74</v>
      </c>
      <c r="BH731" t="s">
        <v>74</v>
      </c>
      <c r="BI731">
        <v>10</v>
      </c>
      <c r="BJ731" t="s">
        <v>8796</v>
      </c>
      <c r="BK731" t="s">
        <v>103</v>
      </c>
      <c r="BL731" t="s">
        <v>2510</v>
      </c>
      <c r="BM731" t="s">
        <v>14072</v>
      </c>
      <c r="BN731" t="s">
        <v>74</v>
      </c>
      <c r="BO731" t="s">
        <v>74</v>
      </c>
      <c r="BP731" t="s">
        <v>74</v>
      </c>
      <c r="BQ731" t="s">
        <v>74</v>
      </c>
      <c r="BR731" t="s">
        <v>106</v>
      </c>
      <c r="BS731" t="s">
        <v>14073</v>
      </c>
      <c r="BT731" t="str">
        <f>HYPERLINK("https%3A%2F%2Fwww.webofscience.com%2Fwos%2Fwoscc%2Ffull-record%2FWOS:000605688300003","View Full Record in Web of Science")</f>
        <v>View Full Record in Web of Science</v>
      </c>
    </row>
    <row r="732" spans="1:72" x14ac:dyDescent="0.15">
      <c r="A732" t="s">
        <v>72</v>
      </c>
      <c r="B732" t="s">
        <v>14074</v>
      </c>
      <c r="C732" t="s">
        <v>74</v>
      </c>
      <c r="D732" t="s">
        <v>74</v>
      </c>
      <c r="E732" t="s">
        <v>74</v>
      </c>
      <c r="F732" t="s">
        <v>14075</v>
      </c>
      <c r="G732" t="s">
        <v>74</v>
      </c>
      <c r="H732" t="s">
        <v>74</v>
      </c>
      <c r="I732" t="s">
        <v>14076</v>
      </c>
      <c r="J732" t="s">
        <v>14077</v>
      </c>
      <c r="K732" t="s">
        <v>74</v>
      </c>
      <c r="L732" t="s">
        <v>74</v>
      </c>
      <c r="M732" t="s">
        <v>78</v>
      </c>
      <c r="N732" t="s">
        <v>79</v>
      </c>
      <c r="O732" t="s">
        <v>74</v>
      </c>
      <c r="P732" t="s">
        <v>74</v>
      </c>
      <c r="Q732" t="s">
        <v>74</v>
      </c>
      <c r="R732" t="s">
        <v>74</v>
      </c>
      <c r="S732" t="s">
        <v>74</v>
      </c>
      <c r="T732" t="s">
        <v>14078</v>
      </c>
      <c r="U732" t="s">
        <v>74</v>
      </c>
      <c r="V732" t="s">
        <v>14079</v>
      </c>
      <c r="W732" t="s">
        <v>14080</v>
      </c>
      <c r="X732" t="s">
        <v>14081</v>
      </c>
      <c r="Y732" t="s">
        <v>14082</v>
      </c>
      <c r="Z732" t="s">
        <v>14083</v>
      </c>
      <c r="AA732" t="s">
        <v>14084</v>
      </c>
      <c r="AB732" t="s">
        <v>14085</v>
      </c>
      <c r="AC732" t="s">
        <v>14086</v>
      </c>
      <c r="AD732" t="s">
        <v>8395</v>
      </c>
      <c r="AE732" t="s">
        <v>14087</v>
      </c>
      <c r="AF732" t="s">
        <v>74</v>
      </c>
      <c r="AG732">
        <v>0</v>
      </c>
      <c r="AH732">
        <v>6</v>
      </c>
      <c r="AI732">
        <v>6</v>
      </c>
      <c r="AJ732">
        <v>4</v>
      </c>
      <c r="AK732">
        <v>19</v>
      </c>
      <c r="AL732" t="s">
        <v>14088</v>
      </c>
      <c r="AM732" t="s">
        <v>14089</v>
      </c>
      <c r="AN732" t="s">
        <v>14090</v>
      </c>
      <c r="AO732" t="s">
        <v>14091</v>
      </c>
      <c r="AP732" t="s">
        <v>14092</v>
      </c>
      <c r="AQ732" t="s">
        <v>74</v>
      </c>
      <c r="AR732" t="s">
        <v>14093</v>
      </c>
      <c r="AS732" t="s">
        <v>14094</v>
      </c>
      <c r="AT732" t="s">
        <v>74</v>
      </c>
      <c r="AU732">
        <v>2020</v>
      </c>
      <c r="AV732" t="s">
        <v>74</v>
      </c>
      <c r="AW732">
        <v>52</v>
      </c>
      <c r="AX732" t="s">
        <v>74</v>
      </c>
      <c r="AY732" t="s">
        <v>74</v>
      </c>
      <c r="AZ732" t="s">
        <v>74</v>
      </c>
      <c r="BA732" t="s">
        <v>74</v>
      </c>
      <c r="BB732">
        <v>6</v>
      </c>
      <c r="BC732">
        <v>33</v>
      </c>
      <c r="BD732" t="s">
        <v>74</v>
      </c>
      <c r="BE732" t="s">
        <v>14095</v>
      </c>
      <c r="BF732" t="str">
        <f>HYPERLINK("http://dx.doi.org/10.17223/19988591/52/1","http://dx.doi.org/10.17223/19988591/52/1")</f>
        <v>http://dx.doi.org/10.17223/19988591/52/1</v>
      </c>
      <c r="BG732" t="s">
        <v>74</v>
      </c>
      <c r="BH732" t="s">
        <v>74</v>
      </c>
      <c r="BI732">
        <v>28</v>
      </c>
      <c r="BJ732" t="s">
        <v>14096</v>
      </c>
      <c r="BK732" t="s">
        <v>274</v>
      </c>
      <c r="BL732" t="s">
        <v>12839</v>
      </c>
      <c r="BM732" t="s">
        <v>14097</v>
      </c>
      <c r="BN732" t="s">
        <v>74</v>
      </c>
      <c r="BO732" t="s">
        <v>517</v>
      </c>
      <c r="BP732" t="s">
        <v>74</v>
      </c>
      <c r="BQ732" t="s">
        <v>74</v>
      </c>
      <c r="BR732" t="s">
        <v>106</v>
      </c>
      <c r="BS732" t="s">
        <v>14098</v>
      </c>
      <c r="BT732" t="str">
        <f>HYPERLINK("https%3A%2F%2Fwww.webofscience.com%2Fwos%2Fwoscc%2Ffull-record%2FWOS:000609228400001","View Full Record in Web of Science")</f>
        <v>View Full Record in Web of Science</v>
      </c>
    </row>
    <row r="733" spans="1:72" x14ac:dyDescent="0.15">
      <c r="A733" t="s">
        <v>72</v>
      </c>
      <c r="B733" t="s">
        <v>14099</v>
      </c>
      <c r="C733" t="s">
        <v>74</v>
      </c>
      <c r="D733" t="s">
        <v>74</v>
      </c>
      <c r="E733" t="s">
        <v>74</v>
      </c>
      <c r="F733" t="s">
        <v>14100</v>
      </c>
      <c r="G733" t="s">
        <v>74</v>
      </c>
      <c r="H733" t="s">
        <v>74</v>
      </c>
      <c r="I733" t="s">
        <v>14101</v>
      </c>
      <c r="J733" t="s">
        <v>14102</v>
      </c>
      <c r="K733" t="s">
        <v>74</v>
      </c>
      <c r="L733" t="s">
        <v>74</v>
      </c>
      <c r="M733" t="s">
        <v>78</v>
      </c>
      <c r="N733" t="s">
        <v>79</v>
      </c>
      <c r="O733" t="s">
        <v>74</v>
      </c>
      <c r="P733" t="s">
        <v>74</v>
      </c>
      <c r="Q733" t="s">
        <v>74</v>
      </c>
      <c r="R733" t="s">
        <v>74</v>
      </c>
      <c r="S733" t="s">
        <v>74</v>
      </c>
      <c r="T733" t="s">
        <v>14103</v>
      </c>
      <c r="U733" t="s">
        <v>14104</v>
      </c>
      <c r="V733" t="s">
        <v>14105</v>
      </c>
      <c r="W733" t="s">
        <v>14106</v>
      </c>
      <c r="X733" t="s">
        <v>14107</v>
      </c>
      <c r="Y733" t="s">
        <v>14108</v>
      </c>
      <c r="Z733" t="s">
        <v>14109</v>
      </c>
      <c r="AA733" t="s">
        <v>14110</v>
      </c>
      <c r="AB733" t="s">
        <v>14111</v>
      </c>
      <c r="AC733" t="s">
        <v>14112</v>
      </c>
      <c r="AD733" t="s">
        <v>14113</v>
      </c>
      <c r="AE733" t="s">
        <v>14114</v>
      </c>
      <c r="AF733" t="s">
        <v>74</v>
      </c>
      <c r="AG733">
        <v>55</v>
      </c>
      <c r="AH733">
        <v>0</v>
      </c>
      <c r="AI733">
        <v>0</v>
      </c>
      <c r="AJ733">
        <v>1</v>
      </c>
      <c r="AK733">
        <v>26</v>
      </c>
      <c r="AL733" t="s">
        <v>14115</v>
      </c>
      <c r="AM733" t="s">
        <v>14116</v>
      </c>
      <c r="AN733" t="s">
        <v>14117</v>
      </c>
      <c r="AO733" t="s">
        <v>14118</v>
      </c>
      <c r="AP733" t="s">
        <v>74</v>
      </c>
      <c r="AQ733" t="s">
        <v>74</v>
      </c>
      <c r="AR733" t="s">
        <v>14119</v>
      </c>
      <c r="AS733" t="s">
        <v>14120</v>
      </c>
      <c r="AT733" t="s">
        <v>74</v>
      </c>
      <c r="AU733">
        <v>2020</v>
      </c>
      <c r="AV733">
        <v>31</v>
      </c>
      <c r="AW733" t="s">
        <v>74</v>
      </c>
      <c r="AX733" t="s">
        <v>74</v>
      </c>
      <c r="AY733" t="s">
        <v>74</v>
      </c>
      <c r="AZ733" t="s">
        <v>74</v>
      </c>
      <c r="BA733" t="s">
        <v>74</v>
      </c>
      <c r="BB733">
        <v>88</v>
      </c>
      <c r="BC733">
        <v>97</v>
      </c>
      <c r="BD733" t="s">
        <v>74</v>
      </c>
      <c r="BE733" t="s">
        <v>74</v>
      </c>
      <c r="BF733" t="s">
        <v>74</v>
      </c>
      <c r="BG733" t="s">
        <v>74</v>
      </c>
      <c r="BH733" t="s">
        <v>74</v>
      </c>
      <c r="BI733">
        <v>10</v>
      </c>
      <c r="BJ733" t="s">
        <v>8796</v>
      </c>
      <c r="BK733" t="s">
        <v>103</v>
      </c>
      <c r="BL733" t="s">
        <v>2510</v>
      </c>
      <c r="BM733" t="s">
        <v>14121</v>
      </c>
      <c r="BN733" t="s">
        <v>74</v>
      </c>
      <c r="BO733" t="s">
        <v>74</v>
      </c>
      <c r="BP733" t="s">
        <v>74</v>
      </c>
      <c r="BQ733" t="s">
        <v>74</v>
      </c>
      <c r="BR733" t="s">
        <v>106</v>
      </c>
      <c r="BS733" t="s">
        <v>14122</v>
      </c>
      <c r="BT733" t="str">
        <f>HYPERLINK("https%3A%2F%2Fwww.webofscience.com%2Fwos%2Fwoscc%2Ffull-record%2FWOS:000606354600001","View Full Record in Web of Science")</f>
        <v>View Full Record in Web of Science</v>
      </c>
    </row>
    <row r="734" spans="1:72" x14ac:dyDescent="0.15">
      <c r="A734" t="s">
        <v>72</v>
      </c>
      <c r="B734" t="s">
        <v>14123</v>
      </c>
      <c r="C734" t="s">
        <v>74</v>
      </c>
      <c r="D734" t="s">
        <v>74</v>
      </c>
      <c r="E734" t="s">
        <v>74</v>
      </c>
      <c r="F734" t="s">
        <v>14124</v>
      </c>
      <c r="G734" t="s">
        <v>74</v>
      </c>
      <c r="H734" t="s">
        <v>74</v>
      </c>
      <c r="I734" t="s">
        <v>14125</v>
      </c>
      <c r="J734" t="s">
        <v>13973</v>
      </c>
      <c r="K734" t="s">
        <v>74</v>
      </c>
      <c r="L734" t="s">
        <v>74</v>
      </c>
      <c r="M734" t="s">
        <v>78</v>
      </c>
      <c r="N734" t="s">
        <v>79</v>
      </c>
      <c r="O734" t="s">
        <v>74</v>
      </c>
      <c r="P734" t="s">
        <v>74</v>
      </c>
      <c r="Q734" t="s">
        <v>74</v>
      </c>
      <c r="R734" t="s">
        <v>74</v>
      </c>
      <c r="S734" t="s">
        <v>74</v>
      </c>
      <c r="T734" t="s">
        <v>14126</v>
      </c>
      <c r="U734" t="s">
        <v>14127</v>
      </c>
      <c r="V734" t="s">
        <v>14128</v>
      </c>
      <c r="W734" t="s">
        <v>14129</v>
      </c>
      <c r="X734" t="s">
        <v>14130</v>
      </c>
      <c r="Y734" t="s">
        <v>14131</v>
      </c>
      <c r="Z734" t="s">
        <v>14132</v>
      </c>
      <c r="AA734" t="s">
        <v>74</v>
      </c>
      <c r="AB734" t="s">
        <v>14133</v>
      </c>
      <c r="AC734" t="s">
        <v>14134</v>
      </c>
      <c r="AD734" t="s">
        <v>14135</v>
      </c>
      <c r="AE734" t="s">
        <v>14136</v>
      </c>
      <c r="AF734" t="s">
        <v>74</v>
      </c>
      <c r="AG734">
        <v>45</v>
      </c>
      <c r="AH734">
        <v>16</v>
      </c>
      <c r="AI734">
        <v>18</v>
      </c>
      <c r="AJ734">
        <v>3</v>
      </c>
      <c r="AK734">
        <v>39</v>
      </c>
      <c r="AL734" t="s">
        <v>13984</v>
      </c>
      <c r="AM734" t="s">
        <v>545</v>
      </c>
      <c r="AN734" t="s">
        <v>13985</v>
      </c>
      <c r="AO734" t="s">
        <v>13986</v>
      </c>
      <c r="AP734" t="s">
        <v>13987</v>
      </c>
      <c r="AQ734" t="s">
        <v>74</v>
      </c>
      <c r="AR734" t="s">
        <v>13988</v>
      </c>
      <c r="AS734" t="s">
        <v>13989</v>
      </c>
      <c r="AT734" t="s">
        <v>74</v>
      </c>
      <c r="AU734">
        <v>2020</v>
      </c>
      <c r="AV734">
        <v>70</v>
      </c>
      <c r="AW734">
        <v>12</v>
      </c>
      <c r="AX734" t="s">
        <v>74</v>
      </c>
      <c r="AY734" t="s">
        <v>74</v>
      </c>
      <c r="AZ734" t="s">
        <v>74</v>
      </c>
      <c r="BA734" t="s">
        <v>74</v>
      </c>
      <c r="BB734">
        <v>6106</v>
      </c>
      <c r="BC734">
        <v>6114</v>
      </c>
      <c r="BD734" t="s">
        <v>74</v>
      </c>
      <c r="BE734" t="s">
        <v>14137</v>
      </c>
      <c r="BF734" t="str">
        <f>HYPERLINK("http://dx.doi.org/10.1099/ijsem.0.004505","http://dx.doi.org/10.1099/ijsem.0.004505")</f>
        <v>http://dx.doi.org/10.1099/ijsem.0.004505</v>
      </c>
      <c r="BG734" t="s">
        <v>74</v>
      </c>
      <c r="BH734" t="s">
        <v>74</v>
      </c>
      <c r="BI734">
        <v>9</v>
      </c>
      <c r="BJ734" t="s">
        <v>273</v>
      </c>
      <c r="BK734" t="s">
        <v>103</v>
      </c>
      <c r="BL734" t="s">
        <v>273</v>
      </c>
      <c r="BM734" t="s">
        <v>14138</v>
      </c>
      <c r="BN734">
        <v>33048040</v>
      </c>
      <c r="BO734" t="s">
        <v>517</v>
      </c>
      <c r="BP734" t="s">
        <v>74</v>
      </c>
      <c r="BQ734" t="s">
        <v>74</v>
      </c>
      <c r="BR734" t="s">
        <v>106</v>
      </c>
      <c r="BS734" t="s">
        <v>14139</v>
      </c>
      <c r="BT734" t="str">
        <f>HYPERLINK("https%3A%2F%2Fwww.webofscience.com%2Fwos%2Fwoscc%2Ffull-record%2FWOS:000608418900010","View Full Record in Web of Science")</f>
        <v>View Full Record in Web of Science</v>
      </c>
    </row>
    <row r="735" spans="1:72" x14ac:dyDescent="0.15">
      <c r="A735" t="s">
        <v>72</v>
      </c>
      <c r="B735" t="s">
        <v>14140</v>
      </c>
      <c r="C735" t="s">
        <v>74</v>
      </c>
      <c r="D735" t="s">
        <v>74</v>
      </c>
      <c r="E735" t="s">
        <v>74</v>
      </c>
      <c r="F735" t="s">
        <v>14141</v>
      </c>
      <c r="G735" t="s">
        <v>74</v>
      </c>
      <c r="H735" t="s">
        <v>74</v>
      </c>
      <c r="I735" t="s">
        <v>14142</v>
      </c>
      <c r="J735" t="s">
        <v>13973</v>
      </c>
      <c r="K735" t="s">
        <v>74</v>
      </c>
      <c r="L735" t="s">
        <v>74</v>
      </c>
      <c r="M735" t="s">
        <v>78</v>
      </c>
      <c r="N735" t="s">
        <v>79</v>
      </c>
      <c r="O735" t="s">
        <v>74</v>
      </c>
      <c r="P735" t="s">
        <v>74</v>
      </c>
      <c r="Q735" t="s">
        <v>74</v>
      </c>
      <c r="R735" t="s">
        <v>74</v>
      </c>
      <c r="S735" t="s">
        <v>74</v>
      </c>
      <c r="T735" t="s">
        <v>14143</v>
      </c>
      <c r="U735" t="s">
        <v>14144</v>
      </c>
      <c r="V735" t="s">
        <v>14145</v>
      </c>
      <c r="W735" t="s">
        <v>14146</v>
      </c>
      <c r="X735" t="s">
        <v>14147</v>
      </c>
      <c r="Y735" t="s">
        <v>14148</v>
      </c>
      <c r="Z735" t="s">
        <v>14149</v>
      </c>
      <c r="AA735" t="s">
        <v>14150</v>
      </c>
      <c r="AB735" t="s">
        <v>14151</v>
      </c>
      <c r="AC735" t="s">
        <v>14152</v>
      </c>
      <c r="AD735" t="s">
        <v>14153</v>
      </c>
      <c r="AE735" t="s">
        <v>14154</v>
      </c>
      <c r="AF735" t="s">
        <v>74</v>
      </c>
      <c r="AG735">
        <v>40</v>
      </c>
      <c r="AH735">
        <v>3</v>
      </c>
      <c r="AI735">
        <v>3</v>
      </c>
      <c r="AJ735">
        <v>0</v>
      </c>
      <c r="AK735">
        <v>9</v>
      </c>
      <c r="AL735" t="s">
        <v>13984</v>
      </c>
      <c r="AM735" t="s">
        <v>545</v>
      </c>
      <c r="AN735" t="s">
        <v>14155</v>
      </c>
      <c r="AO735" t="s">
        <v>13986</v>
      </c>
      <c r="AP735" t="s">
        <v>13987</v>
      </c>
      <c r="AQ735" t="s">
        <v>74</v>
      </c>
      <c r="AR735" t="s">
        <v>13988</v>
      </c>
      <c r="AS735" t="s">
        <v>13989</v>
      </c>
      <c r="AT735" t="s">
        <v>74</v>
      </c>
      <c r="AU735">
        <v>2020</v>
      </c>
      <c r="AV735">
        <v>70</v>
      </c>
      <c r="AW735">
        <v>12</v>
      </c>
      <c r="AX735" t="s">
        <v>74</v>
      </c>
      <c r="AY735" t="s">
        <v>74</v>
      </c>
      <c r="AZ735" t="s">
        <v>74</v>
      </c>
      <c r="BA735" t="s">
        <v>74</v>
      </c>
      <c r="BB735">
        <v>6284</v>
      </c>
      <c r="BC735">
        <v>6293</v>
      </c>
      <c r="BD735" t="s">
        <v>74</v>
      </c>
      <c r="BE735" t="s">
        <v>14156</v>
      </c>
      <c r="BF735" t="str">
        <f>HYPERLINK("http://dx.doi.org/10.1099/ijsem.0.004527","http://dx.doi.org/10.1099/ijsem.0.004527")</f>
        <v>http://dx.doi.org/10.1099/ijsem.0.004527</v>
      </c>
      <c r="BG735" t="s">
        <v>74</v>
      </c>
      <c r="BH735" t="s">
        <v>74</v>
      </c>
      <c r="BI735">
        <v>10</v>
      </c>
      <c r="BJ735" t="s">
        <v>273</v>
      </c>
      <c r="BK735" t="s">
        <v>103</v>
      </c>
      <c r="BL735" t="s">
        <v>273</v>
      </c>
      <c r="BM735" t="s">
        <v>14138</v>
      </c>
      <c r="BN735">
        <v>33118924</v>
      </c>
      <c r="BO735" t="s">
        <v>517</v>
      </c>
      <c r="BP735" t="s">
        <v>74</v>
      </c>
      <c r="BQ735" t="s">
        <v>74</v>
      </c>
      <c r="BR735" t="s">
        <v>106</v>
      </c>
      <c r="BS735" t="s">
        <v>14157</v>
      </c>
      <c r="BT735" t="str">
        <f>HYPERLINK("https%3A%2F%2Fwww.webofscience.com%2Fwos%2Fwoscc%2Ffull-record%2FWOS:000608418900031","View Full Record in Web of Science")</f>
        <v>View Full Record in Web of Science</v>
      </c>
    </row>
    <row r="736" spans="1:72" x14ac:dyDescent="0.15">
      <c r="A736" t="s">
        <v>72</v>
      </c>
      <c r="B736" t="s">
        <v>14158</v>
      </c>
      <c r="C736" t="s">
        <v>74</v>
      </c>
      <c r="D736" t="s">
        <v>74</v>
      </c>
      <c r="E736" t="s">
        <v>74</v>
      </c>
      <c r="F736" t="s">
        <v>14159</v>
      </c>
      <c r="G736" t="s">
        <v>74</v>
      </c>
      <c r="H736" t="s">
        <v>74</v>
      </c>
      <c r="I736" t="s">
        <v>14160</v>
      </c>
      <c r="J736" t="s">
        <v>13973</v>
      </c>
      <c r="K736" t="s">
        <v>74</v>
      </c>
      <c r="L736" t="s">
        <v>74</v>
      </c>
      <c r="M736" t="s">
        <v>78</v>
      </c>
      <c r="N736" t="s">
        <v>79</v>
      </c>
      <c r="O736" t="s">
        <v>74</v>
      </c>
      <c r="P736" t="s">
        <v>74</v>
      </c>
      <c r="Q736" t="s">
        <v>74</v>
      </c>
      <c r="R736" t="s">
        <v>74</v>
      </c>
      <c r="S736" t="s">
        <v>74</v>
      </c>
      <c r="T736" t="s">
        <v>14161</v>
      </c>
      <c r="U736" t="s">
        <v>14162</v>
      </c>
      <c r="V736" t="s">
        <v>14163</v>
      </c>
      <c r="W736" t="s">
        <v>14164</v>
      </c>
      <c r="X736" t="s">
        <v>14165</v>
      </c>
      <c r="Y736" t="s">
        <v>14166</v>
      </c>
      <c r="Z736" t="s">
        <v>14167</v>
      </c>
      <c r="AA736" t="s">
        <v>14168</v>
      </c>
      <c r="AB736" t="s">
        <v>14169</v>
      </c>
      <c r="AC736" t="s">
        <v>14170</v>
      </c>
      <c r="AD736" t="s">
        <v>14171</v>
      </c>
      <c r="AE736" t="s">
        <v>14172</v>
      </c>
      <c r="AF736" t="s">
        <v>74</v>
      </c>
      <c r="AG736">
        <v>41</v>
      </c>
      <c r="AH736">
        <v>2</v>
      </c>
      <c r="AI736">
        <v>2</v>
      </c>
      <c r="AJ736">
        <v>0</v>
      </c>
      <c r="AK736">
        <v>23</v>
      </c>
      <c r="AL736" t="s">
        <v>13984</v>
      </c>
      <c r="AM736" t="s">
        <v>545</v>
      </c>
      <c r="AN736" t="s">
        <v>13985</v>
      </c>
      <c r="AO736" t="s">
        <v>13986</v>
      </c>
      <c r="AP736" t="s">
        <v>13987</v>
      </c>
      <c r="AQ736" t="s">
        <v>74</v>
      </c>
      <c r="AR736" t="s">
        <v>13988</v>
      </c>
      <c r="AS736" t="s">
        <v>13989</v>
      </c>
      <c r="AT736" t="s">
        <v>74</v>
      </c>
      <c r="AU736">
        <v>2020</v>
      </c>
      <c r="AV736">
        <v>70</v>
      </c>
      <c r="AW736">
        <v>12</v>
      </c>
      <c r="AX736" t="s">
        <v>74</v>
      </c>
      <c r="AY736" t="s">
        <v>74</v>
      </c>
      <c r="AZ736" t="s">
        <v>74</v>
      </c>
      <c r="BA736" t="s">
        <v>74</v>
      </c>
      <c r="BB736">
        <v>6444</v>
      </c>
      <c r="BC736">
        <v>6449</v>
      </c>
      <c r="BD736" t="s">
        <v>74</v>
      </c>
      <c r="BE736" t="s">
        <v>14173</v>
      </c>
      <c r="BF736" t="str">
        <f>HYPERLINK("http://dx.doi.org/10.1099/ijsem.0.004552","http://dx.doi.org/10.1099/ijsem.0.004552")</f>
        <v>http://dx.doi.org/10.1099/ijsem.0.004552</v>
      </c>
      <c r="BG736" t="s">
        <v>74</v>
      </c>
      <c r="BH736" t="s">
        <v>74</v>
      </c>
      <c r="BI736">
        <v>6</v>
      </c>
      <c r="BJ736" t="s">
        <v>273</v>
      </c>
      <c r="BK736" t="s">
        <v>103</v>
      </c>
      <c r="BL736" t="s">
        <v>273</v>
      </c>
      <c r="BM736" t="s">
        <v>14138</v>
      </c>
      <c r="BN736">
        <v>33174831</v>
      </c>
      <c r="BO736" t="s">
        <v>517</v>
      </c>
      <c r="BP736" t="s">
        <v>74</v>
      </c>
      <c r="BQ736" t="s">
        <v>74</v>
      </c>
      <c r="BR736" t="s">
        <v>106</v>
      </c>
      <c r="BS736" t="s">
        <v>14174</v>
      </c>
      <c r="BT736" t="str">
        <f>HYPERLINK("https%3A%2F%2Fwww.webofscience.com%2Fwos%2Fwoscc%2Ffull-record%2FWOS:000608418900052","View Full Record in Web of Science")</f>
        <v>View Full Record in Web of Science</v>
      </c>
    </row>
    <row r="737" spans="1:72" x14ac:dyDescent="0.15">
      <c r="A737" t="s">
        <v>72</v>
      </c>
      <c r="B737" t="s">
        <v>14175</v>
      </c>
      <c r="C737" t="s">
        <v>74</v>
      </c>
      <c r="D737" t="s">
        <v>74</v>
      </c>
      <c r="E737" t="s">
        <v>74</v>
      </c>
      <c r="F737" t="s">
        <v>14176</v>
      </c>
      <c r="G737" t="s">
        <v>74</v>
      </c>
      <c r="H737" t="s">
        <v>74</v>
      </c>
      <c r="I737" t="s">
        <v>14177</v>
      </c>
      <c r="J737" t="s">
        <v>14178</v>
      </c>
      <c r="K737" t="s">
        <v>74</v>
      </c>
      <c r="L737" t="s">
        <v>74</v>
      </c>
      <c r="M737" t="s">
        <v>78</v>
      </c>
      <c r="N737" t="s">
        <v>79</v>
      </c>
      <c r="O737" t="s">
        <v>74</v>
      </c>
      <c r="P737" t="s">
        <v>74</v>
      </c>
      <c r="Q737" t="s">
        <v>74</v>
      </c>
      <c r="R737" t="s">
        <v>74</v>
      </c>
      <c r="S737" t="s">
        <v>74</v>
      </c>
      <c r="T737" t="s">
        <v>14179</v>
      </c>
      <c r="U737" t="s">
        <v>14180</v>
      </c>
      <c r="V737" t="s">
        <v>14181</v>
      </c>
      <c r="W737" t="s">
        <v>14182</v>
      </c>
      <c r="X737" t="s">
        <v>14183</v>
      </c>
      <c r="Y737" t="s">
        <v>14184</v>
      </c>
      <c r="Z737" t="s">
        <v>14185</v>
      </c>
      <c r="AA737" t="s">
        <v>14186</v>
      </c>
      <c r="AB737" t="s">
        <v>14187</v>
      </c>
      <c r="AC737" t="s">
        <v>14188</v>
      </c>
      <c r="AD737" t="s">
        <v>14189</v>
      </c>
      <c r="AE737" t="s">
        <v>14190</v>
      </c>
      <c r="AF737" t="s">
        <v>74</v>
      </c>
      <c r="AG737">
        <v>85</v>
      </c>
      <c r="AH737">
        <v>10</v>
      </c>
      <c r="AI737">
        <v>10</v>
      </c>
      <c r="AJ737">
        <v>0</v>
      </c>
      <c r="AK737">
        <v>1</v>
      </c>
      <c r="AL737" t="s">
        <v>289</v>
      </c>
      <c r="AM737" t="s">
        <v>290</v>
      </c>
      <c r="AN737" t="s">
        <v>291</v>
      </c>
      <c r="AO737" t="s">
        <v>14191</v>
      </c>
      <c r="AP737" t="s">
        <v>74</v>
      </c>
      <c r="AQ737" t="s">
        <v>74</v>
      </c>
      <c r="AR737" t="s">
        <v>14192</v>
      </c>
      <c r="AS737" t="s">
        <v>14193</v>
      </c>
      <c r="AT737" t="s">
        <v>74</v>
      </c>
      <c r="AU737">
        <v>2020</v>
      </c>
      <c r="AV737">
        <v>18</v>
      </c>
      <c r="AW737" t="s">
        <v>74</v>
      </c>
      <c r="AX737" t="s">
        <v>74</v>
      </c>
      <c r="AY737" t="s">
        <v>74</v>
      </c>
      <c r="AZ737" t="s">
        <v>74</v>
      </c>
      <c r="BA737" t="s">
        <v>74</v>
      </c>
      <c r="BB737">
        <v>2132</v>
      </c>
      <c r="BC737">
        <v>2144</v>
      </c>
      <c r="BD737" t="s">
        <v>74</v>
      </c>
      <c r="BE737" t="s">
        <v>14194</v>
      </c>
      <c r="BF737" t="str">
        <f>HYPERLINK("http://dx.doi.org/10.1016/j.csbj.2020.08.007","http://dx.doi.org/10.1016/j.csbj.2020.08.007")</f>
        <v>http://dx.doi.org/10.1016/j.csbj.2020.08.007</v>
      </c>
      <c r="BG737" t="s">
        <v>74</v>
      </c>
      <c r="BH737" t="s">
        <v>74</v>
      </c>
      <c r="BI737">
        <v>13</v>
      </c>
      <c r="BJ737" t="s">
        <v>5595</v>
      </c>
      <c r="BK737" t="s">
        <v>103</v>
      </c>
      <c r="BL737" t="s">
        <v>5595</v>
      </c>
      <c r="BM737" t="s">
        <v>14195</v>
      </c>
      <c r="BN737">
        <v>32913582</v>
      </c>
      <c r="BO737" t="s">
        <v>276</v>
      </c>
      <c r="BP737" t="s">
        <v>74</v>
      </c>
      <c r="BQ737" t="s">
        <v>74</v>
      </c>
      <c r="BR737" t="s">
        <v>106</v>
      </c>
      <c r="BS737" t="s">
        <v>14196</v>
      </c>
      <c r="BT737" t="str">
        <f>HYPERLINK("https%3A%2F%2Fwww.webofscience.com%2Fwos%2Fwoscc%2Ffull-record%2FWOS:000607348200013","View Full Record in Web of Science")</f>
        <v>View Full Record in Web of Science</v>
      </c>
    </row>
    <row r="738" spans="1:72" x14ac:dyDescent="0.15">
      <c r="A738" t="s">
        <v>72</v>
      </c>
      <c r="B738" t="s">
        <v>14197</v>
      </c>
      <c r="C738" t="s">
        <v>74</v>
      </c>
      <c r="D738" t="s">
        <v>74</v>
      </c>
      <c r="E738" t="s">
        <v>74</v>
      </c>
      <c r="F738" t="s">
        <v>14198</v>
      </c>
      <c r="G738" t="s">
        <v>74</v>
      </c>
      <c r="H738" t="s">
        <v>74</v>
      </c>
      <c r="I738" t="s">
        <v>14199</v>
      </c>
      <c r="J738" t="s">
        <v>14200</v>
      </c>
      <c r="K738" t="s">
        <v>74</v>
      </c>
      <c r="L738" t="s">
        <v>74</v>
      </c>
      <c r="M738" t="s">
        <v>78</v>
      </c>
      <c r="N738" t="s">
        <v>79</v>
      </c>
      <c r="O738" t="s">
        <v>74</v>
      </c>
      <c r="P738" t="s">
        <v>74</v>
      </c>
      <c r="Q738" t="s">
        <v>74</v>
      </c>
      <c r="R738" t="s">
        <v>74</v>
      </c>
      <c r="S738" t="s">
        <v>74</v>
      </c>
      <c r="T738" t="s">
        <v>14201</v>
      </c>
      <c r="U738" t="s">
        <v>14202</v>
      </c>
      <c r="V738" t="s">
        <v>14203</v>
      </c>
      <c r="W738" t="s">
        <v>14204</v>
      </c>
      <c r="X738" t="s">
        <v>14205</v>
      </c>
      <c r="Y738" t="s">
        <v>14206</v>
      </c>
      <c r="Z738" t="s">
        <v>14207</v>
      </c>
      <c r="AA738" t="s">
        <v>14208</v>
      </c>
      <c r="AB738" t="s">
        <v>14209</v>
      </c>
      <c r="AC738" t="s">
        <v>14210</v>
      </c>
      <c r="AD738" t="s">
        <v>14210</v>
      </c>
      <c r="AE738" t="s">
        <v>14211</v>
      </c>
      <c r="AF738" t="s">
        <v>74</v>
      </c>
      <c r="AG738">
        <v>54</v>
      </c>
      <c r="AH738">
        <v>2</v>
      </c>
      <c r="AI738">
        <v>2</v>
      </c>
      <c r="AJ738">
        <v>0</v>
      </c>
      <c r="AK738">
        <v>4</v>
      </c>
      <c r="AL738" t="s">
        <v>14212</v>
      </c>
      <c r="AM738" t="s">
        <v>14213</v>
      </c>
      <c r="AN738" t="s">
        <v>14214</v>
      </c>
      <c r="AO738" t="s">
        <v>14215</v>
      </c>
      <c r="AP738" t="s">
        <v>74</v>
      </c>
      <c r="AQ738" t="s">
        <v>74</v>
      </c>
      <c r="AR738" t="s">
        <v>14216</v>
      </c>
      <c r="AS738" t="s">
        <v>14217</v>
      </c>
      <c r="AT738" t="s">
        <v>74</v>
      </c>
      <c r="AU738">
        <v>2020</v>
      </c>
      <c r="AV738">
        <v>19</v>
      </c>
      <c r="AW738">
        <v>6</v>
      </c>
      <c r="AX738" t="s">
        <v>74</v>
      </c>
      <c r="AY738" t="s">
        <v>74</v>
      </c>
      <c r="AZ738" t="s">
        <v>74</v>
      </c>
      <c r="BA738" t="s">
        <v>74</v>
      </c>
      <c r="BB738">
        <v>2985</v>
      </c>
      <c r="BC738">
        <v>3000</v>
      </c>
      <c r="BD738" t="s">
        <v>74</v>
      </c>
      <c r="BE738" t="s">
        <v>14218</v>
      </c>
      <c r="BF738" t="str">
        <f>HYPERLINK("http://dx.doi.org/10.22092/ijfs.2020.122926","http://dx.doi.org/10.22092/ijfs.2020.122926")</f>
        <v>http://dx.doi.org/10.22092/ijfs.2020.122926</v>
      </c>
      <c r="BG738" t="s">
        <v>74</v>
      </c>
      <c r="BH738" t="s">
        <v>74</v>
      </c>
      <c r="BI738">
        <v>16</v>
      </c>
      <c r="BJ738" t="s">
        <v>593</v>
      </c>
      <c r="BK738" t="s">
        <v>103</v>
      </c>
      <c r="BL738" t="s">
        <v>593</v>
      </c>
      <c r="BM738" t="s">
        <v>14219</v>
      </c>
      <c r="BN738" t="s">
        <v>74</v>
      </c>
      <c r="BO738" t="s">
        <v>74</v>
      </c>
      <c r="BP738" t="s">
        <v>74</v>
      </c>
      <c r="BQ738" t="s">
        <v>74</v>
      </c>
      <c r="BR738" t="s">
        <v>106</v>
      </c>
      <c r="BS738" t="s">
        <v>14220</v>
      </c>
      <c r="BT738" t="str">
        <f>HYPERLINK("https%3A%2F%2Fwww.webofscience.com%2Fwos%2Fwoscc%2Ffull-record%2FWOS:000600344000016","View Full Record in Web of Science")</f>
        <v>View Full Record in Web of Science</v>
      </c>
    </row>
    <row r="739" spans="1:72" x14ac:dyDescent="0.15">
      <c r="A739" t="s">
        <v>72</v>
      </c>
      <c r="B739" t="s">
        <v>14221</v>
      </c>
      <c r="C739" t="s">
        <v>74</v>
      </c>
      <c r="D739" t="s">
        <v>74</v>
      </c>
      <c r="E739" t="s">
        <v>74</v>
      </c>
      <c r="F739" t="s">
        <v>14222</v>
      </c>
      <c r="G739" t="s">
        <v>74</v>
      </c>
      <c r="H739" t="s">
        <v>74</v>
      </c>
      <c r="I739" t="s">
        <v>14223</v>
      </c>
      <c r="J739" t="s">
        <v>14224</v>
      </c>
      <c r="K739" t="s">
        <v>74</v>
      </c>
      <c r="L739" t="s">
        <v>74</v>
      </c>
      <c r="M739" t="s">
        <v>78</v>
      </c>
      <c r="N739" t="s">
        <v>79</v>
      </c>
      <c r="O739" t="s">
        <v>74</v>
      </c>
      <c r="P739" t="s">
        <v>74</v>
      </c>
      <c r="Q739" t="s">
        <v>74</v>
      </c>
      <c r="R739" t="s">
        <v>74</v>
      </c>
      <c r="S739" t="s">
        <v>74</v>
      </c>
      <c r="T739" t="s">
        <v>14225</v>
      </c>
      <c r="U739" t="s">
        <v>14226</v>
      </c>
      <c r="V739" t="s">
        <v>14227</v>
      </c>
      <c r="W739" t="s">
        <v>14228</v>
      </c>
      <c r="X739" t="s">
        <v>14229</v>
      </c>
      <c r="Y739" t="s">
        <v>14230</v>
      </c>
      <c r="Z739" t="s">
        <v>14231</v>
      </c>
      <c r="AA739" t="s">
        <v>74</v>
      </c>
      <c r="AB739" t="s">
        <v>14232</v>
      </c>
      <c r="AC739" t="s">
        <v>14233</v>
      </c>
      <c r="AD739" t="s">
        <v>14234</v>
      </c>
      <c r="AE739" t="s">
        <v>14235</v>
      </c>
      <c r="AF739" t="s">
        <v>74</v>
      </c>
      <c r="AG739">
        <v>96</v>
      </c>
      <c r="AH739">
        <v>9</v>
      </c>
      <c r="AI739">
        <v>10</v>
      </c>
      <c r="AJ739">
        <v>0</v>
      </c>
      <c r="AK739">
        <v>8</v>
      </c>
      <c r="AL739" t="s">
        <v>14236</v>
      </c>
      <c r="AM739" t="s">
        <v>14237</v>
      </c>
      <c r="AN739" t="s">
        <v>14238</v>
      </c>
      <c r="AO739" t="s">
        <v>14239</v>
      </c>
      <c r="AP739" t="s">
        <v>14240</v>
      </c>
      <c r="AQ739" t="s">
        <v>74</v>
      </c>
      <c r="AR739" t="s">
        <v>14224</v>
      </c>
      <c r="AS739" t="s">
        <v>14241</v>
      </c>
      <c r="AT739" t="s">
        <v>74</v>
      </c>
      <c r="AU739">
        <v>2020</v>
      </c>
      <c r="AV739">
        <v>17</v>
      </c>
      <c r="AW739">
        <v>4</v>
      </c>
      <c r="AX739" t="s">
        <v>74</v>
      </c>
      <c r="AY739" t="s">
        <v>74</v>
      </c>
      <c r="AZ739" t="s">
        <v>74</v>
      </c>
      <c r="BA739" t="s">
        <v>74</v>
      </c>
      <c r="BB739">
        <v>213</v>
      </c>
      <c r="BC739">
        <v>278</v>
      </c>
      <c r="BD739" t="s">
        <v>74</v>
      </c>
      <c r="BE739" t="s">
        <v>14242</v>
      </c>
      <c r="BF739" t="str">
        <f>HYPERLINK("http://dx.doi.org/10.29041/strat.17.4.213-278","http://dx.doi.org/10.29041/strat.17.4.213-278")</f>
        <v>http://dx.doi.org/10.29041/strat.17.4.213-278</v>
      </c>
      <c r="BG739" t="s">
        <v>74</v>
      </c>
      <c r="BH739" t="s">
        <v>74</v>
      </c>
      <c r="BI739">
        <v>66</v>
      </c>
      <c r="BJ739" t="s">
        <v>552</v>
      </c>
      <c r="BK739" t="s">
        <v>103</v>
      </c>
      <c r="BL739" t="s">
        <v>552</v>
      </c>
      <c r="BM739" t="s">
        <v>14243</v>
      </c>
      <c r="BN739" t="s">
        <v>74</v>
      </c>
      <c r="BO739" t="s">
        <v>74</v>
      </c>
      <c r="BP739" t="s">
        <v>74</v>
      </c>
      <c r="BQ739" t="s">
        <v>74</v>
      </c>
      <c r="BR739" t="s">
        <v>106</v>
      </c>
      <c r="BS739" t="s">
        <v>14244</v>
      </c>
      <c r="BT739" t="str">
        <f>HYPERLINK("https%3A%2F%2Fwww.webofscience.com%2Fwos%2Fwoscc%2Ffull-record%2FWOS:000599462200001","View Full Record in Web of Science")</f>
        <v>View Full Record in Web of Science</v>
      </c>
    </row>
    <row r="740" spans="1:72" x14ac:dyDescent="0.15">
      <c r="A740" t="s">
        <v>72</v>
      </c>
      <c r="B740" t="s">
        <v>14245</v>
      </c>
      <c r="C740" t="s">
        <v>74</v>
      </c>
      <c r="D740" t="s">
        <v>74</v>
      </c>
      <c r="E740" t="s">
        <v>74</v>
      </c>
      <c r="F740" t="s">
        <v>14246</v>
      </c>
      <c r="G740" t="s">
        <v>74</v>
      </c>
      <c r="H740" t="s">
        <v>74</v>
      </c>
      <c r="I740" t="s">
        <v>14247</v>
      </c>
      <c r="J740" t="s">
        <v>14248</v>
      </c>
      <c r="K740" t="s">
        <v>74</v>
      </c>
      <c r="L740" t="s">
        <v>74</v>
      </c>
      <c r="M740" t="s">
        <v>14249</v>
      </c>
      <c r="N740" t="s">
        <v>79</v>
      </c>
      <c r="O740" t="s">
        <v>74</v>
      </c>
      <c r="P740" t="s">
        <v>74</v>
      </c>
      <c r="Q740" t="s">
        <v>74</v>
      </c>
      <c r="R740" t="s">
        <v>74</v>
      </c>
      <c r="S740" t="s">
        <v>74</v>
      </c>
      <c r="T740" t="s">
        <v>14250</v>
      </c>
      <c r="U740" t="s">
        <v>14251</v>
      </c>
      <c r="V740" t="s">
        <v>14252</v>
      </c>
      <c r="W740" t="s">
        <v>14253</v>
      </c>
      <c r="X740" t="s">
        <v>14254</v>
      </c>
      <c r="Y740" t="s">
        <v>14255</v>
      </c>
      <c r="Z740" t="s">
        <v>74</v>
      </c>
      <c r="AA740" t="s">
        <v>14256</v>
      </c>
      <c r="AB740" t="s">
        <v>14257</v>
      </c>
      <c r="AC740" t="s">
        <v>14258</v>
      </c>
      <c r="AD740" t="s">
        <v>14259</v>
      </c>
      <c r="AE740" t="s">
        <v>74</v>
      </c>
      <c r="AF740" t="s">
        <v>74</v>
      </c>
      <c r="AG740">
        <v>100</v>
      </c>
      <c r="AH740">
        <v>1</v>
      </c>
      <c r="AI740">
        <v>1</v>
      </c>
      <c r="AJ740">
        <v>2</v>
      </c>
      <c r="AK740">
        <v>7</v>
      </c>
      <c r="AL740" t="s">
        <v>14260</v>
      </c>
      <c r="AM740" t="s">
        <v>4825</v>
      </c>
      <c r="AN740" t="s">
        <v>14261</v>
      </c>
      <c r="AO740" t="s">
        <v>14262</v>
      </c>
      <c r="AP740" t="s">
        <v>14263</v>
      </c>
      <c r="AQ740" t="s">
        <v>74</v>
      </c>
      <c r="AR740" t="s">
        <v>14264</v>
      </c>
      <c r="AS740" t="s">
        <v>14265</v>
      </c>
      <c r="AT740" t="s">
        <v>74</v>
      </c>
      <c r="AU740">
        <v>2020</v>
      </c>
      <c r="AV740">
        <v>129</v>
      </c>
      <c r="AW740">
        <v>5</v>
      </c>
      <c r="AX740" t="s">
        <v>74</v>
      </c>
      <c r="AY740" t="s">
        <v>74</v>
      </c>
      <c r="AZ740" t="s">
        <v>342</v>
      </c>
      <c r="BA740" t="s">
        <v>74</v>
      </c>
      <c r="BB740">
        <v>591</v>
      </c>
      <c r="BC740">
        <v>610</v>
      </c>
      <c r="BD740" t="s">
        <v>74</v>
      </c>
      <c r="BE740" t="s">
        <v>14266</v>
      </c>
      <c r="BF740" t="str">
        <f>HYPERLINK("http://dx.doi.org/10.5026/jgeography.129.591","http://dx.doi.org/10.5026/jgeography.129.591")</f>
        <v>http://dx.doi.org/10.5026/jgeography.129.591</v>
      </c>
      <c r="BG740" t="s">
        <v>74</v>
      </c>
      <c r="BH740" t="s">
        <v>74</v>
      </c>
      <c r="BI740">
        <v>20</v>
      </c>
      <c r="BJ740" t="s">
        <v>12264</v>
      </c>
      <c r="BK740" t="s">
        <v>274</v>
      </c>
      <c r="BL740" t="s">
        <v>12265</v>
      </c>
      <c r="BM740" t="s">
        <v>14267</v>
      </c>
      <c r="BN740" t="s">
        <v>74</v>
      </c>
      <c r="BO740" t="s">
        <v>2592</v>
      </c>
      <c r="BP740" t="s">
        <v>74</v>
      </c>
      <c r="BQ740" t="s">
        <v>74</v>
      </c>
      <c r="BR740" t="s">
        <v>106</v>
      </c>
      <c r="BS740" t="s">
        <v>14268</v>
      </c>
      <c r="BT740" t="str">
        <f>HYPERLINK("https%3A%2F%2Fwww.webofscience.com%2Fwos%2Fwoscc%2Ffull-record%2FWOS:000590967200001","View Full Record in Web of Science")</f>
        <v>View Full Record in Web of Science</v>
      </c>
    </row>
    <row r="741" spans="1:72" x14ac:dyDescent="0.15">
      <c r="A741" t="s">
        <v>72</v>
      </c>
      <c r="B741" t="s">
        <v>14269</v>
      </c>
      <c r="C741" t="s">
        <v>74</v>
      </c>
      <c r="D741" t="s">
        <v>74</v>
      </c>
      <c r="E741" t="s">
        <v>74</v>
      </c>
      <c r="F741" t="s">
        <v>14270</v>
      </c>
      <c r="G741" t="s">
        <v>74</v>
      </c>
      <c r="H741" t="s">
        <v>74</v>
      </c>
      <c r="I741" t="s">
        <v>14271</v>
      </c>
      <c r="J741" t="s">
        <v>14272</v>
      </c>
      <c r="K741" t="s">
        <v>74</v>
      </c>
      <c r="L741" t="s">
        <v>74</v>
      </c>
      <c r="M741" t="s">
        <v>78</v>
      </c>
      <c r="N741" t="s">
        <v>1434</v>
      </c>
      <c r="O741" t="s">
        <v>74</v>
      </c>
      <c r="P741" t="s">
        <v>74</v>
      </c>
      <c r="Q741" t="s">
        <v>74</v>
      </c>
      <c r="R741" t="s">
        <v>74</v>
      </c>
      <c r="S741" t="s">
        <v>74</v>
      </c>
      <c r="T741" t="s">
        <v>14273</v>
      </c>
      <c r="U741" t="s">
        <v>14274</v>
      </c>
      <c r="V741" t="s">
        <v>14275</v>
      </c>
      <c r="W741" t="s">
        <v>14276</v>
      </c>
      <c r="X741" t="s">
        <v>14277</v>
      </c>
      <c r="Y741" t="s">
        <v>14278</v>
      </c>
      <c r="Z741" t="s">
        <v>14279</v>
      </c>
      <c r="AA741" t="s">
        <v>74</v>
      </c>
      <c r="AB741" t="s">
        <v>74</v>
      </c>
      <c r="AC741" t="s">
        <v>74</v>
      </c>
      <c r="AD741" t="s">
        <v>74</v>
      </c>
      <c r="AE741" t="s">
        <v>74</v>
      </c>
      <c r="AF741" t="s">
        <v>74</v>
      </c>
      <c r="AG741">
        <v>110</v>
      </c>
      <c r="AH741">
        <v>8</v>
      </c>
      <c r="AI741">
        <v>8</v>
      </c>
      <c r="AJ741">
        <v>37</v>
      </c>
      <c r="AK741">
        <v>214</v>
      </c>
      <c r="AL741" t="s">
        <v>14280</v>
      </c>
      <c r="AM741" t="s">
        <v>4825</v>
      </c>
      <c r="AN741" t="s">
        <v>14281</v>
      </c>
      <c r="AO741" t="s">
        <v>14282</v>
      </c>
      <c r="AP741" t="s">
        <v>14283</v>
      </c>
      <c r="AQ741" t="s">
        <v>74</v>
      </c>
      <c r="AR741" t="s">
        <v>14284</v>
      </c>
      <c r="AS741" t="s">
        <v>14285</v>
      </c>
      <c r="AT741" t="s">
        <v>74</v>
      </c>
      <c r="AU741">
        <v>2020</v>
      </c>
      <c r="AV741">
        <v>96</v>
      </c>
      <c r="AW741">
        <v>9</v>
      </c>
      <c r="AX741" t="s">
        <v>74</v>
      </c>
      <c r="AY741" t="s">
        <v>74</v>
      </c>
      <c r="AZ741" t="s">
        <v>74</v>
      </c>
      <c r="BA741" t="s">
        <v>74</v>
      </c>
      <c r="BB741">
        <v>394</v>
      </c>
      <c r="BC741">
        <v>419</v>
      </c>
      <c r="BD741" t="s">
        <v>74</v>
      </c>
      <c r="BE741" t="s">
        <v>14286</v>
      </c>
      <c r="BF741" t="str">
        <f>HYPERLINK("http://dx.doi.org/10.2183/pjab.96.030","http://dx.doi.org/10.2183/pjab.96.030")</f>
        <v>http://dx.doi.org/10.2183/pjab.96.030</v>
      </c>
      <c r="BG741" t="s">
        <v>74</v>
      </c>
      <c r="BH741" t="s">
        <v>74</v>
      </c>
      <c r="BI741">
        <v>26</v>
      </c>
      <c r="BJ741" t="s">
        <v>322</v>
      </c>
      <c r="BK741" t="s">
        <v>103</v>
      </c>
      <c r="BL741" t="s">
        <v>323</v>
      </c>
      <c r="BM741" t="s">
        <v>14287</v>
      </c>
      <c r="BN741">
        <v>33177295</v>
      </c>
      <c r="BO741" t="s">
        <v>276</v>
      </c>
      <c r="BP741" t="s">
        <v>74</v>
      </c>
      <c r="BQ741" t="s">
        <v>74</v>
      </c>
      <c r="BR741" t="s">
        <v>106</v>
      </c>
      <c r="BS741" t="s">
        <v>14288</v>
      </c>
      <c r="BT741" t="str">
        <f>HYPERLINK("https%3A%2F%2Fwww.webofscience.com%2Fwos%2Fwoscc%2Ffull-record%2FWOS:000600332100002","View Full Record in Web of Science")</f>
        <v>View Full Record in Web of Science</v>
      </c>
    </row>
    <row r="742" spans="1:72" x14ac:dyDescent="0.15">
      <c r="A742" t="s">
        <v>72</v>
      </c>
      <c r="B742" t="s">
        <v>14289</v>
      </c>
      <c r="C742" t="s">
        <v>74</v>
      </c>
      <c r="D742" t="s">
        <v>74</v>
      </c>
      <c r="E742" t="s">
        <v>74</v>
      </c>
      <c r="F742" t="s">
        <v>14290</v>
      </c>
      <c r="G742" t="s">
        <v>74</v>
      </c>
      <c r="H742" t="s">
        <v>74</v>
      </c>
      <c r="I742" t="s">
        <v>14291</v>
      </c>
      <c r="J742" t="s">
        <v>14292</v>
      </c>
      <c r="K742" t="s">
        <v>74</v>
      </c>
      <c r="L742" t="s">
        <v>74</v>
      </c>
      <c r="M742" t="s">
        <v>78</v>
      </c>
      <c r="N742" t="s">
        <v>79</v>
      </c>
      <c r="O742" t="s">
        <v>74</v>
      </c>
      <c r="P742" t="s">
        <v>74</v>
      </c>
      <c r="Q742" t="s">
        <v>74</v>
      </c>
      <c r="R742" t="s">
        <v>74</v>
      </c>
      <c r="S742" t="s">
        <v>74</v>
      </c>
      <c r="T742" t="s">
        <v>14293</v>
      </c>
      <c r="U742" t="s">
        <v>14294</v>
      </c>
      <c r="V742" t="s">
        <v>14295</v>
      </c>
      <c r="W742" t="s">
        <v>14296</v>
      </c>
      <c r="X742" t="s">
        <v>14297</v>
      </c>
      <c r="Y742" t="s">
        <v>14298</v>
      </c>
      <c r="Z742" t="s">
        <v>14299</v>
      </c>
      <c r="AA742" t="s">
        <v>14300</v>
      </c>
      <c r="AB742" t="s">
        <v>14301</v>
      </c>
      <c r="AC742" t="s">
        <v>14302</v>
      </c>
      <c r="AD742" t="s">
        <v>14303</v>
      </c>
      <c r="AE742" t="s">
        <v>14304</v>
      </c>
      <c r="AF742" t="s">
        <v>74</v>
      </c>
      <c r="AG742">
        <v>72</v>
      </c>
      <c r="AH742">
        <v>1</v>
      </c>
      <c r="AI742">
        <v>1</v>
      </c>
      <c r="AJ742">
        <v>0</v>
      </c>
      <c r="AK742">
        <v>0</v>
      </c>
      <c r="AL742" t="s">
        <v>14305</v>
      </c>
      <c r="AM742" t="s">
        <v>14306</v>
      </c>
      <c r="AN742" t="s">
        <v>14307</v>
      </c>
      <c r="AO742" t="s">
        <v>14308</v>
      </c>
      <c r="AP742" t="s">
        <v>14309</v>
      </c>
      <c r="AQ742" t="s">
        <v>74</v>
      </c>
      <c r="AR742" t="s">
        <v>14310</v>
      </c>
      <c r="AS742" t="s">
        <v>14311</v>
      </c>
      <c r="AT742" t="s">
        <v>74</v>
      </c>
      <c r="AU742">
        <v>2020</v>
      </c>
      <c r="AV742">
        <v>65</v>
      </c>
      <c r="AW742">
        <v>4</v>
      </c>
      <c r="AX742" t="s">
        <v>74</v>
      </c>
      <c r="AY742" t="s">
        <v>74</v>
      </c>
      <c r="AZ742" t="s">
        <v>74</v>
      </c>
      <c r="BA742" t="s">
        <v>74</v>
      </c>
      <c r="BB742" t="s">
        <v>74</v>
      </c>
      <c r="BC742" t="s">
        <v>74</v>
      </c>
      <c r="BD742" t="s">
        <v>74</v>
      </c>
      <c r="BE742" t="s">
        <v>14312</v>
      </c>
      <c r="BF742" t="str">
        <f>HYPERLINK("http://dx.doi.org/10.21638/spbu07.2020.411","http://dx.doi.org/10.21638/spbu07.2020.411")</f>
        <v>http://dx.doi.org/10.21638/spbu07.2020.411</v>
      </c>
      <c r="BG742" t="s">
        <v>74</v>
      </c>
      <c r="BH742" t="s">
        <v>74</v>
      </c>
      <c r="BI742">
        <v>23</v>
      </c>
      <c r="BJ742" t="s">
        <v>246</v>
      </c>
      <c r="BK742" t="s">
        <v>274</v>
      </c>
      <c r="BL742" t="s">
        <v>247</v>
      </c>
      <c r="BM742" t="s">
        <v>14313</v>
      </c>
      <c r="BN742" t="s">
        <v>74</v>
      </c>
      <c r="BO742" t="s">
        <v>7647</v>
      </c>
      <c r="BP742" t="s">
        <v>74</v>
      </c>
      <c r="BQ742" t="s">
        <v>74</v>
      </c>
      <c r="BR742" t="s">
        <v>106</v>
      </c>
      <c r="BS742" t="s">
        <v>14314</v>
      </c>
      <c r="BT742" t="str">
        <f>HYPERLINK("https%3A%2F%2Fwww.webofscience.com%2Fwos%2Fwoscc%2Ffull-record%2FWOS:000595437000010","View Full Record in Web of Science")</f>
        <v>View Full Record in Web of Science</v>
      </c>
    </row>
    <row r="743" spans="1:72" x14ac:dyDescent="0.15">
      <c r="A743" t="s">
        <v>12416</v>
      </c>
      <c r="B743" t="s">
        <v>14315</v>
      </c>
      <c r="C743" t="s">
        <v>74</v>
      </c>
      <c r="D743" t="s">
        <v>14316</v>
      </c>
      <c r="E743" t="s">
        <v>74</v>
      </c>
      <c r="F743" t="s">
        <v>14317</v>
      </c>
      <c r="G743" t="s">
        <v>74</v>
      </c>
      <c r="H743" t="s">
        <v>74</v>
      </c>
      <c r="I743" t="s">
        <v>14318</v>
      </c>
      <c r="J743" t="s">
        <v>14319</v>
      </c>
      <c r="K743" t="s">
        <v>14320</v>
      </c>
      <c r="L743" t="s">
        <v>74</v>
      </c>
      <c r="M743" t="s">
        <v>78</v>
      </c>
      <c r="N743" t="s">
        <v>12598</v>
      </c>
      <c r="O743" t="s">
        <v>74</v>
      </c>
      <c r="P743" t="s">
        <v>74</v>
      </c>
      <c r="Q743" t="s">
        <v>74</v>
      </c>
      <c r="R743" t="s">
        <v>74</v>
      </c>
      <c r="S743" t="s">
        <v>74</v>
      </c>
      <c r="T743" t="s">
        <v>74</v>
      </c>
      <c r="U743" t="s">
        <v>74</v>
      </c>
      <c r="V743" t="s">
        <v>74</v>
      </c>
      <c r="W743" t="s">
        <v>14321</v>
      </c>
      <c r="X743" t="s">
        <v>14322</v>
      </c>
      <c r="Y743" t="s">
        <v>14323</v>
      </c>
      <c r="Z743" t="s">
        <v>74</v>
      </c>
      <c r="AA743" t="s">
        <v>3460</v>
      </c>
      <c r="AB743" t="s">
        <v>74</v>
      </c>
      <c r="AC743" t="s">
        <v>74</v>
      </c>
      <c r="AD743" t="s">
        <v>74</v>
      </c>
      <c r="AE743" t="s">
        <v>74</v>
      </c>
      <c r="AF743" t="s">
        <v>74</v>
      </c>
      <c r="AG743">
        <v>0</v>
      </c>
      <c r="AH743">
        <v>1</v>
      </c>
      <c r="AI743">
        <v>1</v>
      </c>
      <c r="AJ743">
        <v>0</v>
      </c>
      <c r="AK743">
        <v>0</v>
      </c>
      <c r="AL743" t="s">
        <v>14324</v>
      </c>
      <c r="AM743" t="s">
        <v>2628</v>
      </c>
      <c r="AN743" t="s">
        <v>14325</v>
      </c>
      <c r="AO743" t="s">
        <v>74</v>
      </c>
      <c r="AP743" t="s">
        <v>74</v>
      </c>
      <c r="AQ743" t="s">
        <v>14326</v>
      </c>
      <c r="AR743" t="s">
        <v>14327</v>
      </c>
      <c r="AS743" t="s">
        <v>74</v>
      </c>
      <c r="AT743" t="s">
        <v>74</v>
      </c>
      <c r="AU743">
        <v>2020</v>
      </c>
      <c r="AV743" t="s">
        <v>74</v>
      </c>
      <c r="AW743" t="s">
        <v>74</v>
      </c>
      <c r="AX743" t="s">
        <v>74</v>
      </c>
      <c r="AY743" t="s">
        <v>74</v>
      </c>
      <c r="AZ743" t="s">
        <v>74</v>
      </c>
      <c r="BA743" t="s">
        <v>74</v>
      </c>
      <c r="BB743">
        <v>187</v>
      </c>
      <c r="BC743">
        <v>189</v>
      </c>
      <c r="BD743" t="s">
        <v>74</v>
      </c>
      <c r="BE743" t="s">
        <v>74</v>
      </c>
      <c r="BF743" t="s">
        <v>74</v>
      </c>
      <c r="BG743" t="s">
        <v>74</v>
      </c>
      <c r="BH743" t="s">
        <v>74</v>
      </c>
      <c r="BI743">
        <v>3</v>
      </c>
      <c r="BJ743" t="s">
        <v>14328</v>
      </c>
      <c r="BK743" t="s">
        <v>12552</v>
      </c>
      <c r="BL743" t="s">
        <v>14329</v>
      </c>
      <c r="BM743" t="s">
        <v>14330</v>
      </c>
      <c r="BN743" t="s">
        <v>74</v>
      </c>
      <c r="BO743" t="s">
        <v>74</v>
      </c>
      <c r="BP743" t="s">
        <v>74</v>
      </c>
      <c r="BQ743" t="s">
        <v>74</v>
      </c>
      <c r="BR743" t="s">
        <v>106</v>
      </c>
      <c r="BS743" t="s">
        <v>14331</v>
      </c>
      <c r="BT743" t="str">
        <f>HYPERLINK("https%3A%2F%2Fwww.webofscience.com%2Fwos%2Fwoscc%2Ffull-record%2FWOS:000508916300013","View Full Record in Web of Science")</f>
        <v>View Full Record in Web of Science</v>
      </c>
    </row>
    <row r="744" spans="1:72" x14ac:dyDescent="0.15">
      <c r="A744" t="s">
        <v>72</v>
      </c>
      <c r="B744" t="s">
        <v>14332</v>
      </c>
      <c r="C744" t="s">
        <v>74</v>
      </c>
      <c r="D744" t="s">
        <v>74</v>
      </c>
      <c r="E744" t="s">
        <v>74</v>
      </c>
      <c r="F744" t="s">
        <v>14333</v>
      </c>
      <c r="G744" t="s">
        <v>74</v>
      </c>
      <c r="H744" t="s">
        <v>74</v>
      </c>
      <c r="I744" t="s">
        <v>14334</v>
      </c>
      <c r="J744" t="s">
        <v>13911</v>
      </c>
      <c r="K744" t="s">
        <v>74</v>
      </c>
      <c r="L744" t="s">
        <v>74</v>
      </c>
      <c r="M744" t="s">
        <v>78</v>
      </c>
      <c r="N744" t="s">
        <v>1226</v>
      </c>
      <c r="O744" t="s">
        <v>74</v>
      </c>
      <c r="P744" t="s">
        <v>74</v>
      </c>
      <c r="Q744" t="s">
        <v>74</v>
      </c>
      <c r="R744" t="s">
        <v>74</v>
      </c>
      <c r="S744" t="s">
        <v>74</v>
      </c>
      <c r="T744" t="s">
        <v>74</v>
      </c>
      <c r="U744" t="s">
        <v>74</v>
      </c>
      <c r="V744" t="s">
        <v>74</v>
      </c>
      <c r="W744" t="s">
        <v>74</v>
      </c>
      <c r="X744" t="s">
        <v>74</v>
      </c>
      <c r="Y744" t="s">
        <v>74</v>
      </c>
      <c r="Z744" t="s">
        <v>74</v>
      </c>
      <c r="AA744" t="s">
        <v>14335</v>
      </c>
      <c r="AB744" t="s">
        <v>14336</v>
      </c>
      <c r="AC744" t="s">
        <v>74</v>
      </c>
      <c r="AD744" t="s">
        <v>74</v>
      </c>
      <c r="AE744" t="s">
        <v>74</v>
      </c>
      <c r="AF744" t="s">
        <v>74</v>
      </c>
      <c r="AG744">
        <v>1</v>
      </c>
      <c r="AH744">
        <v>0</v>
      </c>
      <c r="AI744">
        <v>0</v>
      </c>
      <c r="AJ744">
        <v>0</v>
      </c>
      <c r="AK744">
        <v>2</v>
      </c>
      <c r="AL744" t="s">
        <v>2627</v>
      </c>
      <c r="AM744" t="s">
        <v>2628</v>
      </c>
      <c r="AN744" t="s">
        <v>2629</v>
      </c>
      <c r="AO744" t="s">
        <v>13924</v>
      </c>
      <c r="AP744" t="s">
        <v>13925</v>
      </c>
      <c r="AQ744" t="s">
        <v>74</v>
      </c>
      <c r="AR744" t="s">
        <v>13926</v>
      </c>
      <c r="AS744" t="s">
        <v>13927</v>
      </c>
      <c r="AT744" t="s">
        <v>12161</v>
      </c>
      <c r="AU744">
        <v>2020</v>
      </c>
      <c r="AV744">
        <v>52</v>
      </c>
      <c r="AW744">
        <v>1</v>
      </c>
      <c r="AX744" t="s">
        <v>74</v>
      </c>
      <c r="AY744" t="s">
        <v>74</v>
      </c>
      <c r="AZ744" t="s">
        <v>74</v>
      </c>
      <c r="BA744" t="s">
        <v>74</v>
      </c>
      <c r="BB744">
        <v>650</v>
      </c>
      <c r="BC744">
        <v>650</v>
      </c>
      <c r="BD744" t="s">
        <v>74</v>
      </c>
      <c r="BE744" t="s">
        <v>14337</v>
      </c>
      <c r="BF744" t="str">
        <f>HYPERLINK("http://dx.doi.org/10.1080/15230430.2020.1844519","http://dx.doi.org/10.1080/15230430.2020.1844519")</f>
        <v>http://dx.doi.org/10.1080/15230430.2020.1844519</v>
      </c>
      <c r="BG744" t="s">
        <v>74</v>
      </c>
      <c r="BH744" t="s">
        <v>74</v>
      </c>
      <c r="BI744">
        <v>1</v>
      </c>
      <c r="BJ744" t="s">
        <v>13929</v>
      </c>
      <c r="BK744" t="s">
        <v>103</v>
      </c>
      <c r="BL744" t="s">
        <v>1828</v>
      </c>
      <c r="BM744" t="s">
        <v>14338</v>
      </c>
      <c r="BN744" t="s">
        <v>74</v>
      </c>
      <c r="BO744" t="s">
        <v>2592</v>
      </c>
      <c r="BP744" t="s">
        <v>74</v>
      </c>
      <c r="BQ744" t="s">
        <v>74</v>
      </c>
      <c r="BR744" t="s">
        <v>106</v>
      </c>
      <c r="BS744" t="s">
        <v>14339</v>
      </c>
      <c r="BT744" t="str">
        <f>HYPERLINK("https%3A%2F%2Fwww.webofscience.com%2Fwos%2Fwoscc%2Ffull-record%2FWOS:000599766500001","View Full Record in Web of Science")</f>
        <v>View Full Record in Web of Science</v>
      </c>
    </row>
    <row r="745" spans="1:72" x14ac:dyDescent="0.15">
      <c r="A745" t="s">
        <v>72</v>
      </c>
      <c r="B745" t="s">
        <v>14340</v>
      </c>
      <c r="C745" t="s">
        <v>74</v>
      </c>
      <c r="D745" t="s">
        <v>74</v>
      </c>
      <c r="E745" t="s">
        <v>74</v>
      </c>
      <c r="F745" t="s">
        <v>14341</v>
      </c>
      <c r="G745" t="s">
        <v>74</v>
      </c>
      <c r="H745" t="s">
        <v>74</v>
      </c>
      <c r="I745" t="s">
        <v>14342</v>
      </c>
      <c r="J745" t="s">
        <v>4183</v>
      </c>
      <c r="K745" t="s">
        <v>74</v>
      </c>
      <c r="L745" t="s">
        <v>74</v>
      </c>
      <c r="M745" t="s">
        <v>78</v>
      </c>
      <c r="N745" t="s">
        <v>1911</v>
      </c>
      <c r="O745" t="s">
        <v>74</v>
      </c>
      <c r="P745" t="s">
        <v>74</v>
      </c>
      <c r="Q745" t="s">
        <v>74</v>
      </c>
      <c r="R745" t="s">
        <v>74</v>
      </c>
      <c r="S745" t="s">
        <v>74</v>
      </c>
      <c r="T745" t="s">
        <v>14343</v>
      </c>
      <c r="U745" t="s">
        <v>74</v>
      </c>
      <c r="V745" t="s">
        <v>14344</v>
      </c>
      <c r="W745" t="s">
        <v>14345</v>
      </c>
      <c r="X745" t="s">
        <v>14346</v>
      </c>
      <c r="Y745" t="s">
        <v>14347</v>
      </c>
      <c r="Z745" t="s">
        <v>14348</v>
      </c>
      <c r="AA745" t="s">
        <v>14349</v>
      </c>
      <c r="AB745" t="s">
        <v>14350</v>
      </c>
      <c r="AC745" t="s">
        <v>74</v>
      </c>
      <c r="AD745" t="s">
        <v>74</v>
      </c>
      <c r="AE745" t="s">
        <v>74</v>
      </c>
      <c r="AF745" t="s">
        <v>74</v>
      </c>
      <c r="AG745">
        <v>17</v>
      </c>
      <c r="AH745">
        <v>2</v>
      </c>
      <c r="AI745">
        <v>4</v>
      </c>
      <c r="AJ745">
        <v>1</v>
      </c>
      <c r="AK745">
        <v>11</v>
      </c>
      <c r="AL745" t="s">
        <v>3817</v>
      </c>
      <c r="AM745" t="s">
        <v>3818</v>
      </c>
      <c r="AN745" t="s">
        <v>3819</v>
      </c>
      <c r="AO745" t="s">
        <v>74</v>
      </c>
      <c r="AP745" t="s">
        <v>4196</v>
      </c>
      <c r="AQ745" t="s">
        <v>74</v>
      </c>
      <c r="AR745" t="s">
        <v>4183</v>
      </c>
      <c r="AS745" t="s">
        <v>4197</v>
      </c>
      <c r="AT745" t="s">
        <v>1033</v>
      </c>
      <c r="AU745">
        <v>2020</v>
      </c>
      <c r="AV745">
        <v>12</v>
      </c>
      <c r="AW745">
        <v>1</v>
      </c>
      <c r="AX745" t="s">
        <v>74</v>
      </c>
      <c r="AY745" t="s">
        <v>74</v>
      </c>
      <c r="AZ745" t="s">
        <v>74</v>
      </c>
      <c r="BA745" t="s">
        <v>74</v>
      </c>
      <c r="BB745" t="s">
        <v>74</v>
      </c>
      <c r="BC745" t="s">
        <v>74</v>
      </c>
      <c r="BD745">
        <v>2</v>
      </c>
      <c r="BE745" t="s">
        <v>14351</v>
      </c>
      <c r="BF745" t="str">
        <f>HYPERLINK("http://dx.doi.org/10.3390/d12010002","http://dx.doi.org/10.3390/d12010002")</f>
        <v>http://dx.doi.org/10.3390/d12010002</v>
      </c>
      <c r="BG745" t="s">
        <v>74</v>
      </c>
      <c r="BH745" t="s">
        <v>74</v>
      </c>
      <c r="BI745">
        <v>5</v>
      </c>
      <c r="BJ745" t="s">
        <v>130</v>
      </c>
      <c r="BK745" t="s">
        <v>103</v>
      </c>
      <c r="BL745" t="s">
        <v>131</v>
      </c>
      <c r="BM745" t="s">
        <v>14352</v>
      </c>
      <c r="BN745" t="s">
        <v>74</v>
      </c>
      <c r="BO745" t="s">
        <v>2592</v>
      </c>
      <c r="BP745" t="s">
        <v>74</v>
      </c>
      <c r="BQ745" t="s">
        <v>74</v>
      </c>
      <c r="BR745" t="s">
        <v>106</v>
      </c>
      <c r="BS745" t="s">
        <v>14353</v>
      </c>
      <c r="BT745" t="str">
        <f>HYPERLINK("https%3A%2F%2Fwww.webofscience.com%2Fwos%2Fwoscc%2Ffull-record%2FWOS:000513019300036","View Full Record in Web of Science")</f>
        <v>View Full Record in Web of Science</v>
      </c>
    </row>
    <row r="746" spans="1:72" x14ac:dyDescent="0.15">
      <c r="A746" t="s">
        <v>72</v>
      </c>
      <c r="B746" t="s">
        <v>14354</v>
      </c>
      <c r="C746" t="s">
        <v>74</v>
      </c>
      <c r="D746" t="s">
        <v>74</v>
      </c>
      <c r="E746" t="s">
        <v>74</v>
      </c>
      <c r="F746" t="s">
        <v>14355</v>
      </c>
      <c r="G746" t="s">
        <v>74</v>
      </c>
      <c r="H746" t="s">
        <v>74</v>
      </c>
      <c r="I746" t="s">
        <v>14356</v>
      </c>
      <c r="J746" t="s">
        <v>14357</v>
      </c>
      <c r="K746" t="s">
        <v>74</v>
      </c>
      <c r="L746" t="s">
        <v>74</v>
      </c>
      <c r="M746" t="s">
        <v>78</v>
      </c>
      <c r="N746" t="s">
        <v>1911</v>
      </c>
      <c r="O746" t="s">
        <v>74</v>
      </c>
      <c r="P746" t="s">
        <v>74</v>
      </c>
      <c r="Q746" t="s">
        <v>74</v>
      </c>
      <c r="R746" t="s">
        <v>74</v>
      </c>
      <c r="S746" t="s">
        <v>74</v>
      </c>
      <c r="T746" t="s">
        <v>74</v>
      </c>
      <c r="U746" t="s">
        <v>74</v>
      </c>
      <c r="V746" t="s">
        <v>74</v>
      </c>
      <c r="W746" t="s">
        <v>14358</v>
      </c>
      <c r="X746" t="s">
        <v>14359</v>
      </c>
      <c r="Y746" t="s">
        <v>14360</v>
      </c>
      <c r="Z746" t="s">
        <v>14361</v>
      </c>
      <c r="AA746" t="s">
        <v>14362</v>
      </c>
      <c r="AB746" t="s">
        <v>14363</v>
      </c>
      <c r="AC746" t="s">
        <v>74</v>
      </c>
      <c r="AD746" t="s">
        <v>74</v>
      </c>
      <c r="AE746" t="s">
        <v>74</v>
      </c>
      <c r="AF746" t="s">
        <v>74</v>
      </c>
      <c r="AG746">
        <v>0</v>
      </c>
      <c r="AH746">
        <v>1</v>
      </c>
      <c r="AI746">
        <v>1</v>
      </c>
      <c r="AJ746">
        <v>0</v>
      </c>
      <c r="AK746">
        <v>1</v>
      </c>
      <c r="AL746" t="s">
        <v>14364</v>
      </c>
      <c r="AM746" t="s">
        <v>13333</v>
      </c>
      <c r="AN746" t="s">
        <v>14365</v>
      </c>
      <c r="AO746" t="s">
        <v>14366</v>
      </c>
      <c r="AP746" t="s">
        <v>14367</v>
      </c>
      <c r="AQ746" t="s">
        <v>74</v>
      </c>
      <c r="AR746" t="s">
        <v>14368</v>
      </c>
      <c r="AS746" t="s">
        <v>14369</v>
      </c>
      <c r="AT746" t="s">
        <v>74</v>
      </c>
      <c r="AU746">
        <v>2020</v>
      </c>
      <c r="AV746">
        <v>8</v>
      </c>
      <c r="AW746">
        <v>3</v>
      </c>
      <c r="AX746" t="s">
        <v>74</v>
      </c>
      <c r="AY746" t="s">
        <v>74</v>
      </c>
      <c r="AZ746" t="s">
        <v>74</v>
      </c>
      <c r="BA746" t="s">
        <v>74</v>
      </c>
      <c r="BB746">
        <v>210</v>
      </c>
      <c r="BC746">
        <v>212</v>
      </c>
      <c r="BD746" t="s">
        <v>74</v>
      </c>
      <c r="BE746" t="s">
        <v>14370</v>
      </c>
      <c r="BF746" t="str">
        <f>HYPERLINK("http://dx.doi.org/10.5505/jems.2020.33254","http://dx.doi.org/10.5505/jems.2020.33254")</f>
        <v>http://dx.doi.org/10.5505/jems.2020.33254</v>
      </c>
      <c r="BG746" t="s">
        <v>74</v>
      </c>
      <c r="BH746" t="s">
        <v>74</v>
      </c>
      <c r="BI746">
        <v>3</v>
      </c>
      <c r="BJ746" t="s">
        <v>14371</v>
      </c>
      <c r="BK746" t="s">
        <v>274</v>
      </c>
      <c r="BL746" t="s">
        <v>14372</v>
      </c>
      <c r="BM746" t="s">
        <v>14373</v>
      </c>
      <c r="BN746" t="s">
        <v>74</v>
      </c>
      <c r="BO746" t="s">
        <v>2592</v>
      </c>
      <c r="BP746" t="s">
        <v>74</v>
      </c>
      <c r="BQ746" t="s">
        <v>74</v>
      </c>
      <c r="BR746" t="s">
        <v>106</v>
      </c>
      <c r="BS746" t="s">
        <v>14374</v>
      </c>
      <c r="BT746" t="str">
        <f>HYPERLINK("https%3A%2F%2Fwww.webofscience.com%2Fwos%2Fwoscc%2Ffull-record%2FWOS:000576792000007","View Full Record in Web of Science")</f>
        <v>View Full Record in Web of Science</v>
      </c>
    </row>
    <row r="747" spans="1:72" x14ac:dyDescent="0.15">
      <c r="A747" t="s">
        <v>72</v>
      </c>
      <c r="B747" t="s">
        <v>14375</v>
      </c>
      <c r="C747" t="s">
        <v>74</v>
      </c>
      <c r="D747" t="s">
        <v>74</v>
      </c>
      <c r="E747" t="s">
        <v>74</v>
      </c>
      <c r="F747" t="s">
        <v>14376</v>
      </c>
      <c r="G747" t="s">
        <v>74</v>
      </c>
      <c r="H747" t="s">
        <v>74</v>
      </c>
      <c r="I747" t="s">
        <v>14377</v>
      </c>
      <c r="J747" t="s">
        <v>3220</v>
      </c>
      <c r="K747" t="s">
        <v>74</v>
      </c>
      <c r="L747" t="s">
        <v>74</v>
      </c>
      <c r="M747" t="s">
        <v>78</v>
      </c>
      <c r="N747" t="s">
        <v>1911</v>
      </c>
      <c r="O747" t="s">
        <v>74</v>
      </c>
      <c r="P747" t="s">
        <v>74</v>
      </c>
      <c r="Q747" t="s">
        <v>74</v>
      </c>
      <c r="R747" t="s">
        <v>74</v>
      </c>
      <c r="S747" t="s">
        <v>74</v>
      </c>
      <c r="T747" t="s">
        <v>74</v>
      </c>
      <c r="U747" t="s">
        <v>74</v>
      </c>
      <c r="V747" t="s">
        <v>74</v>
      </c>
      <c r="W747" t="s">
        <v>74</v>
      </c>
      <c r="X747" t="s">
        <v>74</v>
      </c>
      <c r="Y747" t="s">
        <v>74</v>
      </c>
      <c r="Z747" t="s">
        <v>14378</v>
      </c>
      <c r="AA747" t="s">
        <v>74</v>
      </c>
      <c r="AB747" t="s">
        <v>74</v>
      </c>
      <c r="AC747" t="s">
        <v>74</v>
      </c>
      <c r="AD747" t="s">
        <v>74</v>
      </c>
      <c r="AE747" t="s">
        <v>74</v>
      </c>
      <c r="AF747" t="s">
        <v>74</v>
      </c>
      <c r="AG747">
        <v>1</v>
      </c>
      <c r="AH747">
        <v>0</v>
      </c>
      <c r="AI747">
        <v>0</v>
      </c>
      <c r="AJ747">
        <v>0</v>
      </c>
      <c r="AK747">
        <v>1</v>
      </c>
      <c r="AL747" t="s">
        <v>3233</v>
      </c>
      <c r="AM747" t="s">
        <v>3234</v>
      </c>
      <c r="AN747" t="s">
        <v>3235</v>
      </c>
      <c r="AO747" t="s">
        <v>3236</v>
      </c>
      <c r="AP747" t="s">
        <v>3237</v>
      </c>
      <c r="AQ747" t="s">
        <v>74</v>
      </c>
      <c r="AR747" t="s">
        <v>3238</v>
      </c>
      <c r="AS747" t="s">
        <v>3239</v>
      </c>
      <c r="AT747" t="s">
        <v>1033</v>
      </c>
      <c r="AU747">
        <v>2020</v>
      </c>
      <c r="AV747">
        <v>223</v>
      </c>
      <c r="AW747">
        <v>2</v>
      </c>
      <c r="AX747" t="s">
        <v>74</v>
      </c>
      <c r="AY747" t="s">
        <v>74</v>
      </c>
      <c r="AZ747" t="s">
        <v>74</v>
      </c>
      <c r="BA747" t="s">
        <v>74</v>
      </c>
      <c r="BB747" t="s">
        <v>74</v>
      </c>
      <c r="BC747" t="s">
        <v>74</v>
      </c>
      <c r="BD747" t="s">
        <v>14379</v>
      </c>
      <c r="BE747" t="s">
        <v>14380</v>
      </c>
      <c r="BF747" t="str">
        <f>HYPERLINK("http://dx.doi.org/10.1242/jeb.221549","http://dx.doi.org/10.1242/jeb.221549")</f>
        <v>http://dx.doi.org/10.1242/jeb.221549</v>
      </c>
      <c r="BG747" t="s">
        <v>74</v>
      </c>
      <c r="BH747" t="s">
        <v>74</v>
      </c>
      <c r="BI747">
        <v>1</v>
      </c>
      <c r="BJ747" t="s">
        <v>1498</v>
      </c>
      <c r="BK747" t="s">
        <v>103</v>
      </c>
      <c r="BL747" t="s">
        <v>1499</v>
      </c>
      <c r="BM747" t="s">
        <v>14381</v>
      </c>
      <c r="BN747" t="s">
        <v>74</v>
      </c>
      <c r="BO747" t="s">
        <v>517</v>
      </c>
      <c r="BP747" t="s">
        <v>74</v>
      </c>
      <c r="BQ747" t="s">
        <v>74</v>
      </c>
      <c r="BR747" t="s">
        <v>106</v>
      </c>
      <c r="BS747" t="s">
        <v>14382</v>
      </c>
      <c r="BT747" t="str">
        <f>HYPERLINK("https%3A%2F%2Fwww.webofscience.com%2Fwos%2Fwoscc%2Ffull-record%2FWOS:000541780500024","View Full Record in Web of Science")</f>
        <v>View Full Record in Web of Science</v>
      </c>
    </row>
    <row r="748" spans="1:72" x14ac:dyDescent="0.15">
      <c r="A748" t="s">
        <v>12416</v>
      </c>
      <c r="B748" t="s">
        <v>14383</v>
      </c>
      <c r="C748" t="s">
        <v>14383</v>
      </c>
      <c r="D748" t="s">
        <v>74</v>
      </c>
      <c r="E748" t="s">
        <v>74</v>
      </c>
      <c r="F748" t="s">
        <v>14384</v>
      </c>
      <c r="G748" t="s">
        <v>14383</v>
      </c>
      <c r="H748" t="s">
        <v>74</v>
      </c>
      <c r="I748" t="s">
        <v>14385</v>
      </c>
      <c r="J748" t="s">
        <v>14386</v>
      </c>
      <c r="K748" t="s">
        <v>74</v>
      </c>
      <c r="L748" t="s">
        <v>74</v>
      </c>
      <c r="M748" t="s">
        <v>78</v>
      </c>
      <c r="N748" t="s">
        <v>12598</v>
      </c>
      <c r="O748" t="s">
        <v>74</v>
      </c>
      <c r="P748" t="s">
        <v>74</v>
      </c>
      <c r="Q748" t="s">
        <v>74</v>
      </c>
      <c r="R748" t="s">
        <v>74</v>
      </c>
      <c r="S748" t="s">
        <v>74</v>
      </c>
      <c r="T748" t="s">
        <v>74</v>
      </c>
      <c r="U748" t="s">
        <v>74</v>
      </c>
      <c r="V748" t="s">
        <v>74</v>
      </c>
      <c r="W748" t="s">
        <v>74</v>
      </c>
      <c r="X748" t="s">
        <v>74</v>
      </c>
      <c r="Y748" t="s">
        <v>74</v>
      </c>
      <c r="Z748" t="s">
        <v>74</v>
      </c>
      <c r="AA748" t="s">
        <v>74</v>
      </c>
      <c r="AB748" t="s">
        <v>74</v>
      </c>
      <c r="AC748" t="s">
        <v>74</v>
      </c>
      <c r="AD748" t="s">
        <v>74</v>
      </c>
      <c r="AE748" t="s">
        <v>74</v>
      </c>
      <c r="AF748" t="s">
        <v>74</v>
      </c>
      <c r="AG748">
        <v>0</v>
      </c>
      <c r="AH748">
        <v>0</v>
      </c>
      <c r="AI748">
        <v>0</v>
      </c>
      <c r="AJ748">
        <v>0</v>
      </c>
      <c r="AK748">
        <v>0</v>
      </c>
      <c r="AL748" t="s">
        <v>14387</v>
      </c>
      <c r="AM748" t="s">
        <v>14388</v>
      </c>
      <c r="AN748" t="s">
        <v>14389</v>
      </c>
      <c r="AO748" t="s">
        <v>74</v>
      </c>
      <c r="AP748" t="s">
        <v>74</v>
      </c>
      <c r="AQ748" t="s">
        <v>14390</v>
      </c>
      <c r="AR748" t="s">
        <v>74</v>
      </c>
      <c r="AS748" t="s">
        <v>74</v>
      </c>
      <c r="AT748" t="s">
        <v>74</v>
      </c>
      <c r="AU748">
        <v>2020</v>
      </c>
      <c r="AV748" t="s">
        <v>74</v>
      </c>
      <c r="AW748" t="s">
        <v>74</v>
      </c>
      <c r="AX748" t="s">
        <v>74</v>
      </c>
      <c r="AY748" t="s">
        <v>74</v>
      </c>
      <c r="AZ748" t="s">
        <v>74</v>
      </c>
      <c r="BA748" t="s">
        <v>74</v>
      </c>
      <c r="BB748">
        <v>150</v>
      </c>
      <c r="BC748">
        <v>160</v>
      </c>
      <c r="BD748" t="s">
        <v>74</v>
      </c>
      <c r="BE748" t="s">
        <v>74</v>
      </c>
      <c r="BF748" t="s">
        <v>74</v>
      </c>
      <c r="BG748" t="s">
        <v>74</v>
      </c>
      <c r="BH748" t="s">
        <v>74</v>
      </c>
      <c r="BI748">
        <v>11</v>
      </c>
      <c r="BJ748" t="s">
        <v>14391</v>
      </c>
      <c r="BK748" t="s">
        <v>12552</v>
      </c>
      <c r="BL748" t="s">
        <v>14392</v>
      </c>
      <c r="BM748" t="s">
        <v>14393</v>
      </c>
      <c r="BN748" t="s">
        <v>74</v>
      </c>
      <c r="BO748" t="s">
        <v>74</v>
      </c>
      <c r="BP748" t="s">
        <v>74</v>
      </c>
      <c r="BQ748" t="s">
        <v>74</v>
      </c>
      <c r="BR748" t="s">
        <v>106</v>
      </c>
      <c r="BS748" t="s">
        <v>14394</v>
      </c>
      <c r="BT748" t="str">
        <f>HYPERLINK("https%3A%2F%2Fwww.webofscience.com%2Fwos%2Fwoscc%2Ffull-record%2FWOS:000529162100015","View Full Record in Web of Science")</f>
        <v>View Full Record in Web of Science</v>
      </c>
    </row>
    <row r="749" spans="1:72" x14ac:dyDescent="0.15">
      <c r="A749" t="s">
        <v>72</v>
      </c>
      <c r="B749" t="s">
        <v>14395</v>
      </c>
      <c r="C749" t="s">
        <v>74</v>
      </c>
      <c r="D749" t="s">
        <v>74</v>
      </c>
      <c r="E749" t="s">
        <v>74</v>
      </c>
      <c r="F749" t="s">
        <v>14396</v>
      </c>
      <c r="G749" t="s">
        <v>74</v>
      </c>
      <c r="H749" t="s">
        <v>74</v>
      </c>
      <c r="I749" t="s">
        <v>14397</v>
      </c>
      <c r="J749" t="s">
        <v>14398</v>
      </c>
      <c r="K749" t="s">
        <v>74</v>
      </c>
      <c r="L749" t="s">
        <v>74</v>
      </c>
      <c r="M749" t="s">
        <v>78</v>
      </c>
      <c r="N749" t="s">
        <v>1911</v>
      </c>
      <c r="O749" t="s">
        <v>74</v>
      </c>
      <c r="P749" t="s">
        <v>74</v>
      </c>
      <c r="Q749" t="s">
        <v>74</v>
      </c>
      <c r="R749" t="s">
        <v>74</v>
      </c>
      <c r="S749" t="s">
        <v>74</v>
      </c>
      <c r="T749" t="s">
        <v>74</v>
      </c>
      <c r="U749" t="s">
        <v>74</v>
      </c>
      <c r="V749" t="s">
        <v>74</v>
      </c>
      <c r="W749" t="s">
        <v>14399</v>
      </c>
      <c r="X749" t="s">
        <v>14400</v>
      </c>
      <c r="Y749" t="s">
        <v>14401</v>
      </c>
      <c r="Z749" t="s">
        <v>74</v>
      </c>
      <c r="AA749" t="s">
        <v>14402</v>
      </c>
      <c r="AB749" t="s">
        <v>14403</v>
      </c>
      <c r="AC749" t="s">
        <v>74</v>
      </c>
      <c r="AD749" t="s">
        <v>74</v>
      </c>
      <c r="AE749" t="s">
        <v>74</v>
      </c>
      <c r="AF749" t="s">
        <v>74</v>
      </c>
      <c r="AG749">
        <v>8</v>
      </c>
      <c r="AH749">
        <v>0</v>
      </c>
      <c r="AI749">
        <v>0</v>
      </c>
      <c r="AJ749">
        <v>0</v>
      </c>
      <c r="AK749">
        <v>4</v>
      </c>
      <c r="AL749" t="s">
        <v>14008</v>
      </c>
      <c r="AM749" t="s">
        <v>14009</v>
      </c>
      <c r="AN749" t="s">
        <v>14010</v>
      </c>
      <c r="AO749" t="s">
        <v>14404</v>
      </c>
      <c r="AP749" t="s">
        <v>14405</v>
      </c>
      <c r="AQ749" t="s">
        <v>74</v>
      </c>
      <c r="AR749" t="s">
        <v>14406</v>
      </c>
      <c r="AS749" t="s">
        <v>14407</v>
      </c>
      <c r="AT749" t="s">
        <v>74</v>
      </c>
      <c r="AU749">
        <v>2020</v>
      </c>
      <c r="AV749">
        <v>71</v>
      </c>
      <c r="AW749">
        <v>3</v>
      </c>
      <c r="AX749" t="s">
        <v>74</v>
      </c>
      <c r="AY749" t="s">
        <v>74</v>
      </c>
      <c r="AZ749" t="s">
        <v>74</v>
      </c>
      <c r="BA749" t="s">
        <v>74</v>
      </c>
      <c r="BB749" t="s">
        <v>14408</v>
      </c>
      <c r="BC749" t="s">
        <v>14409</v>
      </c>
      <c r="BD749" t="s">
        <v>74</v>
      </c>
      <c r="BE749" t="s">
        <v>14410</v>
      </c>
      <c r="BF749" t="str">
        <f>HYPERLINK("http://dx.doi.org/10.1071/MFv71n3_ED","http://dx.doi.org/10.1071/MFv71n3_ED")</f>
        <v>http://dx.doi.org/10.1071/MFv71n3_ED</v>
      </c>
      <c r="BG749" t="s">
        <v>74</v>
      </c>
      <c r="BH749" t="s">
        <v>74</v>
      </c>
      <c r="BI749">
        <v>3</v>
      </c>
      <c r="BJ749" t="s">
        <v>14411</v>
      </c>
      <c r="BK749" t="s">
        <v>103</v>
      </c>
      <c r="BL749" t="s">
        <v>3491</v>
      </c>
      <c r="BM749" t="s">
        <v>14412</v>
      </c>
      <c r="BN749" t="s">
        <v>74</v>
      </c>
      <c r="BO749" t="s">
        <v>517</v>
      </c>
      <c r="BP749" t="s">
        <v>74</v>
      </c>
      <c r="BQ749" t="s">
        <v>74</v>
      </c>
      <c r="BR749" t="s">
        <v>106</v>
      </c>
      <c r="BS749" t="s">
        <v>14413</v>
      </c>
      <c r="BT749" t="str">
        <f>HYPERLINK("https%3A%2F%2Fwww.webofscience.com%2Fwos%2Fwoscc%2Ffull-record%2FWOS:000517577700001","View Full Record in Web of Science")</f>
        <v>View Full Record in Web of Science</v>
      </c>
    </row>
    <row r="750" spans="1:72" x14ac:dyDescent="0.15">
      <c r="A750" t="s">
        <v>72</v>
      </c>
      <c r="B750" t="s">
        <v>14414</v>
      </c>
      <c r="C750" t="s">
        <v>74</v>
      </c>
      <c r="D750" t="s">
        <v>74</v>
      </c>
      <c r="E750" t="s">
        <v>74</v>
      </c>
      <c r="F750" t="s">
        <v>14415</v>
      </c>
      <c r="G750" t="s">
        <v>74</v>
      </c>
      <c r="H750" t="s">
        <v>74</v>
      </c>
      <c r="I750" t="s">
        <v>14416</v>
      </c>
      <c r="J750" t="s">
        <v>741</v>
      </c>
      <c r="K750" t="s">
        <v>74</v>
      </c>
      <c r="L750" t="s">
        <v>74</v>
      </c>
      <c r="M750" t="s">
        <v>78</v>
      </c>
      <c r="N750" t="s">
        <v>4314</v>
      </c>
      <c r="O750" t="s">
        <v>74</v>
      </c>
      <c r="P750" t="s">
        <v>74</v>
      </c>
      <c r="Q750" t="s">
        <v>74</v>
      </c>
      <c r="R750" t="s">
        <v>74</v>
      </c>
      <c r="S750" t="s">
        <v>74</v>
      </c>
      <c r="T750" t="s">
        <v>74</v>
      </c>
      <c r="U750" t="s">
        <v>74</v>
      </c>
      <c r="V750" t="s">
        <v>14417</v>
      </c>
      <c r="W750" t="s">
        <v>14418</v>
      </c>
      <c r="X750" t="s">
        <v>14419</v>
      </c>
      <c r="Y750" t="s">
        <v>14420</v>
      </c>
      <c r="Z750" t="s">
        <v>14421</v>
      </c>
      <c r="AA750" t="s">
        <v>74</v>
      </c>
      <c r="AB750" t="s">
        <v>14422</v>
      </c>
      <c r="AC750" t="s">
        <v>74</v>
      </c>
      <c r="AD750" t="s">
        <v>74</v>
      </c>
      <c r="AE750" t="s">
        <v>74</v>
      </c>
      <c r="AF750" t="s">
        <v>74</v>
      </c>
      <c r="AG750">
        <v>6</v>
      </c>
      <c r="AH750">
        <v>4</v>
      </c>
      <c r="AI750">
        <v>4</v>
      </c>
      <c r="AJ750">
        <v>1</v>
      </c>
      <c r="AK750">
        <v>18</v>
      </c>
      <c r="AL750" t="s">
        <v>5289</v>
      </c>
      <c r="AM750" t="s">
        <v>952</v>
      </c>
      <c r="AN750" t="s">
        <v>953</v>
      </c>
      <c r="AO750" t="s">
        <v>755</v>
      </c>
      <c r="AP750" t="s">
        <v>756</v>
      </c>
      <c r="AQ750" t="s">
        <v>74</v>
      </c>
      <c r="AR750" t="s">
        <v>757</v>
      </c>
      <c r="AS750" t="s">
        <v>758</v>
      </c>
      <c r="AT750" t="s">
        <v>1033</v>
      </c>
      <c r="AU750">
        <v>2020</v>
      </c>
      <c r="AV750">
        <v>13</v>
      </c>
      <c r="AW750">
        <v>1</v>
      </c>
      <c r="AX750" t="s">
        <v>74</v>
      </c>
      <c r="AY750" t="s">
        <v>74</v>
      </c>
      <c r="AZ750" t="s">
        <v>74</v>
      </c>
      <c r="BA750" t="s">
        <v>74</v>
      </c>
      <c r="BB750">
        <v>4</v>
      </c>
      <c r="BC750">
        <v>5</v>
      </c>
      <c r="BD750" t="s">
        <v>74</v>
      </c>
      <c r="BE750" t="s">
        <v>14423</v>
      </c>
      <c r="BF750" t="str">
        <f>HYPERLINK("http://dx.doi.org/10.1038/s41561-019-0516-2","http://dx.doi.org/10.1038/s41561-019-0516-2")</f>
        <v>http://dx.doi.org/10.1038/s41561-019-0516-2</v>
      </c>
      <c r="BG750" t="s">
        <v>74</v>
      </c>
      <c r="BH750" t="s">
        <v>74</v>
      </c>
      <c r="BI750">
        <v>2</v>
      </c>
      <c r="BJ750" t="s">
        <v>246</v>
      </c>
      <c r="BK750" t="s">
        <v>103</v>
      </c>
      <c r="BL750" t="s">
        <v>247</v>
      </c>
      <c r="BM750" t="s">
        <v>14424</v>
      </c>
      <c r="BN750" t="s">
        <v>74</v>
      </c>
      <c r="BO750" t="s">
        <v>74</v>
      </c>
      <c r="BP750" t="s">
        <v>74</v>
      </c>
      <c r="BQ750" t="s">
        <v>74</v>
      </c>
      <c r="BR750" t="s">
        <v>106</v>
      </c>
      <c r="BS750" t="s">
        <v>14425</v>
      </c>
      <c r="BT750" t="str">
        <f>HYPERLINK("https%3A%2F%2Fwww.webofscience.com%2Fwos%2Fwoscc%2Ffull-record%2FWOS:000511618700003","View Full Record in Web of Science")</f>
        <v>View Full Record in Web of Science</v>
      </c>
    </row>
    <row r="751" spans="1:72" x14ac:dyDescent="0.15">
      <c r="A751" t="s">
        <v>72</v>
      </c>
      <c r="B751" t="s">
        <v>14426</v>
      </c>
      <c r="C751" t="s">
        <v>74</v>
      </c>
      <c r="D751" t="s">
        <v>74</v>
      </c>
      <c r="E751" t="s">
        <v>74</v>
      </c>
      <c r="F751" t="s">
        <v>14427</v>
      </c>
      <c r="G751" t="s">
        <v>74</v>
      </c>
      <c r="H751" t="s">
        <v>74</v>
      </c>
      <c r="I751" t="s">
        <v>14428</v>
      </c>
      <c r="J751" t="s">
        <v>14429</v>
      </c>
      <c r="K751" t="s">
        <v>74</v>
      </c>
      <c r="L751" t="s">
        <v>74</v>
      </c>
      <c r="M751" t="s">
        <v>78</v>
      </c>
      <c r="N751" t="s">
        <v>1911</v>
      </c>
      <c r="O751" t="s">
        <v>74</v>
      </c>
      <c r="P751" t="s">
        <v>74</v>
      </c>
      <c r="Q751" t="s">
        <v>74</v>
      </c>
      <c r="R751" t="s">
        <v>74</v>
      </c>
      <c r="S751" t="s">
        <v>74</v>
      </c>
      <c r="T751" t="s">
        <v>14430</v>
      </c>
      <c r="U751" t="s">
        <v>14431</v>
      </c>
      <c r="V751" t="s">
        <v>14432</v>
      </c>
      <c r="W751" t="s">
        <v>14433</v>
      </c>
      <c r="X751" t="s">
        <v>14434</v>
      </c>
      <c r="Y751" t="s">
        <v>14435</v>
      </c>
      <c r="Z751" t="s">
        <v>14436</v>
      </c>
      <c r="AA751" t="s">
        <v>74</v>
      </c>
      <c r="AB751" t="s">
        <v>14437</v>
      </c>
      <c r="AC751" t="s">
        <v>14438</v>
      </c>
      <c r="AD751" t="s">
        <v>14439</v>
      </c>
      <c r="AE751" t="s">
        <v>14440</v>
      </c>
      <c r="AF751" t="s">
        <v>74</v>
      </c>
      <c r="AG751">
        <v>34</v>
      </c>
      <c r="AH751">
        <v>5</v>
      </c>
      <c r="AI751">
        <v>5</v>
      </c>
      <c r="AJ751">
        <v>1</v>
      </c>
      <c r="AK751">
        <v>8</v>
      </c>
      <c r="AL751" t="s">
        <v>238</v>
      </c>
      <c r="AM751" t="s">
        <v>166</v>
      </c>
      <c r="AN751" t="s">
        <v>239</v>
      </c>
      <c r="AO751" t="s">
        <v>14441</v>
      </c>
      <c r="AP751" t="s">
        <v>14442</v>
      </c>
      <c r="AQ751" t="s">
        <v>74</v>
      </c>
      <c r="AR751" t="s">
        <v>14443</v>
      </c>
      <c r="AS751" t="s">
        <v>14444</v>
      </c>
      <c r="AT751" t="s">
        <v>74</v>
      </c>
      <c r="AU751">
        <v>2020</v>
      </c>
      <c r="AV751">
        <v>56</v>
      </c>
      <c r="AW751" t="s">
        <v>74</v>
      </c>
      <c r="AX751" t="s">
        <v>74</v>
      </c>
      <c r="AY751" t="s">
        <v>74</v>
      </c>
      <c r="AZ751" t="s">
        <v>74</v>
      </c>
      <c r="BA751" t="s">
        <v>74</v>
      </c>
      <c r="BB751" t="s">
        <v>74</v>
      </c>
      <c r="BC751" t="s">
        <v>74</v>
      </c>
      <c r="BD751" t="s">
        <v>14445</v>
      </c>
      <c r="BE751" t="s">
        <v>14446</v>
      </c>
      <c r="BF751" t="str">
        <f>HYPERLINK("http://dx.doi.org/10.1017/S0032247419000585","http://dx.doi.org/10.1017/S0032247419000585")</f>
        <v>http://dx.doi.org/10.1017/S0032247419000585</v>
      </c>
      <c r="BG751" t="s">
        <v>74</v>
      </c>
      <c r="BH751" t="s">
        <v>74</v>
      </c>
      <c r="BI751">
        <v>5</v>
      </c>
      <c r="BJ751" t="s">
        <v>10665</v>
      </c>
      <c r="BK751" t="s">
        <v>1149</v>
      </c>
      <c r="BL751" t="s">
        <v>219</v>
      </c>
      <c r="BM751" t="s">
        <v>14447</v>
      </c>
      <c r="BN751" t="s">
        <v>74</v>
      </c>
      <c r="BO751" t="s">
        <v>148</v>
      </c>
      <c r="BP751" t="s">
        <v>74</v>
      </c>
      <c r="BQ751" t="s">
        <v>74</v>
      </c>
      <c r="BR751" t="s">
        <v>106</v>
      </c>
      <c r="BS751" t="s">
        <v>14448</v>
      </c>
      <c r="BT751" t="str">
        <f>HYPERLINK("https%3A%2F%2Fwww.webofscience.com%2Fwos%2Fwoscc%2Ffull-record%2FWOS:000567512900001","View Full Record in Web of Science")</f>
        <v>View Full Record in Web of Science</v>
      </c>
    </row>
    <row r="752" spans="1:72" x14ac:dyDescent="0.15">
      <c r="A752" t="s">
        <v>72</v>
      </c>
      <c r="B752" t="s">
        <v>14449</v>
      </c>
      <c r="C752" t="s">
        <v>74</v>
      </c>
      <c r="D752" t="s">
        <v>74</v>
      </c>
      <c r="E752" t="s">
        <v>74</v>
      </c>
      <c r="F752" t="s">
        <v>14450</v>
      </c>
      <c r="G752" t="s">
        <v>74</v>
      </c>
      <c r="H752" t="s">
        <v>74</v>
      </c>
      <c r="I752" t="s">
        <v>14451</v>
      </c>
      <c r="J752" t="s">
        <v>14452</v>
      </c>
      <c r="K752" t="s">
        <v>74</v>
      </c>
      <c r="L752" t="s">
        <v>74</v>
      </c>
      <c r="M752" t="s">
        <v>14453</v>
      </c>
      <c r="N752" t="s">
        <v>79</v>
      </c>
      <c r="O752" t="s">
        <v>74</v>
      </c>
      <c r="P752" t="s">
        <v>74</v>
      </c>
      <c r="Q752" t="s">
        <v>74</v>
      </c>
      <c r="R752" t="s">
        <v>74</v>
      </c>
      <c r="S752" t="s">
        <v>74</v>
      </c>
      <c r="T752" t="s">
        <v>14454</v>
      </c>
      <c r="U752" t="s">
        <v>14455</v>
      </c>
      <c r="V752" t="s">
        <v>14456</v>
      </c>
      <c r="W752" t="s">
        <v>14457</v>
      </c>
      <c r="X752" t="s">
        <v>14458</v>
      </c>
      <c r="Y752" t="s">
        <v>14459</v>
      </c>
      <c r="Z752" t="s">
        <v>14460</v>
      </c>
      <c r="AA752" t="s">
        <v>74</v>
      </c>
      <c r="AB752" t="s">
        <v>74</v>
      </c>
      <c r="AC752" t="s">
        <v>74</v>
      </c>
      <c r="AD752" t="s">
        <v>74</v>
      </c>
      <c r="AE752" t="s">
        <v>74</v>
      </c>
      <c r="AF752" t="s">
        <v>74</v>
      </c>
      <c r="AG752">
        <v>89</v>
      </c>
      <c r="AH752">
        <v>4</v>
      </c>
      <c r="AI752">
        <v>9</v>
      </c>
      <c r="AJ752">
        <v>0</v>
      </c>
      <c r="AK752">
        <v>15</v>
      </c>
      <c r="AL752" t="s">
        <v>360</v>
      </c>
      <c r="AM752" t="s">
        <v>361</v>
      </c>
      <c r="AN752" t="s">
        <v>362</v>
      </c>
      <c r="AO752" t="s">
        <v>14461</v>
      </c>
      <c r="AP752" t="s">
        <v>14462</v>
      </c>
      <c r="AQ752" t="s">
        <v>74</v>
      </c>
      <c r="AR752" t="s">
        <v>14463</v>
      </c>
      <c r="AS752" t="s">
        <v>14464</v>
      </c>
      <c r="AT752" t="s">
        <v>74</v>
      </c>
      <c r="AU752">
        <v>2020</v>
      </c>
      <c r="AV752">
        <v>36</v>
      </c>
      <c r="AW752">
        <v>7</v>
      </c>
      <c r="AX752" t="s">
        <v>74</v>
      </c>
      <c r="AY752" t="s">
        <v>74</v>
      </c>
      <c r="AZ752" t="s">
        <v>74</v>
      </c>
      <c r="BA752" t="s">
        <v>74</v>
      </c>
      <c r="BB752">
        <v>1973</v>
      </c>
      <c r="BC752">
        <v>1985</v>
      </c>
      <c r="BD752" t="s">
        <v>74</v>
      </c>
      <c r="BE752" t="s">
        <v>14465</v>
      </c>
      <c r="BF752" t="str">
        <f>HYPERLINK("http://dx.doi.org/10.18654/1000-0569/2020.07.03","http://dx.doi.org/10.18654/1000-0569/2020.07.03")</f>
        <v>http://dx.doi.org/10.18654/1000-0569/2020.07.03</v>
      </c>
      <c r="BG752" t="s">
        <v>74</v>
      </c>
      <c r="BH752" t="s">
        <v>74</v>
      </c>
      <c r="BI752">
        <v>13</v>
      </c>
      <c r="BJ752" t="s">
        <v>247</v>
      </c>
      <c r="BK752" t="s">
        <v>103</v>
      </c>
      <c r="BL752" t="s">
        <v>247</v>
      </c>
      <c r="BM752" t="s">
        <v>14466</v>
      </c>
      <c r="BN752" t="s">
        <v>74</v>
      </c>
      <c r="BO752" t="s">
        <v>74</v>
      </c>
      <c r="BP752" t="s">
        <v>74</v>
      </c>
      <c r="BQ752" t="s">
        <v>74</v>
      </c>
      <c r="BR752" t="s">
        <v>106</v>
      </c>
      <c r="BS752" t="s">
        <v>14467</v>
      </c>
      <c r="BT752" t="str">
        <f>HYPERLINK("https%3A%2F%2Fwww.webofscience.com%2Fwos%2Fwoscc%2Ffull-record%2FWOS:000596477200003","View Full Record in Web of Science")</f>
        <v>View Full Record in Web of Science</v>
      </c>
    </row>
    <row r="753" spans="1:72" x14ac:dyDescent="0.15">
      <c r="A753" t="s">
        <v>72</v>
      </c>
      <c r="B753" t="s">
        <v>14468</v>
      </c>
      <c r="C753" t="s">
        <v>74</v>
      </c>
      <c r="D753" t="s">
        <v>74</v>
      </c>
      <c r="E753" t="s">
        <v>74</v>
      </c>
      <c r="F753" t="s">
        <v>14469</v>
      </c>
      <c r="G753" t="s">
        <v>74</v>
      </c>
      <c r="H753" t="s">
        <v>74</v>
      </c>
      <c r="I753" t="s">
        <v>14470</v>
      </c>
      <c r="J753" t="s">
        <v>14398</v>
      </c>
      <c r="K753" t="s">
        <v>74</v>
      </c>
      <c r="L753" t="s">
        <v>74</v>
      </c>
      <c r="M753" t="s">
        <v>78</v>
      </c>
      <c r="N753" t="s">
        <v>79</v>
      </c>
      <c r="O753" t="s">
        <v>74</v>
      </c>
      <c r="P753" t="s">
        <v>74</v>
      </c>
      <c r="Q753" t="s">
        <v>74</v>
      </c>
      <c r="R753" t="s">
        <v>74</v>
      </c>
      <c r="S753" t="s">
        <v>74</v>
      </c>
      <c r="T753" t="s">
        <v>14471</v>
      </c>
      <c r="U753" t="s">
        <v>14472</v>
      </c>
      <c r="V753" t="s">
        <v>14473</v>
      </c>
      <c r="W753" t="s">
        <v>14474</v>
      </c>
      <c r="X753" t="s">
        <v>14475</v>
      </c>
      <c r="Y753" t="s">
        <v>14476</v>
      </c>
      <c r="Z753" t="s">
        <v>14477</v>
      </c>
      <c r="AA753" t="s">
        <v>14478</v>
      </c>
      <c r="AB753" t="s">
        <v>14479</v>
      </c>
      <c r="AC753" t="s">
        <v>74</v>
      </c>
      <c r="AD753" t="s">
        <v>74</v>
      </c>
      <c r="AE753" t="s">
        <v>74</v>
      </c>
      <c r="AF753" t="s">
        <v>74</v>
      </c>
      <c r="AG753">
        <v>68</v>
      </c>
      <c r="AH753">
        <v>6</v>
      </c>
      <c r="AI753">
        <v>6</v>
      </c>
      <c r="AJ753">
        <v>2</v>
      </c>
      <c r="AK753">
        <v>28</v>
      </c>
      <c r="AL753" t="s">
        <v>14008</v>
      </c>
      <c r="AM753" t="s">
        <v>14009</v>
      </c>
      <c r="AN753" t="s">
        <v>14010</v>
      </c>
      <c r="AO753" t="s">
        <v>14404</v>
      </c>
      <c r="AP753" t="s">
        <v>14405</v>
      </c>
      <c r="AQ753" t="s">
        <v>74</v>
      </c>
      <c r="AR753" t="s">
        <v>14406</v>
      </c>
      <c r="AS753" t="s">
        <v>14407</v>
      </c>
      <c r="AT753" t="s">
        <v>74</v>
      </c>
      <c r="AU753">
        <v>2020</v>
      </c>
      <c r="AV753">
        <v>71</v>
      </c>
      <c r="AW753">
        <v>8</v>
      </c>
      <c r="AX753" t="s">
        <v>74</v>
      </c>
      <c r="AY753" t="s">
        <v>74</v>
      </c>
      <c r="AZ753" t="s">
        <v>74</v>
      </c>
      <c r="BA753" t="s">
        <v>74</v>
      </c>
      <c r="BB753">
        <v>892</v>
      </c>
      <c r="BC753">
        <v>904</v>
      </c>
      <c r="BD753" t="s">
        <v>74</v>
      </c>
      <c r="BE753" t="s">
        <v>14480</v>
      </c>
      <c r="BF753" t="str">
        <f>HYPERLINK("http://dx.doi.org/10.1071/MF19119","http://dx.doi.org/10.1071/MF19119")</f>
        <v>http://dx.doi.org/10.1071/MF19119</v>
      </c>
      <c r="BG753" t="s">
        <v>74</v>
      </c>
      <c r="BH753" t="s">
        <v>74</v>
      </c>
      <c r="BI753">
        <v>13</v>
      </c>
      <c r="BJ753" t="s">
        <v>14411</v>
      </c>
      <c r="BK753" t="s">
        <v>103</v>
      </c>
      <c r="BL753" t="s">
        <v>3491</v>
      </c>
      <c r="BM753" t="s">
        <v>14481</v>
      </c>
      <c r="BN753" t="s">
        <v>74</v>
      </c>
      <c r="BO753" t="s">
        <v>1542</v>
      </c>
      <c r="BP753" t="s">
        <v>74</v>
      </c>
      <c r="BQ753" t="s">
        <v>74</v>
      </c>
      <c r="BR753" t="s">
        <v>106</v>
      </c>
      <c r="BS753" t="s">
        <v>14482</v>
      </c>
      <c r="BT753" t="str">
        <f>HYPERLINK("https%3A%2F%2Fwww.webofscience.com%2Fwos%2Fwoscc%2Ffull-record%2FWOS:000594813800004","View Full Record in Web of Science")</f>
        <v>View Full Record in Web of Science</v>
      </c>
    </row>
    <row r="754" spans="1:72" x14ac:dyDescent="0.15">
      <c r="A754" t="s">
        <v>72</v>
      </c>
      <c r="B754" t="s">
        <v>14483</v>
      </c>
      <c r="C754" t="s">
        <v>74</v>
      </c>
      <c r="D754" t="s">
        <v>74</v>
      </c>
      <c r="E754" t="s">
        <v>74</v>
      </c>
      <c r="F754" t="s">
        <v>14484</v>
      </c>
      <c r="G754" t="s">
        <v>74</v>
      </c>
      <c r="H754" t="s">
        <v>74</v>
      </c>
      <c r="I754" t="s">
        <v>14485</v>
      </c>
      <c r="J754" t="s">
        <v>14398</v>
      </c>
      <c r="K754" t="s">
        <v>74</v>
      </c>
      <c r="L754" t="s">
        <v>74</v>
      </c>
      <c r="M754" t="s">
        <v>78</v>
      </c>
      <c r="N754" t="s">
        <v>79</v>
      </c>
      <c r="O754" t="s">
        <v>74</v>
      </c>
      <c r="P754" t="s">
        <v>74</v>
      </c>
      <c r="Q754" t="s">
        <v>74</v>
      </c>
      <c r="R754" t="s">
        <v>74</v>
      </c>
      <c r="S754" t="s">
        <v>74</v>
      </c>
      <c r="T754" t="s">
        <v>14486</v>
      </c>
      <c r="U754" t="s">
        <v>14487</v>
      </c>
      <c r="V754" t="s">
        <v>14488</v>
      </c>
      <c r="W754" t="s">
        <v>14489</v>
      </c>
      <c r="X754" t="s">
        <v>14490</v>
      </c>
      <c r="Y754" t="s">
        <v>14491</v>
      </c>
      <c r="Z754" t="s">
        <v>14492</v>
      </c>
      <c r="AA754" t="s">
        <v>14493</v>
      </c>
      <c r="AB754" t="s">
        <v>14494</v>
      </c>
      <c r="AC754" t="s">
        <v>74</v>
      </c>
      <c r="AD754" t="s">
        <v>74</v>
      </c>
      <c r="AE754" t="s">
        <v>74</v>
      </c>
      <c r="AF754" t="s">
        <v>74</v>
      </c>
      <c r="AG754">
        <v>59</v>
      </c>
      <c r="AH754">
        <v>7</v>
      </c>
      <c r="AI754">
        <v>7</v>
      </c>
      <c r="AJ754">
        <v>10</v>
      </c>
      <c r="AK754">
        <v>26</v>
      </c>
      <c r="AL754" t="s">
        <v>14008</v>
      </c>
      <c r="AM754" t="s">
        <v>14009</v>
      </c>
      <c r="AN754" t="s">
        <v>14010</v>
      </c>
      <c r="AO754" t="s">
        <v>14404</v>
      </c>
      <c r="AP754" t="s">
        <v>14405</v>
      </c>
      <c r="AQ754" t="s">
        <v>74</v>
      </c>
      <c r="AR754" t="s">
        <v>14406</v>
      </c>
      <c r="AS754" t="s">
        <v>14407</v>
      </c>
      <c r="AT754" t="s">
        <v>74</v>
      </c>
      <c r="AU754">
        <v>2020</v>
      </c>
      <c r="AV754">
        <v>71</v>
      </c>
      <c r="AW754">
        <v>8</v>
      </c>
      <c r="AX754" t="s">
        <v>74</v>
      </c>
      <c r="AY754" t="s">
        <v>74</v>
      </c>
      <c r="AZ754" t="s">
        <v>74</v>
      </c>
      <c r="BA754" t="s">
        <v>74</v>
      </c>
      <c r="BB754">
        <v>972</v>
      </c>
      <c r="BC754">
        <v>983</v>
      </c>
      <c r="BD754" t="s">
        <v>74</v>
      </c>
      <c r="BE754" t="s">
        <v>14495</v>
      </c>
      <c r="BF754" t="str">
        <f>HYPERLINK("http://dx.doi.org/10.1071/MF19171","http://dx.doi.org/10.1071/MF19171")</f>
        <v>http://dx.doi.org/10.1071/MF19171</v>
      </c>
      <c r="BG754" t="s">
        <v>74</v>
      </c>
      <c r="BH754" t="s">
        <v>74</v>
      </c>
      <c r="BI754">
        <v>12</v>
      </c>
      <c r="BJ754" t="s">
        <v>14411</v>
      </c>
      <c r="BK754" t="s">
        <v>103</v>
      </c>
      <c r="BL754" t="s">
        <v>3491</v>
      </c>
      <c r="BM754" t="s">
        <v>14481</v>
      </c>
      <c r="BN754" t="s">
        <v>74</v>
      </c>
      <c r="BO754" t="s">
        <v>74</v>
      </c>
      <c r="BP754" t="s">
        <v>74</v>
      </c>
      <c r="BQ754" t="s">
        <v>74</v>
      </c>
      <c r="BR754" t="s">
        <v>106</v>
      </c>
      <c r="BS754" t="s">
        <v>14496</v>
      </c>
      <c r="BT754" t="str">
        <f>HYPERLINK("https%3A%2F%2Fwww.webofscience.com%2Fwos%2Fwoscc%2Ffull-record%2FWOS:000594813800013","View Full Record in Web of Science")</f>
        <v>View Full Record in Web of Science</v>
      </c>
    </row>
    <row r="755" spans="1:72" x14ac:dyDescent="0.15">
      <c r="A755" t="s">
        <v>72</v>
      </c>
      <c r="B755" t="s">
        <v>14497</v>
      </c>
      <c r="C755" t="s">
        <v>74</v>
      </c>
      <c r="D755" t="s">
        <v>74</v>
      </c>
      <c r="E755" t="s">
        <v>74</v>
      </c>
      <c r="F755" t="s">
        <v>14498</v>
      </c>
      <c r="G755" t="s">
        <v>74</v>
      </c>
      <c r="H755" t="s">
        <v>74</v>
      </c>
      <c r="I755" t="s">
        <v>14499</v>
      </c>
      <c r="J755" t="s">
        <v>14500</v>
      </c>
      <c r="K755" t="s">
        <v>74</v>
      </c>
      <c r="L755" t="s">
        <v>74</v>
      </c>
      <c r="M755" t="s">
        <v>14501</v>
      </c>
      <c r="N755" t="s">
        <v>79</v>
      </c>
      <c r="O755" t="s">
        <v>74</v>
      </c>
      <c r="P755" t="s">
        <v>74</v>
      </c>
      <c r="Q755" t="s">
        <v>74</v>
      </c>
      <c r="R755" t="s">
        <v>74</v>
      </c>
      <c r="S755" t="s">
        <v>74</v>
      </c>
      <c r="T755" t="s">
        <v>14502</v>
      </c>
      <c r="U755" t="s">
        <v>14503</v>
      </c>
      <c r="V755" t="s">
        <v>14504</v>
      </c>
      <c r="W755" t="s">
        <v>14505</v>
      </c>
      <c r="X755" t="s">
        <v>14506</v>
      </c>
      <c r="Y755" t="s">
        <v>14507</v>
      </c>
      <c r="Z755" t="s">
        <v>14508</v>
      </c>
      <c r="AA755" t="s">
        <v>14509</v>
      </c>
      <c r="AB755" t="s">
        <v>14510</v>
      </c>
      <c r="AC755" t="s">
        <v>74</v>
      </c>
      <c r="AD755" t="s">
        <v>74</v>
      </c>
      <c r="AE755" t="s">
        <v>74</v>
      </c>
      <c r="AF755" t="s">
        <v>74</v>
      </c>
      <c r="AG755">
        <v>62</v>
      </c>
      <c r="AH755">
        <v>1</v>
      </c>
      <c r="AI755">
        <v>1</v>
      </c>
      <c r="AJ755">
        <v>2</v>
      </c>
      <c r="AK755">
        <v>13</v>
      </c>
      <c r="AL755" t="s">
        <v>14511</v>
      </c>
      <c r="AM755" t="s">
        <v>14512</v>
      </c>
      <c r="AN755" t="s">
        <v>14513</v>
      </c>
      <c r="AO755" t="s">
        <v>14514</v>
      </c>
      <c r="AP755" t="s">
        <v>14515</v>
      </c>
      <c r="AQ755" t="s">
        <v>74</v>
      </c>
      <c r="AR755" t="s">
        <v>14516</v>
      </c>
      <c r="AS755" t="s">
        <v>14517</v>
      </c>
      <c r="AT755" t="s">
        <v>74</v>
      </c>
      <c r="AU755">
        <v>2020</v>
      </c>
      <c r="AV755">
        <v>38</v>
      </c>
      <c r="AW755">
        <v>2</v>
      </c>
      <c r="AX755" t="s">
        <v>74</v>
      </c>
      <c r="AY755" t="s">
        <v>74</v>
      </c>
      <c r="AZ755" t="s">
        <v>74</v>
      </c>
      <c r="BA755" t="s">
        <v>74</v>
      </c>
      <c r="BB755" t="s">
        <v>74</v>
      </c>
      <c r="BC755" t="s">
        <v>74</v>
      </c>
      <c r="BD755" t="s">
        <v>74</v>
      </c>
      <c r="BE755" t="s">
        <v>14518</v>
      </c>
      <c r="BF755" t="str">
        <f>HYPERLINK("http://dx.doi.org/10.12804/revistas.urosario.edu.co/apl/a.7030","http://dx.doi.org/10.12804/revistas.urosario.edu.co/apl/a.7030")</f>
        <v>http://dx.doi.org/10.12804/revistas.urosario.edu.co/apl/a.7030</v>
      </c>
      <c r="BG755" t="s">
        <v>74</v>
      </c>
      <c r="BH755" t="s">
        <v>74</v>
      </c>
      <c r="BI755">
        <v>17</v>
      </c>
      <c r="BJ755" t="s">
        <v>3685</v>
      </c>
      <c r="BK755" t="s">
        <v>274</v>
      </c>
      <c r="BL755" t="s">
        <v>3685</v>
      </c>
      <c r="BM755" t="s">
        <v>14519</v>
      </c>
      <c r="BN755" t="s">
        <v>74</v>
      </c>
      <c r="BO755" t="s">
        <v>2592</v>
      </c>
      <c r="BP755" t="s">
        <v>74</v>
      </c>
      <c r="BQ755" t="s">
        <v>74</v>
      </c>
      <c r="BR755" t="s">
        <v>106</v>
      </c>
      <c r="BS755" t="s">
        <v>14520</v>
      </c>
      <c r="BT755" t="str">
        <f>HYPERLINK("https%3A%2F%2Fwww.webofscience.com%2Fwos%2Fwoscc%2Ffull-record%2FWOS:000597206200003","View Full Record in Web of Science")</f>
        <v>View Full Record in Web of Science</v>
      </c>
    </row>
    <row r="756" spans="1:72" x14ac:dyDescent="0.15">
      <c r="A756" t="s">
        <v>72</v>
      </c>
      <c r="B756" t="s">
        <v>14521</v>
      </c>
      <c r="C756" t="s">
        <v>74</v>
      </c>
      <c r="D756" t="s">
        <v>74</v>
      </c>
      <c r="E756" t="s">
        <v>74</v>
      </c>
      <c r="F756" t="s">
        <v>14522</v>
      </c>
      <c r="G756" t="s">
        <v>74</v>
      </c>
      <c r="H756" t="s">
        <v>74</v>
      </c>
      <c r="I756" t="s">
        <v>14523</v>
      </c>
      <c r="J756" t="s">
        <v>13911</v>
      </c>
      <c r="K756" t="s">
        <v>74</v>
      </c>
      <c r="L756" t="s">
        <v>74</v>
      </c>
      <c r="M756" t="s">
        <v>78</v>
      </c>
      <c r="N756" t="s">
        <v>79</v>
      </c>
      <c r="O756" t="s">
        <v>74</v>
      </c>
      <c r="P756" t="s">
        <v>74</v>
      </c>
      <c r="Q756" t="s">
        <v>74</v>
      </c>
      <c r="R756" t="s">
        <v>74</v>
      </c>
      <c r="S756" t="s">
        <v>74</v>
      </c>
      <c r="T756" t="s">
        <v>14524</v>
      </c>
      <c r="U756" t="s">
        <v>14525</v>
      </c>
      <c r="V756" t="s">
        <v>14526</v>
      </c>
      <c r="W756" t="s">
        <v>14527</v>
      </c>
      <c r="X756" t="s">
        <v>14528</v>
      </c>
      <c r="Y756" t="s">
        <v>14529</v>
      </c>
      <c r="Z756" t="s">
        <v>14530</v>
      </c>
      <c r="AA756" t="s">
        <v>14531</v>
      </c>
      <c r="AB756" t="s">
        <v>14532</v>
      </c>
      <c r="AC756" t="s">
        <v>14533</v>
      </c>
      <c r="AD756" t="s">
        <v>14534</v>
      </c>
      <c r="AE756" t="s">
        <v>14535</v>
      </c>
      <c r="AF756" t="s">
        <v>74</v>
      </c>
      <c r="AG756">
        <v>53</v>
      </c>
      <c r="AH756">
        <v>2</v>
      </c>
      <c r="AI756">
        <v>2</v>
      </c>
      <c r="AJ756">
        <v>1</v>
      </c>
      <c r="AK756">
        <v>14</v>
      </c>
      <c r="AL756" t="s">
        <v>2627</v>
      </c>
      <c r="AM756" t="s">
        <v>2628</v>
      </c>
      <c r="AN756" t="s">
        <v>2629</v>
      </c>
      <c r="AO756" t="s">
        <v>13924</v>
      </c>
      <c r="AP756" t="s">
        <v>13925</v>
      </c>
      <c r="AQ756" t="s">
        <v>74</v>
      </c>
      <c r="AR756" t="s">
        <v>13926</v>
      </c>
      <c r="AS756" t="s">
        <v>13927</v>
      </c>
      <c r="AT756" t="s">
        <v>12161</v>
      </c>
      <c r="AU756">
        <v>2020</v>
      </c>
      <c r="AV756">
        <v>52</v>
      </c>
      <c r="AW756">
        <v>1</v>
      </c>
      <c r="AX756" t="s">
        <v>74</v>
      </c>
      <c r="AY756" t="s">
        <v>74</v>
      </c>
      <c r="AZ756" t="s">
        <v>74</v>
      </c>
      <c r="BA756" t="s">
        <v>74</v>
      </c>
      <c r="BB756">
        <v>635</v>
      </c>
      <c r="BC756">
        <v>649</v>
      </c>
      <c r="BD756" t="s">
        <v>74</v>
      </c>
      <c r="BE756" t="s">
        <v>14536</v>
      </c>
      <c r="BF756" t="str">
        <f>HYPERLINK("http://dx.doi.org/10.1080/15230430.2020.1839165","http://dx.doi.org/10.1080/15230430.2020.1839165")</f>
        <v>http://dx.doi.org/10.1080/15230430.2020.1839165</v>
      </c>
      <c r="BG756" t="s">
        <v>74</v>
      </c>
      <c r="BH756" t="s">
        <v>74</v>
      </c>
      <c r="BI756">
        <v>15</v>
      </c>
      <c r="BJ756" t="s">
        <v>13929</v>
      </c>
      <c r="BK756" t="s">
        <v>103</v>
      </c>
      <c r="BL756" t="s">
        <v>1828</v>
      </c>
      <c r="BM756" t="s">
        <v>14537</v>
      </c>
      <c r="BN756" t="s">
        <v>74</v>
      </c>
      <c r="BO756" t="s">
        <v>987</v>
      </c>
      <c r="BP756" t="s">
        <v>74</v>
      </c>
      <c r="BQ756" t="s">
        <v>74</v>
      </c>
      <c r="BR756" t="s">
        <v>106</v>
      </c>
      <c r="BS756" t="s">
        <v>14538</v>
      </c>
      <c r="BT756" t="str">
        <f>HYPERLINK("https%3A%2F%2Fwww.webofscience.com%2Fwos%2Fwoscc%2Ffull-record%2FWOS:000595988200001","View Full Record in Web of Science")</f>
        <v>View Full Record in Web of Science</v>
      </c>
    </row>
    <row r="757" spans="1:72" x14ac:dyDescent="0.15">
      <c r="A757" t="s">
        <v>72</v>
      </c>
      <c r="B757" t="s">
        <v>14539</v>
      </c>
      <c r="C757" t="s">
        <v>74</v>
      </c>
      <c r="D757" t="s">
        <v>74</v>
      </c>
      <c r="E757" t="s">
        <v>74</v>
      </c>
      <c r="F757" t="s">
        <v>14540</v>
      </c>
      <c r="G757" t="s">
        <v>74</v>
      </c>
      <c r="H757" t="s">
        <v>74</v>
      </c>
      <c r="I757" t="s">
        <v>14541</v>
      </c>
      <c r="J757" t="s">
        <v>14542</v>
      </c>
      <c r="K757" t="s">
        <v>74</v>
      </c>
      <c r="L757" t="s">
        <v>74</v>
      </c>
      <c r="M757" t="s">
        <v>78</v>
      </c>
      <c r="N757" t="s">
        <v>79</v>
      </c>
      <c r="O757" t="s">
        <v>74</v>
      </c>
      <c r="P757" t="s">
        <v>74</v>
      </c>
      <c r="Q757" t="s">
        <v>74</v>
      </c>
      <c r="R757" t="s">
        <v>74</v>
      </c>
      <c r="S757" t="s">
        <v>74</v>
      </c>
      <c r="T757" t="s">
        <v>14543</v>
      </c>
      <c r="U757" t="s">
        <v>14544</v>
      </c>
      <c r="V757" t="s">
        <v>14545</v>
      </c>
      <c r="W757" t="s">
        <v>14546</v>
      </c>
      <c r="X757" t="s">
        <v>14547</v>
      </c>
      <c r="Y757" t="s">
        <v>14548</v>
      </c>
      <c r="Z757" t="s">
        <v>14549</v>
      </c>
      <c r="AA757" t="s">
        <v>74</v>
      </c>
      <c r="AB757" t="s">
        <v>14550</v>
      </c>
      <c r="AC757" t="s">
        <v>14551</v>
      </c>
      <c r="AD757" t="s">
        <v>14552</v>
      </c>
      <c r="AE757" t="s">
        <v>14553</v>
      </c>
      <c r="AF757" t="s">
        <v>74</v>
      </c>
      <c r="AG757">
        <v>57</v>
      </c>
      <c r="AH757">
        <v>2</v>
      </c>
      <c r="AI757">
        <v>2</v>
      </c>
      <c r="AJ757">
        <v>3</v>
      </c>
      <c r="AK757">
        <v>8</v>
      </c>
      <c r="AL757" t="s">
        <v>14554</v>
      </c>
      <c r="AM757" t="s">
        <v>14555</v>
      </c>
      <c r="AN757" t="s">
        <v>14556</v>
      </c>
      <c r="AO757" t="s">
        <v>14557</v>
      </c>
      <c r="AP757" t="s">
        <v>14558</v>
      </c>
      <c r="AQ757" t="s">
        <v>74</v>
      </c>
      <c r="AR757" t="s">
        <v>14559</v>
      </c>
      <c r="AS757" t="s">
        <v>14560</v>
      </c>
      <c r="AT757" t="s">
        <v>74</v>
      </c>
      <c r="AU757">
        <v>2020</v>
      </c>
      <c r="AV757">
        <v>41</v>
      </c>
      <c r="AW757">
        <v>4</v>
      </c>
      <c r="AX757" t="s">
        <v>74</v>
      </c>
      <c r="AY757" t="s">
        <v>74</v>
      </c>
      <c r="AZ757" t="s">
        <v>74</v>
      </c>
      <c r="BA757" t="s">
        <v>74</v>
      </c>
      <c r="BB757">
        <v>289</v>
      </c>
      <c r="BC757">
        <v>314</v>
      </c>
      <c r="BD757" t="s">
        <v>74</v>
      </c>
      <c r="BE757" t="s">
        <v>14561</v>
      </c>
      <c r="BF757" t="str">
        <f>HYPERLINK("http://dx.doi.org/10.24425/ppr.2020.134793","http://dx.doi.org/10.24425/ppr.2020.134793")</f>
        <v>http://dx.doi.org/10.24425/ppr.2020.134793</v>
      </c>
      <c r="BG757" t="s">
        <v>74</v>
      </c>
      <c r="BH757" t="s">
        <v>74</v>
      </c>
      <c r="BI757">
        <v>26</v>
      </c>
      <c r="BJ757" t="s">
        <v>1404</v>
      </c>
      <c r="BK757" t="s">
        <v>103</v>
      </c>
      <c r="BL757" t="s">
        <v>1405</v>
      </c>
      <c r="BM757" t="s">
        <v>14562</v>
      </c>
      <c r="BN757" t="s">
        <v>74</v>
      </c>
      <c r="BO757" t="s">
        <v>276</v>
      </c>
      <c r="BP757" t="s">
        <v>74</v>
      </c>
      <c r="BQ757" t="s">
        <v>74</v>
      </c>
      <c r="BR757" t="s">
        <v>106</v>
      </c>
      <c r="BS757" t="s">
        <v>14563</v>
      </c>
      <c r="BT757" t="str">
        <f>HYPERLINK("https%3A%2F%2Fwww.webofscience.com%2Fwos%2Fwoscc%2Ffull-record%2FWOS:000593994200002","View Full Record in Web of Science")</f>
        <v>View Full Record in Web of Science</v>
      </c>
    </row>
    <row r="758" spans="1:72" x14ac:dyDescent="0.15">
      <c r="A758" t="s">
        <v>72</v>
      </c>
      <c r="B758" t="s">
        <v>14564</v>
      </c>
      <c r="C758" t="s">
        <v>74</v>
      </c>
      <c r="D758" t="s">
        <v>74</v>
      </c>
      <c r="E758" t="s">
        <v>74</v>
      </c>
      <c r="F758" t="s">
        <v>14565</v>
      </c>
      <c r="G758" t="s">
        <v>74</v>
      </c>
      <c r="H758" t="s">
        <v>74</v>
      </c>
      <c r="I758" t="s">
        <v>14566</v>
      </c>
      <c r="J758" t="s">
        <v>13973</v>
      </c>
      <c r="K758" t="s">
        <v>74</v>
      </c>
      <c r="L758" t="s">
        <v>74</v>
      </c>
      <c r="M758" t="s">
        <v>78</v>
      </c>
      <c r="N758" t="s">
        <v>79</v>
      </c>
      <c r="O758" t="s">
        <v>74</v>
      </c>
      <c r="P758" t="s">
        <v>74</v>
      </c>
      <c r="Q758" t="s">
        <v>74</v>
      </c>
      <c r="R758" t="s">
        <v>74</v>
      </c>
      <c r="S758" t="s">
        <v>74</v>
      </c>
      <c r="T758" t="s">
        <v>14567</v>
      </c>
      <c r="U758" t="s">
        <v>14568</v>
      </c>
      <c r="V758" t="s">
        <v>14569</v>
      </c>
      <c r="W758" t="s">
        <v>14570</v>
      </c>
      <c r="X758" t="s">
        <v>14571</v>
      </c>
      <c r="Y758" t="s">
        <v>14572</v>
      </c>
      <c r="Z758" t="s">
        <v>14573</v>
      </c>
      <c r="AA758" t="s">
        <v>14574</v>
      </c>
      <c r="AB758" t="s">
        <v>14575</v>
      </c>
      <c r="AC758" t="s">
        <v>14576</v>
      </c>
      <c r="AD758" t="s">
        <v>14577</v>
      </c>
      <c r="AE758" t="s">
        <v>14578</v>
      </c>
      <c r="AF758" t="s">
        <v>74</v>
      </c>
      <c r="AG758">
        <v>73</v>
      </c>
      <c r="AH758">
        <v>3</v>
      </c>
      <c r="AI758">
        <v>3</v>
      </c>
      <c r="AJ758">
        <v>1</v>
      </c>
      <c r="AK758">
        <v>10</v>
      </c>
      <c r="AL758" t="s">
        <v>13984</v>
      </c>
      <c r="AM758" t="s">
        <v>545</v>
      </c>
      <c r="AN758" t="s">
        <v>14155</v>
      </c>
      <c r="AO758" t="s">
        <v>13986</v>
      </c>
      <c r="AP758" t="s">
        <v>13987</v>
      </c>
      <c r="AQ758" t="s">
        <v>74</v>
      </c>
      <c r="AR758" t="s">
        <v>13988</v>
      </c>
      <c r="AS758" t="s">
        <v>13989</v>
      </c>
      <c r="AT758" t="s">
        <v>74</v>
      </c>
      <c r="AU758">
        <v>2020</v>
      </c>
      <c r="AV758">
        <v>70</v>
      </c>
      <c r="AW758">
        <v>4</v>
      </c>
      <c r="AX758" t="s">
        <v>74</v>
      </c>
      <c r="AY758" t="s">
        <v>74</v>
      </c>
      <c r="AZ758" t="s">
        <v>74</v>
      </c>
      <c r="BA758" t="s">
        <v>74</v>
      </c>
      <c r="BB758">
        <v>2624</v>
      </c>
      <c r="BC758">
        <v>2631</v>
      </c>
      <c r="BD758" t="s">
        <v>74</v>
      </c>
      <c r="BE758" t="s">
        <v>14579</v>
      </c>
      <c r="BF758" t="str">
        <f>HYPERLINK("http://dx.doi.org/10.1099/ijsem.0.004083","http://dx.doi.org/10.1099/ijsem.0.004083")</f>
        <v>http://dx.doi.org/10.1099/ijsem.0.004083</v>
      </c>
      <c r="BG758" t="s">
        <v>74</v>
      </c>
      <c r="BH758" t="s">
        <v>74</v>
      </c>
      <c r="BI758">
        <v>8</v>
      </c>
      <c r="BJ758" t="s">
        <v>273</v>
      </c>
      <c r="BK758" t="s">
        <v>103</v>
      </c>
      <c r="BL758" t="s">
        <v>273</v>
      </c>
      <c r="BM758" t="s">
        <v>14580</v>
      </c>
      <c r="BN758">
        <v>32134379</v>
      </c>
      <c r="BO758" t="s">
        <v>517</v>
      </c>
      <c r="BP758" t="s">
        <v>74</v>
      </c>
      <c r="BQ758" t="s">
        <v>74</v>
      </c>
      <c r="BR758" t="s">
        <v>106</v>
      </c>
      <c r="BS758" t="s">
        <v>14581</v>
      </c>
      <c r="BT758" t="str">
        <f>HYPERLINK("https%3A%2F%2Fwww.webofscience.com%2Fwos%2Fwoscc%2Ffull-record%2FWOS:000584502400059","View Full Record in Web of Science")</f>
        <v>View Full Record in Web of Science</v>
      </c>
    </row>
    <row r="759" spans="1:72" x14ac:dyDescent="0.15">
      <c r="A759" t="s">
        <v>72</v>
      </c>
      <c r="B759" t="s">
        <v>14582</v>
      </c>
      <c r="C759" t="s">
        <v>74</v>
      </c>
      <c r="D759" t="s">
        <v>74</v>
      </c>
      <c r="E759" t="s">
        <v>74</v>
      </c>
      <c r="F759" t="s">
        <v>14583</v>
      </c>
      <c r="G759" t="s">
        <v>74</v>
      </c>
      <c r="H759" t="s">
        <v>74</v>
      </c>
      <c r="I759" t="s">
        <v>14584</v>
      </c>
      <c r="J759" t="s">
        <v>13911</v>
      </c>
      <c r="K759" t="s">
        <v>74</v>
      </c>
      <c r="L759" t="s">
        <v>74</v>
      </c>
      <c r="M759" t="s">
        <v>78</v>
      </c>
      <c r="N759" t="s">
        <v>79</v>
      </c>
      <c r="O759" t="s">
        <v>74</v>
      </c>
      <c r="P759" t="s">
        <v>74</v>
      </c>
      <c r="Q759" t="s">
        <v>74</v>
      </c>
      <c r="R759" t="s">
        <v>74</v>
      </c>
      <c r="S759" t="s">
        <v>74</v>
      </c>
      <c r="T759" t="s">
        <v>14585</v>
      </c>
      <c r="U759" t="s">
        <v>74</v>
      </c>
      <c r="V759" t="s">
        <v>14586</v>
      </c>
      <c r="W759" t="s">
        <v>14587</v>
      </c>
      <c r="X759" t="s">
        <v>14588</v>
      </c>
      <c r="Y759" t="s">
        <v>14589</v>
      </c>
      <c r="Z759" t="s">
        <v>14590</v>
      </c>
      <c r="AA759" t="s">
        <v>74</v>
      </c>
      <c r="AB759" t="s">
        <v>14591</v>
      </c>
      <c r="AC759" t="s">
        <v>74</v>
      </c>
      <c r="AD759" t="s">
        <v>74</v>
      </c>
      <c r="AE759" t="s">
        <v>74</v>
      </c>
      <c r="AF759" t="s">
        <v>74</v>
      </c>
      <c r="AG759">
        <v>71</v>
      </c>
      <c r="AH759">
        <v>2</v>
      </c>
      <c r="AI759">
        <v>3</v>
      </c>
      <c r="AJ759">
        <v>1</v>
      </c>
      <c r="AK759">
        <v>9</v>
      </c>
      <c r="AL759" t="s">
        <v>2627</v>
      </c>
      <c r="AM759" t="s">
        <v>2628</v>
      </c>
      <c r="AN759" t="s">
        <v>2629</v>
      </c>
      <c r="AO759" t="s">
        <v>13924</v>
      </c>
      <c r="AP759" t="s">
        <v>13925</v>
      </c>
      <c r="AQ759" t="s">
        <v>74</v>
      </c>
      <c r="AR759" t="s">
        <v>13926</v>
      </c>
      <c r="AS759" t="s">
        <v>13927</v>
      </c>
      <c r="AT759" t="s">
        <v>12161</v>
      </c>
      <c r="AU759">
        <v>2020</v>
      </c>
      <c r="AV759">
        <v>52</v>
      </c>
      <c r="AW759">
        <v>1</v>
      </c>
      <c r="AX759" t="s">
        <v>74</v>
      </c>
      <c r="AY759" t="s">
        <v>74</v>
      </c>
      <c r="AZ759" t="s">
        <v>74</v>
      </c>
      <c r="BA759" t="s">
        <v>74</v>
      </c>
      <c r="BB759">
        <v>617</v>
      </c>
      <c r="BC759">
        <v>634</v>
      </c>
      <c r="BD759" t="s">
        <v>74</v>
      </c>
      <c r="BE759" t="s">
        <v>14592</v>
      </c>
      <c r="BF759" t="str">
        <f>HYPERLINK("http://dx.doi.org/10.1080/15230430.2020.1837715","http://dx.doi.org/10.1080/15230430.2020.1837715")</f>
        <v>http://dx.doi.org/10.1080/15230430.2020.1837715</v>
      </c>
      <c r="BG759" t="s">
        <v>74</v>
      </c>
      <c r="BH759" t="s">
        <v>74</v>
      </c>
      <c r="BI759">
        <v>18</v>
      </c>
      <c r="BJ759" t="s">
        <v>13929</v>
      </c>
      <c r="BK759" t="s">
        <v>103</v>
      </c>
      <c r="BL759" t="s">
        <v>1828</v>
      </c>
      <c r="BM759" t="s">
        <v>14593</v>
      </c>
      <c r="BN759" t="s">
        <v>74</v>
      </c>
      <c r="BO759" t="s">
        <v>987</v>
      </c>
      <c r="BP759" t="s">
        <v>74</v>
      </c>
      <c r="BQ759" t="s">
        <v>74</v>
      </c>
      <c r="BR759" t="s">
        <v>106</v>
      </c>
      <c r="BS759" t="s">
        <v>14594</v>
      </c>
      <c r="BT759" t="str">
        <f>HYPERLINK("https%3A%2F%2Fwww.webofscience.com%2Fwos%2Fwoscc%2Ffull-record%2FWOS:000592413600001","View Full Record in Web of Science")</f>
        <v>View Full Record in Web of Science</v>
      </c>
    </row>
    <row r="760" spans="1:72" x14ac:dyDescent="0.15">
      <c r="A760" t="s">
        <v>12440</v>
      </c>
      <c r="B760" t="s">
        <v>14595</v>
      </c>
      <c r="C760" t="s">
        <v>74</v>
      </c>
      <c r="D760" t="s">
        <v>14596</v>
      </c>
      <c r="E760" t="s">
        <v>74</v>
      </c>
      <c r="F760" t="s">
        <v>14597</v>
      </c>
      <c r="G760" t="s">
        <v>74</v>
      </c>
      <c r="H760" t="s">
        <v>74</v>
      </c>
      <c r="I760" t="s">
        <v>14598</v>
      </c>
      <c r="J760" t="s">
        <v>14599</v>
      </c>
      <c r="K760" t="s">
        <v>74</v>
      </c>
      <c r="L760" t="s">
        <v>74</v>
      </c>
      <c r="M760" t="s">
        <v>78</v>
      </c>
      <c r="N760" t="s">
        <v>12447</v>
      </c>
      <c r="O760" t="s">
        <v>14600</v>
      </c>
      <c r="P760" t="s">
        <v>14601</v>
      </c>
      <c r="Q760" t="s">
        <v>14602</v>
      </c>
      <c r="R760" t="s">
        <v>74</v>
      </c>
      <c r="S760" t="s">
        <v>74</v>
      </c>
      <c r="T760" t="s">
        <v>14603</v>
      </c>
      <c r="U760" t="s">
        <v>14604</v>
      </c>
      <c r="V760" t="s">
        <v>14605</v>
      </c>
      <c r="W760" t="s">
        <v>14606</v>
      </c>
      <c r="X760" t="s">
        <v>3545</v>
      </c>
      <c r="Y760" t="s">
        <v>14607</v>
      </c>
      <c r="Z760" t="s">
        <v>14608</v>
      </c>
      <c r="AA760" t="s">
        <v>14609</v>
      </c>
      <c r="AB760" t="s">
        <v>14610</v>
      </c>
      <c r="AC760" t="s">
        <v>74</v>
      </c>
      <c r="AD760" t="s">
        <v>74</v>
      </c>
      <c r="AE760" t="s">
        <v>74</v>
      </c>
      <c r="AF760" t="s">
        <v>74</v>
      </c>
      <c r="AG760">
        <v>107</v>
      </c>
      <c r="AH760">
        <v>2</v>
      </c>
      <c r="AI760">
        <v>2</v>
      </c>
      <c r="AJ760">
        <v>0</v>
      </c>
      <c r="AK760">
        <v>11</v>
      </c>
      <c r="AL760" t="s">
        <v>12570</v>
      </c>
      <c r="AM760" t="s">
        <v>12571</v>
      </c>
      <c r="AN760" t="s">
        <v>12572</v>
      </c>
      <c r="AO760" t="s">
        <v>74</v>
      </c>
      <c r="AP760" t="s">
        <v>74</v>
      </c>
      <c r="AQ760" t="s">
        <v>14611</v>
      </c>
      <c r="AR760" t="s">
        <v>74</v>
      </c>
      <c r="AS760" t="s">
        <v>74</v>
      </c>
      <c r="AT760" t="s">
        <v>74</v>
      </c>
      <c r="AU760">
        <v>2020</v>
      </c>
      <c r="AV760" t="s">
        <v>74</v>
      </c>
      <c r="AW760" t="s">
        <v>74</v>
      </c>
      <c r="AX760" t="s">
        <v>74</v>
      </c>
      <c r="AY760" t="s">
        <v>74</v>
      </c>
      <c r="AZ760" t="s">
        <v>74</v>
      </c>
      <c r="BA760" t="s">
        <v>74</v>
      </c>
      <c r="BB760">
        <v>211</v>
      </c>
      <c r="BC760">
        <v>223</v>
      </c>
      <c r="BD760" t="s">
        <v>74</v>
      </c>
      <c r="BE760" t="s">
        <v>14612</v>
      </c>
      <c r="BF760" t="str">
        <f>HYPERLINK("http://dx.doi.org/10.1007/978-3-030-20389-4_11","http://dx.doi.org/10.1007/978-3-030-20389-4_11")</f>
        <v>http://dx.doi.org/10.1007/978-3-030-20389-4_11</v>
      </c>
      <c r="BG760" t="s">
        <v>74</v>
      </c>
      <c r="BH760" t="s">
        <v>74</v>
      </c>
      <c r="BI760">
        <v>13</v>
      </c>
      <c r="BJ760" t="s">
        <v>14613</v>
      </c>
      <c r="BK760" t="s">
        <v>12464</v>
      </c>
      <c r="BL760" t="s">
        <v>14614</v>
      </c>
      <c r="BM760" t="s">
        <v>14615</v>
      </c>
      <c r="BN760" t="s">
        <v>74</v>
      </c>
      <c r="BO760" t="s">
        <v>461</v>
      </c>
      <c r="BP760" t="s">
        <v>74</v>
      </c>
      <c r="BQ760" t="s">
        <v>74</v>
      </c>
      <c r="BR760" t="s">
        <v>106</v>
      </c>
      <c r="BS760" t="s">
        <v>14616</v>
      </c>
      <c r="BT760" t="str">
        <f>HYPERLINK("https%3A%2F%2Fwww.webofscience.com%2Fwos%2Fwoscc%2Ffull-record%2FWOS:000582468900011","View Full Record in Web of Science")</f>
        <v>View Full Record in Web of Science</v>
      </c>
    </row>
    <row r="761" spans="1:72" x14ac:dyDescent="0.15">
      <c r="A761" t="s">
        <v>12556</v>
      </c>
      <c r="B761" t="s">
        <v>14617</v>
      </c>
      <c r="C761" t="s">
        <v>74</v>
      </c>
      <c r="D761" t="s">
        <v>14618</v>
      </c>
      <c r="E761" t="s">
        <v>74</v>
      </c>
      <c r="F761" t="s">
        <v>14619</v>
      </c>
      <c r="G761" t="s">
        <v>74</v>
      </c>
      <c r="H761" t="s">
        <v>74</v>
      </c>
      <c r="I761" t="s">
        <v>14620</v>
      </c>
      <c r="J761" t="s">
        <v>14621</v>
      </c>
      <c r="K761" t="s">
        <v>14622</v>
      </c>
      <c r="L761" t="s">
        <v>74</v>
      </c>
      <c r="M761" t="s">
        <v>13514</v>
      </c>
      <c r="N761" t="s">
        <v>12422</v>
      </c>
      <c r="O761" t="s">
        <v>74</v>
      </c>
      <c r="P761" t="s">
        <v>74</v>
      </c>
      <c r="Q761" t="s">
        <v>74</v>
      </c>
      <c r="R761" t="s">
        <v>74</v>
      </c>
      <c r="S761" t="s">
        <v>74</v>
      </c>
      <c r="T761" t="s">
        <v>14623</v>
      </c>
      <c r="U761" t="s">
        <v>74</v>
      </c>
      <c r="V761" t="s">
        <v>14624</v>
      </c>
      <c r="W761" t="s">
        <v>14625</v>
      </c>
      <c r="X761" t="s">
        <v>14626</v>
      </c>
      <c r="Y761" t="s">
        <v>14627</v>
      </c>
      <c r="Z761" t="s">
        <v>14628</v>
      </c>
      <c r="AA761" t="s">
        <v>74</v>
      </c>
      <c r="AB761" t="s">
        <v>74</v>
      </c>
      <c r="AC761" t="s">
        <v>74</v>
      </c>
      <c r="AD761" t="s">
        <v>74</v>
      </c>
      <c r="AE761" t="s">
        <v>74</v>
      </c>
      <c r="AF761" t="s">
        <v>74</v>
      </c>
      <c r="AG761">
        <v>13</v>
      </c>
      <c r="AH761">
        <v>1</v>
      </c>
      <c r="AI761">
        <v>1</v>
      </c>
      <c r="AJ761">
        <v>1</v>
      </c>
      <c r="AK761">
        <v>2</v>
      </c>
      <c r="AL761" t="s">
        <v>14629</v>
      </c>
      <c r="AM761" t="s">
        <v>3623</v>
      </c>
      <c r="AN761" t="s">
        <v>14630</v>
      </c>
      <c r="AO761" t="s">
        <v>14631</v>
      </c>
      <c r="AP761" t="s">
        <v>74</v>
      </c>
      <c r="AQ761" t="s">
        <v>14632</v>
      </c>
      <c r="AR761" t="s">
        <v>14633</v>
      </c>
      <c r="AS761" t="s">
        <v>74</v>
      </c>
      <c r="AT761" t="s">
        <v>74</v>
      </c>
      <c r="AU761">
        <v>2020</v>
      </c>
      <c r="AV761">
        <v>25</v>
      </c>
      <c r="AW761" t="s">
        <v>74</v>
      </c>
      <c r="AX761" t="s">
        <v>74</v>
      </c>
      <c r="AY761" t="s">
        <v>74</v>
      </c>
      <c r="AZ761" t="s">
        <v>74</v>
      </c>
      <c r="BA761" t="s">
        <v>74</v>
      </c>
      <c r="BB761">
        <v>184</v>
      </c>
      <c r="BC761">
        <v>197</v>
      </c>
      <c r="BD761" t="s">
        <v>74</v>
      </c>
      <c r="BE761" t="s">
        <v>14634</v>
      </c>
      <c r="BF761" t="str">
        <f>HYPERLINK("http://dx.doi.org/10.24411/2618-6888-2020-10011","http://dx.doi.org/10.24411/2618-6888-2020-10011")</f>
        <v>http://dx.doi.org/10.24411/2618-6888-2020-10011</v>
      </c>
      <c r="BG761" t="s">
        <v>74</v>
      </c>
      <c r="BH761" t="s">
        <v>74</v>
      </c>
      <c r="BI761">
        <v>14</v>
      </c>
      <c r="BJ761" t="s">
        <v>14635</v>
      </c>
      <c r="BK761" t="s">
        <v>12552</v>
      </c>
      <c r="BL761" t="s">
        <v>14635</v>
      </c>
      <c r="BM761" t="s">
        <v>14636</v>
      </c>
      <c r="BN761" t="s">
        <v>74</v>
      </c>
      <c r="BO761" t="s">
        <v>74</v>
      </c>
      <c r="BP761" t="s">
        <v>74</v>
      </c>
      <c r="BQ761" t="s">
        <v>74</v>
      </c>
      <c r="BR761" t="s">
        <v>106</v>
      </c>
      <c r="BS761" t="s">
        <v>14637</v>
      </c>
      <c r="BT761" t="str">
        <f>HYPERLINK("https%3A%2F%2Fwww.webofscience.com%2Fwos%2Fwoscc%2Ffull-record%2FWOS:000589886300011","View Full Record in Web of Science")</f>
        <v>View Full Record in Web of Science</v>
      </c>
    </row>
    <row r="762" spans="1:72" x14ac:dyDescent="0.15">
      <c r="A762" t="s">
        <v>72</v>
      </c>
      <c r="B762" t="s">
        <v>14638</v>
      </c>
      <c r="C762" t="s">
        <v>74</v>
      </c>
      <c r="D762" t="s">
        <v>74</v>
      </c>
      <c r="E762" t="s">
        <v>74</v>
      </c>
      <c r="F762" t="s">
        <v>14639</v>
      </c>
      <c r="G762" t="s">
        <v>74</v>
      </c>
      <c r="H762" t="s">
        <v>74</v>
      </c>
      <c r="I762" t="s">
        <v>14640</v>
      </c>
      <c r="J762" t="s">
        <v>13911</v>
      </c>
      <c r="K762" t="s">
        <v>74</v>
      </c>
      <c r="L762" t="s">
        <v>74</v>
      </c>
      <c r="M762" t="s">
        <v>78</v>
      </c>
      <c r="N762" t="s">
        <v>79</v>
      </c>
      <c r="O762" t="s">
        <v>74</v>
      </c>
      <c r="P762" t="s">
        <v>74</v>
      </c>
      <c r="Q762" t="s">
        <v>74</v>
      </c>
      <c r="R762" t="s">
        <v>74</v>
      </c>
      <c r="S762" t="s">
        <v>74</v>
      </c>
      <c r="T762" t="s">
        <v>14641</v>
      </c>
      <c r="U762" t="s">
        <v>14642</v>
      </c>
      <c r="V762" t="s">
        <v>14643</v>
      </c>
      <c r="W762" t="s">
        <v>14644</v>
      </c>
      <c r="X762" t="s">
        <v>14645</v>
      </c>
      <c r="Y762" t="s">
        <v>14646</v>
      </c>
      <c r="Z762" t="s">
        <v>14647</v>
      </c>
      <c r="AA762" t="s">
        <v>14648</v>
      </c>
      <c r="AB762" t="s">
        <v>14649</v>
      </c>
      <c r="AC762" t="s">
        <v>14650</v>
      </c>
      <c r="AD762" t="s">
        <v>14651</v>
      </c>
      <c r="AE762" t="s">
        <v>14652</v>
      </c>
      <c r="AF762" t="s">
        <v>74</v>
      </c>
      <c r="AG762">
        <v>36</v>
      </c>
      <c r="AH762">
        <v>3</v>
      </c>
      <c r="AI762">
        <v>3</v>
      </c>
      <c r="AJ762">
        <v>1</v>
      </c>
      <c r="AK762">
        <v>9</v>
      </c>
      <c r="AL762" t="s">
        <v>2627</v>
      </c>
      <c r="AM762" t="s">
        <v>2628</v>
      </c>
      <c r="AN762" t="s">
        <v>2629</v>
      </c>
      <c r="AO762" t="s">
        <v>13924</v>
      </c>
      <c r="AP762" t="s">
        <v>13925</v>
      </c>
      <c r="AQ762" t="s">
        <v>74</v>
      </c>
      <c r="AR762" t="s">
        <v>13926</v>
      </c>
      <c r="AS762" t="s">
        <v>13927</v>
      </c>
      <c r="AT762" t="s">
        <v>12161</v>
      </c>
      <c r="AU762">
        <v>2020</v>
      </c>
      <c r="AV762">
        <v>52</v>
      </c>
      <c r="AW762">
        <v>1</v>
      </c>
      <c r="AX762" t="s">
        <v>74</v>
      </c>
      <c r="AY762" t="s">
        <v>74</v>
      </c>
      <c r="AZ762" t="s">
        <v>74</v>
      </c>
      <c r="BA762" t="s">
        <v>74</v>
      </c>
      <c r="BB762">
        <v>605</v>
      </c>
      <c r="BC762">
        <v>616</v>
      </c>
      <c r="BD762" t="s">
        <v>74</v>
      </c>
      <c r="BE762" t="s">
        <v>14653</v>
      </c>
      <c r="BF762" t="str">
        <f>HYPERLINK("http://dx.doi.org/10.1080/15230430.2020.1833681","http://dx.doi.org/10.1080/15230430.2020.1833681")</f>
        <v>http://dx.doi.org/10.1080/15230430.2020.1833681</v>
      </c>
      <c r="BG762" t="s">
        <v>74</v>
      </c>
      <c r="BH762" t="s">
        <v>74</v>
      </c>
      <c r="BI762">
        <v>12</v>
      </c>
      <c r="BJ762" t="s">
        <v>13929</v>
      </c>
      <c r="BK762" t="s">
        <v>103</v>
      </c>
      <c r="BL762" t="s">
        <v>1828</v>
      </c>
      <c r="BM762" t="s">
        <v>14654</v>
      </c>
      <c r="BN762" t="s">
        <v>74</v>
      </c>
      <c r="BO762" t="s">
        <v>2592</v>
      </c>
      <c r="BP762" t="s">
        <v>74</v>
      </c>
      <c r="BQ762" t="s">
        <v>74</v>
      </c>
      <c r="BR762" t="s">
        <v>106</v>
      </c>
      <c r="BS762" t="s">
        <v>14655</v>
      </c>
      <c r="BT762" t="str">
        <f>HYPERLINK("https%3A%2F%2Fwww.webofscience.com%2Fwos%2Fwoscc%2Ffull-record%2FWOS:000590251100001","View Full Record in Web of Science")</f>
        <v>View Full Record in Web of Science</v>
      </c>
    </row>
    <row r="763" spans="1:72" x14ac:dyDescent="0.15">
      <c r="A763" t="s">
        <v>72</v>
      </c>
      <c r="B763" t="s">
        <v>14656</v>
      </c>
      <c r="C763" t="s">
        <v>74</v>
      </c>
      <c r="D763" t="s">
        <v>74</v>
      </c>
      <c r="E763" t="s">
        <v>74</v>
      </c>
      <c r="F763" t="s">
        <v>14657</v>
      </c>
      <c r="G763" t="s">
        <v>74</v>
      </c>
      <c r="H763" t="s">
        <v>74</v>
      </c>
      <c r="I763" t="s">
        <v>14658</v>
      </c>
      <c r="J763" t="s">
        <v>14659</v>
      </c>
      <c r="K763" t="s">
        <v>74</v>
      </c>
      <c r="L763" t="s">
        <v>74</v>
      </c>
      <c r="M763" t="s">
        <v>78</v>
      </c>
      <c r="N763" t="s">
        <v>79</v>
      </c>
      <c r="O763" t="s">
        <v>74</v>
      </c>
      <c r="P763" t="s">
        <v>74</v>
      </c>
      <c r="Q763" t="s">
        <v>74</v>
      </c>
      <c r="R763" t="s">
        <v>74</v>
      </c>
      <c r="S763" t="s">
        <v>74</v>
      </c>
      <c r="T763" t="s">
        <v>74</v>
      </c>
      <c r="U763" t="s">
        <v>14660</v>
      </c>
      <c r="V763" t="s">
        <v>14661</v>
      </c>
      <c r="W763" t="s">
        <v>14662</v>
      </c>
      <c r="X763" t="s">
        <v>14663</v>
      </c>
      <c r="Y763" t="s">
        <v>14664</v>
      </c>
      <c r="Z763" t="s">
        <v>74</v>
      </c>
      <c r="AA763" t="s">
        <v>14665</v>
      </c>
      <c r="AB763" t="s">
        <v>14666</v>
      </c>
      <c r="AC763" t="s">
        <v>74</v>
      </c>
      <c r="AD763" t="s">
        <v>74</v>
      </c>
      <c r="AE763" t="s">
        <v>74</v>
      </c>
      <c r="AF763" t="s">
        <v>74</v>
      </c>
      <c r="AG763">
        <v>69</v>
      </c>
      <c r="AH763">
        <v>1</v>
      </c>
      <c r="AI763">
        <v>1</v>
      </c>
      <c r="AJ763">
        <v>0</v>
      </c>
      <c r="AK763">
        <v>4</v>
      </c>
      <c r="AL763" t="s">
        <v>14667</v>
      </c>
      <c r="AM763" t="s">
        <v>14668</v>
      </c>
      <c r="AN763" t="s">
        <v>14669</v>
      </c>
      <c r="AO763" t="s">
        <v>14670</v>
      </c>
      <c r="AP763" t="s">
        <v>74</v>
      </c>
      <c r="AQ763" t="s">
        <v>74</v>
      </c>
      <c r="AR763" t="s">
        <v>14671</v>
      </c>
      <c r="AS763" t="s">
        <v>14672</v>
      </c>
      <c r="AT763" t="s">
        <v>74</v>
      </c>
      <c r="AU763">
        <v>2020</v>
      </c>
      <c r="AV763">
        <v>37</v>
      </c>
      <c r="AW763">
        <v>6</v>
      </c>
      <c r="AX763" t="s">
        <v>74</v>
      </c>
      <c r="AY763" t="s">
        <v>74</v>
      </c>
      <c r="AZ763" t="s">
        <v>74</v>
      </c>
      <c r="BA763" t="s">
        <v>74</v>
      </c>
      <c r="BB763">
        <v>698</v>
      </c>
      <c r="BC763">
        <v>719</v>
      </c>
      <c r="BD763" t="s">
        <v>74</v>
      </c>
      <c r="BE763" t="s">
        <v>74</v>
      </c>
      <c r="BF763" t="s">
        <v>74</v>
      </c>
      <c r="BG763" t="s">
        <v>74</v>
      </c>
      <c r="BH763" t="s">
        <v>74</v>
      </c>
      <c r="BI763">
        <v>22</v>
      </c>
      <c r="BJ763" t="s">
        <v>9108</v>
      </c>
      <c r="BK763" t="s">
        <v>274</v>
      </c>
      <c r="BL763" t="s">
        <v>9109</v>
      </c>
      <c r="BM763" t="s">
        <v>14673</v>
      </c>
      <c r="BN763" t="s">
        <v>74</v>
      </c>
      <c r="BO763" t="s">
        <v>74</v>
      </c>
      <c r="BP763" t="s">
        <v>74</v>
      </c>
      <c r="BQ763" t="s">
        <v>74</v>
      </c>
      <c r="BR763" t="s">
        <v>106</v>
      </c>
      <c r="BS763" t="s">
        <v>14674</v>
      </c>
      <c r="BT763" t="str">
        <f>HYPERLINK("https%3A%2F%2Fwww.webofscience.com%2Fwos%2Fwoscc%2Ffull-record%2FWOS:000589234800004","View Full Record in Web of Science")</f>
        <v>View Full Record in Web of Science</v>
      </c>
    </row>
    <row r="764" spans="1:72" x14ac:dyDescent="0.15">
      <c r="A764" t="s">
        <v>72</v>
      </c>
      <c r="B764" t="s">
        <v>14675</v>
      </c>
      <c r="C764" t="s">
        <v>74</v>
      </c>
      <c r="D764" t="s">
        <v>74</v>
      </c>
      <c r="E764" t="s">
        <v>74</v>
      </c>
      <c r="F764" t="s">
        <v>14676</v>
      </c>
      <c r="G764" t="s">
        <v>74</v>
      </c>
      <c r="H764" t="s">
        <v>74</v>
      </c>
      <c r="I764" t="s">
        <v>14677</v>
      </c>
      <c r="J764" t="s">
        <v>14678</v>
      </c>
      <c r="K764" t="s">
        <v>74</v>
      </c>
      <c r="L764" t="s">
        <v>74</v>
      </c>
      <c r="M764" t="s">
        <v>78</v>
      </c>
      <c r="N764" t="s">
        <v>79</v>
      </c>
      <c r="O764" t="s">
        <v>74</v>
      </c>
      <c r="P764" t="s">
        <v>74</v>
      </c>
      <c r="Q764" t="s">
        <v>74</v>
      </c>
      <c r="R764" t="s">
        <v>74</v>
      </c>
      <c r="S764" t="s">
        <v>74</v>
      </c>
      <c r="T764" t="s">
        <v>14679</v>
      </c>
      <c r="U764" t="s">
        <v>14680</v>
      </c>
      <c r="V764" t="s">
        <v>14681</v>
      </c>
      <c r="W764" t="s">
        <v>14682</v>
      </c>
      <c r="X764" t="s">
        <v>14683</v>
      </c>
      <c r="Y764" t="s">
        <v>14684</v>
      </c>
      <c r="Z764" t="s">
        <v>14685</v>
      </c>
      <c r="AA764" t="s">
        <v>14686</v>
      </c>
      <c r="AB764" t="s">
        <v>14687</v>
      </c>
      <c r="AC764" t="s">
        <v>14688</v>
      </c>
      <c r="AD764" t="s">
        <v>14689</v>
      </c>
      <c r="AE764" t="s">
        <v>14690</v>
      </c>
      <c r="AF764" t="s">
        <v>74</v>
      </c>
      <c r="AG764">
        <v>29</v>
      </c>
      <c r="AH764">
        <v>1</v>
      </c>
      <c r="AI764">
        <v>1</v>
      </c>
      <c r="AJ764">
        <v>0</v>
      </c>
      <c r="AK764">
        <v>3</v>
      </c>
      <c r="AL764" t="s">
        <v>14691</v>
      </c>
      <c r="AM764" t="s">
        <v>7322</v>
      </c>
      <c r="AN764" t="s">
        <v>14692</v>
      </c>
      <c r="AO764" t="s">
        <v>14693</v>
      </c>
      <c r="AP764" t="s">
        <v>74</v>
      </c>
      <c r="AQ764" t="s">
        <v>74</v>
      </c>
      <c r="AR764" t="s">
        <v>14694</v>
      </c>
      <c r="AS764" t="s">
        <v>14695</v>
      </c>
      <c r="AT764" t="s">
        <v>74</v>
      </c>
      <c r="AU764">
        <v>2020</v>
      </c>
      <c r="AV764">
        <v>8</v>
      </c>
      <c r="AW764">
        <v>3</v>
      </c>
      <c r="AX764" t="s">
        <v>74</v>
      </c>
      <c r="AY764" t="s">
        <v>74</v>
      </c>
      <c r="AZ764" t="s">
        <v>74</v>
      </c>
      <c r="BA764" t="s">
        <v>74</v>
      </c>
      <c r="BB764">
        <v>860</v>
      </c>
      <c r="BC764">
        <v>890</v>
      </c>
      <c r="BD764" t="s">
        <v>74</v>
      </c>
      <c r="BE764" t="s">
        <v>14696</v>
      </c>
      <c r="BF764" t="str">
        <f>HYPERLINK("http://dx.doi.org/10.1137/19M1280466","http://dx.doi.org/10.1137/19M1280466")</f>
        <v>http://dx.doi.org/10.1137/19M1280466</v>
      </c>
      <c r="BG764" t="s">
        <v>74</v>
      </c>
      <c r="BH764" t="s">
        <v>74</v>
      </c>
      <c r="BI764">
        <v>31</v>
      </c>
      <c r="BJ764" t="s">
        <v>14697</v>
      </c>
      <c r="BK764" t="s">
        <v>103</v>
      </c>
      <c r="BL764" t="s">
        <v>14698</v>
      </c>
      <c r="BM764" t="s">
        <v>14699</v>
      </c>
      <c r="BN764" t="s">
        <v>74</v>
      </c>
      <c r="BO764" t="s">
        <v>193</v>
      </c>
      <c r="BP764" t="s">
        <v>74</v>
      </c>
      <c r="BQ764" t="s">
        <v>74</v>
      </c>
      <c r="BR764" t="s">
        <v>106</v>
      </c>
      <c r="BS764" t="s">
        <v>14700</v>
      </c>
      <c r="BT764" t="str">
        <f>HYPERLINK("https%3A%2F%2Fwww.webofscience.com%2Fwos%2Fwoscc%2Ffull-record%2FWOS:000590148500002","View Full Record in Web of Science")</f>
        <v>View Full Record in Web of Science</v>
      </c>
    </row>
    <row r="765" spans="1:72" x14ac:dyDescent="0.15">
      <c r="A765" t="s">
        <v>72</v>
      </c>
      <c r="B765" t="s">
        <v>14701</v>
      </c>
      <c r="C765" t="s">
        <v>74</v>
      </c>
      <c r="D765" t="s">
        <v>74</v>
      </c>
      <c r="E765" t="s">
        <v>74</v>
      </c>
      <c r="F765" t="s">
        <v>14702</v>
      </c>
      <c r="G765" t="s">
        <v>74</v>
      </c>
      <c r="H765" t="s">
        <v>74</v>
      </c>
      <c r="I765" t="s">
        <v>14703</v>
      </c>
      <c r="J765" t="s">
        <v>13911</v>
      </c>
      <c r="K765" t="s">
        <v>74</v>
      </c>
      <c r="L765" t="s">
        <v>74</v>
      </c>
      <c r="M765" t="s">
        <v>78</v>
      </c>
      <c r="N765" t="s">
        <v>79</v>
      </c>
      <c r="O765" t="s">
        <v>74</v>
      </c>
      <c r="P765" t="s">
        <v>74</v>
      </c>
      <c r="Q765" t="s">
        <v>74</v>
      </c>
      <c r="R765" t="s">
        <v>74</v>
      </c>
      <c r="S765" t="s">
        <v>74</v>
      </c>
      <c r="T765" t="s">
        <v>14704</v>
      </c>
      <c r="U765" t="s">
        <v>14705</v>
      </c>
      <c r="V765" t="s">
        <v>14706</v>
      </c>
      <c r="W765" t="s">
        <v>14707</v>
      </c>
      <c r="X765" t="s">
        <v>14708</v>
      </c>
      <c r="Y765" t="s">
        <v>14709</v>
      </c>
      <c r="Z765" t="s">
        <v>14710</v>
      </c>
      <c r="AA765" t="s">
        <v>74</v>
      </c>
      <c r="AB765" t="s">
        <v>14711</v>
      </c>
      <c r="AC765" t="s">
        <v>14712</v>
      </c>
      <c r="AD765" t="s">
        <v>14713</v>
      </c>
      <c r="AE765" t="s">
        <v>14714</v>
      </c>
      <c r="AF765" t="s">
        <v>74</v>
      </c>
      <c r="AG765">
        <v>85</v>
      </c>
      <c r="AH765">
        <v>6</v>
      </c>
      <c r="AI765">
        <v>7</v>
      </c>
      <c r="AJ765">
        <v>3</v>
      </c>
      <c r="AK765">
        <v>9</v>
      </c>
      <c r="AL765" t="s">
        <v>2627</v>
      </c>
      <c r="AM765" t="s">
        <v>2628</v>
      </c>
      <c r="AN765" t="s">
        <v>2629</v>
      </c>
      <c r="AO765" t="s">
        <v>13924</v>
      </c>
      <c r="AP765" t="s">
        <v>13925</v>
      </c>
      <c r="AQ765" t="s">
        <v>74</v>
      </c>
      <c r="AR765" t="s">
        <v>13926</v>
      </c>
      <c r="AS765" t="s">
        <v>13927</v>
      </c>
      <c r="AT765" t="s">
        <v>12161</v>
      </c>
      <c r="AU765">
        <v>2020</v>
      </c>
      <c r="AV765">
        <v>52</v>
      </c>
      <c r="AW765">
        <v>1</v>
      </c>
      <c r="AX765" t="s">
        <v>74</v>
      </c>
      <c r="AY765" t="s">
        <v>74</v>
      </c>
      <c r="AZ765" t="s">
        <v>74</v>
      </c>
      <c r="BA765" t="s">
        <v>74</v>
      </c>
      <c r="BB765">
        <v>563</v>
      </c>
      <c r="BC765">
        <v>581</v>
      </c>
      <c r="BD765" t="s">
        <v>74</v>
      </c>
      <c r="BE765" t="s">
        <v>14715</v>
      </c>
      <c r="BF765" t="str">
        <f>HYPERLINK("http://dx.doi.org/10.1080/15230430.2020.1822728","http://dx.doi.org/10.1080/15230430.2020.1822728")</f>
        <v>http://dx.doi.org/10.1080/15230430.2020.1822728</v>
      </c>
      <c r="BG765" t="s">
        <v>74</v>
      </c>
      <c r="BH765" t="s">
        <v>74</v>
      </c>
      <c r="BI765">
        <v>19</v>
      </c>
      <c r="BJ765" t="s">
        <v>13929</v>
      </c>
      <c r="BK765" t="s">
        <v>103</v>
      </c>
      <c r="BL765" t="s">
        <v>1828</v>
      </c>
      <c r="BM765" t="s">
        <v>14716</v>
      </c>
      <c r="BN765" t="s">
        <v>74</v>
      </c>
      <c r="BO765" t="s">
        <v>2592</v>
      </c>
      <c r="BP765" t="s">
        <v>74</v>
      </c>
      <c r="BQ765" t="s">
        <v>74</v>
      </c>
      <c r="BR765" t="s">
        <v>106</v>
      </c>
      <c r="BS765" t="s">
        <v>14717</v>
      </c>
      <c r="BT765" t="str">
        <f>HYPERLINK("https%3A%2F%2Fwww.webofscience.com%2Fwos%2Fwoscc%2Ffull-record%2FWOS:000589636000001","View Full Record in Web of Science")</f>
        <v>View Full Record in Web of Science</v>
      </c>
    </row>
    <row r="766" spans="1:72" x14ac:dyDescent="0.15">
      <c r="A766" t="s">
        <v>72</v>
      </c>
      <c r="B766" t="s">
        <v>14718</v>
      </c>
      <c r="C766" t="s">
        <v>74</v>
      </c>
      <c r="D766" t="s">
        <v>74</v>
      </c>
      <c r="E766" t="s">
        <v>74</v>
      </c>
      <c r="F766" t="s">
        <v>14719</v>
      </c>
      <c r="G766" t="s">
        <v>74</v>
      </c>
      <c r="H766" t="s">
        <v>74</v>
      </c>
      <c r="I766" t="s">
        <v>14720</v>
      </c>
      <c r="J766" t="s">
        <v>14721</v>
      </c>
      <c r="K766" t="s">
        <v>74</v>
      </c>
      <c r="L766" t="s">
        <v>74</v>
      </c>
      <c r="M766" t="s">
        <v>78</v>
      </c>
      <c r="N766" t="s">
        <v>1434</v>
      </c>
      <c r="O766" t="s">
        <v>74</v>
      </c>
      <c r="P766" t="s">
        <v>74</v>
      </c>
      <c r="Q766" t="s">
        <v>74</v>
      </c>
      <c r="R766" t="s">
        <v>74</v>
      </c>
      <c r="S766" t="s">
        <v>74</v>
      </c>
      <c r="T766" t="s">
        <v>14722</v>
      </c>
      <c r="U766" t="s">
        <v>14723</v>
      </c>
      <c r="V766" t="s">
        <v>14724</v>
      </c>
      <c r="W766" t="s">
        <v>14725</v>
      </c>
      <c r="X766" t="s">
        <v>3457</v>
      </c>
      <c r="Y766" t="s">
        <v>14726</v>
      </c>
      <c r="Z766" t="s">
        <v>14727</v>
      </c>
      <c r="AA766" t="s">
        <v>14728</v>
      </c>
      <c r="AB766" t="s">
        <v>14729</v>
      </c>
      <c r="AC766" t="s">
        <v>14730</v>
      </c>
      <c r="AD766" t="s">
        <v>14731</v>
      </c>
      <c r="AE766" t="s">
        <v>14732</v>
      </c>
      <c r="AF766" t="s">
        <v>74</v>
      </c>
      <c r="AG766">
        <v>156</v>
      </c>
      <c r="AH766">
        <v>5</v>
      </c>
      <c r="AI766">
        <v>5</v>
      </c>
      <c r="AJ766">
        <v>5</v>
      </c>
      <c r="AK766">
        <v>22</v>
      </c>
      <c r="AL766" t="s">
        <v>14008</v>
      </c>
      <c r="AM766" t="s">
        <v>14009</v>
      </c>
      <c r="AN766" t="s">
        <v>14010</v>
      </c>
      <c r="AO766" t="s">
        <v>14733</v>
      </c>
      <c r="AP766" t="s">
        <v>14734</v>
      </c>
      <c r="AQ766" t="s">
        <v>74</v>
      </c>
      <c r="AR766" t="s">
        <v>14735</v>
      </c>
      <c r="AS766" t="s">
        <v>14736</v>
      </c>
      <c r="AT766" t="s">
        <v>74</v>
      </c>
      <c r="AU766">
        <v>2020</v>
      </c>
      <c r="AV766">
        <v>26</v>
      </c>
      <c r="AW766">
        <v>2</v>
      </c>
      <c r="AX766" t="s">
        <v>74</v>
      </c>
      <c r="AY766" t="s">
        <v>74</v>
      </c>
      <c r="AZ766" t="s">
        <v>74</v>
      </c>
      <c r="BA766" t="s">
        <v>74</v>
      </c>
      <c r="BB766">
        <v>105</v>
      </c>
      <c r="BC766">
        <v>129</v>
      </c>
      <c r="BD766" t="s">
        <v>74</v>
      </c>
      <c r="BE766" t="s">
        <v>14737</v>
      </c>
      <c r="BF766" t="str">
        <f>HYPERLINK("http://dx.doi.org/10.1071/PC19016","http://dx.doi.org/10.1071/PC19016")</f>
        <v>http://dx.doi.org/10.1071/PC19016</v>
      </c>
      <c r="BG766" t="s">
        <v>74</v>
      </c>
      <c r="BH766" t="s">
        <v>74</v>
      </c>
      <c r="BI766">
        <v>25</v>
      </c>
      <c r="BJ766" t="s">
        <v>130</v>
      </c>
      <c r="BK766" t="s">
        <v>274</v>
      </c>
      <c r="BL766" t="s">
        <v>131</v>
      </c>
      <c r="BM766" t="s">
        <v>14738</v>
      </c>
      <c r="BN766" t="s">
        <v>74</v>
      </c>
      <c r="BO766" t="s">
        <v>74</v>
      </c>
      <c r="BP766" t="s">
        <v>74</v>
      </c>
      <c r="BQ766" t="s">
        <v>74</v>
      </c>
      <c r="BR766" t="s">
        <v>106</v>
      </c>
      <c r="BS766" t="s">
        <v>14739</v>
      </c>
      <c r="BT766" t="str">
        <f>HYPERLINK("https%3A%2F%2Fwww.webofscience.com%2Fwos%2Fwoscc%2Ffull-record%2FWOS:000568172700003","View Full Record in Web of Science")</f>
        <v>View Full Record in Web of Science</v>
      </c>
    </row>
    <row r="767" spans="1:72" x14ac:dyDescent="0.15">
      <c r="A767" t="s">
        <v>72</v>
      </c>
      <c r="B767" t="s">
        <v>14740</v>
      </c>
      <c r="C767" t="s">
        <v>74</v>
      </c>
      <c r="D767" t="s">
        <v>74</v>
      </c>
      <c r="E767" t="s">
        <v>74</v>
      </c>
      <c r="F767" t="s">
        <v>14741</v>
      </c>
      <c r="G767" t="s">
        <v>74</v>
      </c>
      <c r="H767" t="s">
        <v>74</v>
      </c>
      <c r="I767" t="s">
        <v>14742</v>
      </c>
      <c r="J767" t="s">
        <v>13911</v>
      </c>
      <c r="K767" t="s">
        <v>74</v>
      </c>
      <c r="L767" t="s">
        <v>74</v>
      </c>
      <c r="M767" t="s">
        <v>78</v>
      </c>
      <c r="N767" t="s">
        <v>79</v>
      </c>
      <c r="O767" t="s">
        <v>74</v>
      </c>
      <c r="P767" t="s">
        <v>74</v>
      </c>
      <c r="Q767" t="s">
        <v>74</v>
      </c>
      <c r="R767" t="s">
        <v>74</v>
      </c>
      <c r="S767" t="s">
        <v>74</v>
      </c>
      <c r="T767" t="s">
        <v>14743</v>
      </c>
      <c r="U767" t="s">
        <v>14744</v>
      </c>
      <c r="V767" t="s">
        <v>14745</v>
      </c>
      <c r="W767" t="s">
        <v>14746</v>
      </c>
      <c r="X767" t="s">
        <v>14747</v>
      </c>
      <c r="Y767" t="s">
        <v>14748</v>
      </c>
      <c r="Z767" t="s">
        <v>14749</v>
      </c>
      <c r="AA767" t="s">
        <v>14750</v>
      </c>
      <c r="AB767" t="s">
        <v>14751</v>
      </c>
      <c r="AC767" t="s">
        <v>14752</v>
      </c>
      <c r="AD767" t="s">
        <v>14753</v>
      </c>
      <c r="AE767" t="s">
        <v>14754</v>
      </c>
      <c r="AF767" t="s">
        <v>74</v>
      </c>
      <c r="AG767">
        <v>71</v>
      </c>
      <c r="AH767">
        <v>4</v>
      </c>
      <c r="AI767">
        <v>5</v>
      </c>
      <c r="AJ767">
        <v>3</v>
      </c>
      <c r="AK767">
        <v>23</v>
      </c>
      <c r="AL767" t="s">
        <v>2627</v>
      </c>
      <c r="AM767" t="s">
        <v>2628</v>
      </c>
      <c r="AN767" t="s">
        <v>2629</v>
      </c>
      <c r="AO767" t="s">
        <v>13924</v>
      </c>
      <c r="AP767" t="s">
        <v>13925</v>
      </c>
      <c r="AQ767" t="s">
        <v>74</v>
      </c>
      <c r="AR767" t="s">
        <v>13926</v>
      </c>
      <c r="AS767" t="s">
        <v>13927</v>
      </c>
      <c r="AT767" t="s">
        <v>12161</v>
      </c>
      <c r="AU767">
        <v>2020</v>
      </c>
      <c r="AV767">
        <v>52</v>
      </c>
      <c r="AW767">
        <v>1</v>
      </c>
      <c r="AX767" t="s">
        <v>74</v>
      </c>
      <c r="AY767" t="s">
        <v>74</v>
      </c>
      <c r="AZ767" t="s">
        <v>74</v>
      </c>
      <c r="BA767" t="s">
        <v>74</v>
      </c>
      <c r="BB767">
        <v>582</v>
      </c>
      <c r="BC767">
        <v>595</v>
      </c>
      <c r="BD767" t="s">
        <v>74</v>
      </c>
      <c r="BE767" t="s">
        <v>14755</v>
      </c>
      <c r="BF767" t="str">
        <f>HYPERLINK("http://dx.doi.org/10.1080/15230430.2020.1824558","http://dx.doi.org/10.1080/15230430.2020.1824558")</f>
        <v>http://dx.doi.org/10.1080/15230430.2020.1824558</v>
      </c>
      <c r="BG767" t="s">
        <v>74</v>
      </c>
      <c r="BH767" t="s">
        <v>74</v>
      </c>
      <c r="BI767">
        <v>14</v>
      </c>
      <c r="BJ767" t="s">
        <v>13929</v>
      </c>
      <c r="BK767" t="s">
        <v>103</v>
      </c>
      <c r="BL767" t="s">
        <v>1828</v>
      </c>
      <c r="BM767" t="s">
        <v>14756</v>
      </c>
      <c r="BN767" t="s">
        <v>74</v>
      </c>
      <c r="BO767" t="s">
        <v>2592</v>
      </c>
      <c r="BP767" t="s">
        <v>74</v>
      </c>
      <c r="BQ767" t="s">
        <v>74</v>
      </c>
      <c r="BR767" t="s">
        <v>106</v>
      </c>
      <c r="BS767" t="s">
        <v>14757</v>
      </c>
      <c r="BT767" t="str">
        <f>HYPERLINK("https%3A%2F%2Fwww.webofscience.com%2Fwos%2Fwoscc%2Ffull-record%2FWOS:000588346300001","View Full Record in Web of Science")</f>
        <v>View Full Record in Web of Science</v>
      </c>
    </row>
    <row r="768" spans="1:72" x14ac:dyDescent="0.15">
      <c r="A768" t="s">
        <v>72</v>
      </c>
      <c r="B768" t="s">
        <v>14758</v>
      </c>
      <c r="C768" t="s">
        <v>74</v>
      </c>
      <c r="D768" t="s">
        <v>74</v>
      </c>
      <c r="E768" t="s">
        <v>74</v>
      </c>
      <c r="F768" t="s">
        <v>14759</v>
      </c>
      <c r="G768" t="s">
        <v>74</v>
      </c>
      <c r="H768" t="s">
        <v>74</v>
      </c>
      <c r="I768" t="s">
        <v>14760</v>
      </c>
      <c r="J768" t="s">
        <v>13911</v>
      </c>
      <c r="K768" t="s">
        <v>74</v>
      </c>
      <c r="L768" t="s">
        <v>74</v>
      </c>
      <c r="M768" t="s">
        <v>78</v>
      </c>
      <c r="N768" t="s">
        <v>79</v>
      </c>
      <c r="O768" t="s">
        <v>74</v>
      </c>
      <c r="P768" t="s">
        <v>74</v>
      </c>
      <c r="Q768" t="s">
        <v>74</v>
      </c>
      <c r="R768" t="s">
        <v>74</v>
      </c>
      <c r="S768" t="s">
        <v>74</v>
      </c>
      <c r="T768" t="s">
        <v>14761</v>
      </c>
      <c r="U768" t="s">
        <v>14762</v>
      </c>
      <c r="V768" t="s">
        <v>14763</v>
      </c>
      <c r="W768" t="s">
        <v>14764</v>
      </c>
      <c r="X768" t="s">
        <v>14765</v>
      </c>
      <c r="Y768" t="s">
        <v>14766</v>
      </c>
      <c r="Z768" t="s">
        <v>14767</v>
      </c>
      <c r="AA768" t="s">
        <v>14768</v>
      </c>
      <c r="AB768" t="s">
        <v>14769</v>
      </c>
      <c r="AC768" t="s">
        <v>14770</v>
      </c>
      <c r="AD768" t="s">
        <v>14771</v>
      </c>
      <c r="AE768" t="s">
        <v>14772</v>
      </c>
      <c r="AF768" t="s">
        <v>74</v>
      </c>
      <c r="AG768">
        <v>65</v>
      </c>
      <c r="AH768">
        <v>1</v>
      </c>
      <c r="AI768">
        <v>2</v>
      </c>
      <c r="AJ768">
        <v>1</v>
      </c>
      <c r="AK768">
        <v>4</v>
      </c>
      <c r="AL768" t="s">
        <v>2627</v>
      </c>
      <c r="AM768" t="s">
        <v>2628</v>
      </c>
      <c r="AN768" t="s">
        <v>2629</v>
      </c>
      <c r="AO768" t="s">
        <v>13924</v>
      </c>
      <c r="AP768" t="s">
        <v>13925</v>
      </c>
      <c r="AQ768" t="s">
        <v>74</v>
      </c>
      <c r="AR768" t="s">
        <v>13926</v>
      </c>
      <c r="AS768" t="s">
        <v>13927</v>
      </c>
      <c r="AT768" t="s">
        <v>12161</v>
      </c>
      <c r="AU768">
        <v>2020</v>
      </c>
      <c r="AV768">
        <v>52</v>
      </c>
      <c r="AW768">
        <v>1</v>
      </c>
      <c r="AX768" t="s">
        <v>74</v>
      </c>
      <c r="AY768" t="s">
        <v>74</v>
      </c>
      <c r="AZ768" t="s">
        <v>74</v>
      </c>
      <c r="BA768" t="s">
        <v>74</v>
      </c>
      <c r="BB768">
        <v>596</v>
      </c>
      <c r="BC768">
        <v>604</v>
      </c>
      <c r="BD768" t="s">
        <v>74</v>
      </c>
      <c r="BE768" t="s">
        <v>14773</v>
      </c>
      <c r="BF768" t="str">
        <f>HYPERLINK("http://dx.doi.org/10.1080/15230430.2020.1827577","http://dx.doi.org/10.1080/15230430.2020.1827577")</f>
        <v>http://dx.doi.org/10.1080/15230430.2020.1827577</v>
      </c>
      <c r="BG768" t="s">
        <v>74</v>
      </c>
      <c r="BH768" t="s">
        <v>74</v>
      </c>
      <c r="BI768">
        <v>9</v>
      </c>
      <c r="BJ768" t="s">
        <v>13929</v>
      </c>
      <c r="BK768" t="s">
        <v>103</v>
      </c>
      <c r="BL768" t="s">
        <v>1828</v>
      </c>
      <c r="BM768" t="s">
        <v>14774</v>
      </c>
      <c r="BN768" t="s">
        <v>74</v>
      </c>
      <c r="BO768" t="s">
        <v>2592</v>
      </c>
      <c r="BP768" t="s">
        <v>74</v>
      </c>
      <c r="BQ768" t="s">
        <v>74</v>
      </c>
      <c r="BR768" t="s">
        <v>106</v>
      </c>
      <c r="BS768" t="s">
        <v>14775</v>
      </c>
      <c r="BT768" t="str">
        <f>HYPERLINK("https%3A%2F%2Fwww.webofscience.com%2Fwos%2Fwoscc%2Ffull-record%2FWOS:000588346000001","View Full Record in Web of Science")</f>
        <v>View Full Record in Web of Science</v>
      </c>
    </row>
    <row r="769" spans="1:72" x14ac:dyDescent="0.15">
      <c r="A769" t="s">
        <v>72</v>
      </c>
      <c r="B769" t="s">
        <v>14776</v>
      </c>
      <c r="C769" t="s">
        <v>74</v>
      </c>
      <c r="D769" t="s">
        <v>74</v>
      </c>
      <c r="E769" t="s">
        <v>74</v>
      </c>
      <c r="F769" t="s">
        <v>14777</v>
      </c>
      <c r="G769" t="s">
        <v>74</v>
      </c>
      <c r="H769" t="s">
        <v>74</v>
      </c>
      <c r="I769" t="s">
        <v>14778</v>
      </c>
      <c r="J769" t="s">
        <v>14779</v>
      </c>
      <c r="K769" t="s">
        <v>74</v>
      </c>
      <c r="L769" t="s">
        <v>74</v>
      </c>
      <c r="M769" t="s">
        <v>13514</v>
      </c>
      <c r="N769" t="s">
        <v>79</v>
      </c>
      <c r="O769" t="s">
        <v>74</v>
      </c>
      <c r="P769" t="s">
        <v>74</v>
      </c>
      <c r="Q769" t="s">
        <v>74</v>
      </c>
      <c r="R769" t="s">
        <v>74</v>
      </c>
      <c r="S769" t="s">
        <v>74</v>
      </c>
      <c r="T769" t="s">
        <v>14780</v>
      </c>
      <c r="U769" t="s">
        <v>74</v>
      </c>
      <c r="V769" t="s">
        <v>14781</v>
      </c>
      <c r="W769" t="s">
        <v>14782</v>
      </c>
      <c r="X769" t="s">
        <v>3637</v>
      </c>
      <c r="Y769" t="s">
        <v>14783</v>
      </c>
      <c r="Z769" t="s">
        <v>14784</v>
      </c>
      <c r="AA769" t="s">
        <v>14785</v>
      </c>
      <c r="AB769" t="s">
        <v>14786</v>
      </c>
      <c r="AC769" t="s">
        <v>74</v>
      </c>
      <c r="AD769" t="s">
        <v>74</v>
      </c>
      <c r="AE769" t="s">
        <v>74</v>
      </c>
      <c r="AF769" t="s">
        <v>74</v>
      </c>
      <c r="AG769">
        <v>25</v>
      </c>
      <c r="AH769">
        <v>1</v>
      </c>
      <c r="AI769">
        <v>3</v>
      </c>
      <c r="AJ769">
        <v>0</v>
      </c>
      <c r="AK769">
        <v>0</v>
      </c>
      <c r="AL769" t="s">
        <v>14787</v>
      </c>
      <c r="AM769" t="s">
        <v>3623</v>
      </c>
      <c r="AN769" t="s">
        <v>14788</v>
      </c>
      <c r="AO769" t="s">
        <v>14789</v>
      </c>
      <c r="AP769" t="s">
        <v>14790</v>
      </c>
      <c r="AQ769" t="s">
        <v>74</v>
      </c>
      <c r="AR769" t="s">
        <v>14791</v>
      </c>
      <c r="AS769" t="s">
        <v>14792</v>
      </c>
      <c r="AT769" t="s">
        <v>74</v>
      </c>
      <c r="AU769">
        <v>2020</v>
      </c>
      <c r="AV769">
        <v>60</v>
      </c>
      <c r="AW769">
        <v>4</v>
      </c>
      <c r="AX769" t="s">
        <v>74</v>
      </c>
      <c r="AY769" t="s">
        <v>74</v>
      </c>
      <c r="AZ769" t="s">
        <v>74</v>
      </c>
      <c r="BA769" t="s">
        <v>74</v>
      </c>
      <c r="BB769">
        <v>547</v>
      </c>
      <c r="BC769">
        <v>556</v>
      </c>
      <c r="BD769" t="s">
        <v>74</v>
      </c>
      <c r="BE769" t="s">
        <v>14793</v>
      </c>
      <c r="BF769" t="str">
        <f>HYPERLINK("http://dx.doi.org/10.31857/S2076673420040059","http://dx.doi.org/10.31857/S2076673420040059")</f>
        <v>http://dx.doi.org/10.31857/S2076673420040059</v>
      </c>
      <c r="BG769" t="s">
        <v>74</v>
      </c>
      <c r="BH769" t="s">
        <v>74</v>
      </c>
      <c r="BI769">
        <v>10</v>
      </c>
      <c r="BJ769" t="s">
        <v>246</v>
      </c>
      <c r="BK769" t="s">
        <v>274</v>
      </c>
      <c r="BL769" t="s">
        <v>247</v>
      </c>
      <c r="BM769" t="s">
        <v>14794</v>
      </c>
      <c r="BN769" t="s">
        <v>74</v>
      </c>
      <c r="BO769" t="s">
        <v>2592</v>
      </c>
      <c r="BP769" t="s">
        <v>74</v>
      </c>
      <c r="BQ769" t="s">
        <v>74</v>
      </c>
      <c r="BR769" t="s">
        <v>106</v>
      </c>
      <c r="BS769" t="s">
        <v>14795</v>
      </c>
      <c r="BT769" t="str">
        <f>HYPERLINK("https%3A%2F%2Fwww.webofscience.com%2Fwos%2Fwoscc%2Ffull-record%2FWOS:000588489900006","View Full Record in Web of Science")</f>
        <v>View Full Record in Web of Science</v>
      </c>
    </row>
    <row r="770" spans="1:72" x14ac:dyDescent="0.15">
      <c r="A770" t="s">
        <v>72</v>
      </c>
      <c r="B770" t="s">
        <v>14796</v>
      </c>
      <c r="C770" t="s">
        <v>74</v>
      </c>
      <c r="D770" t="s">
        <v>74</v>
      </c>
      <c r="E770" t="s">
        <v>74</v>
      </c>
      <c r="F770" t="s">
        <v>14797</v>
      </c>
      <c r="G770" t="s">
        <v>74</v>
      </c>
      <c r="H770" t="s">
        <v>74</v>
      </c>
      <c r="I770" t="s">
        <v>14798</v>
      </c>
      <c r="J770" t="s">
        <v>14779</v>
      </c>
      <c r="K770" t="s">
        <v>74</v>
      </c>
      <c r="L770" t="s">
        <v>74</v>
      </c>
      <c r="M770" t="s">
        <v>13514</v>
      </c>
      <c r="N770" t="s">
        <v>79</v>
      </c>
      <c r="O770" t="s">
        <v>74</v>
      </c>
      <c r="P770" t="s">
        <v>74</v>
      </c>
      <c r="Q770" t="s">
        <v>74</v>
      </c>
      <c r="R770" t="s">
        <v>74</v>
      </c>
      <c r="S770" t="s">
        <v>74</v>
      </c>
      <c r="T770" t="s">
        <v>14799</v>
      </c>
      <c r="U770" t="s">
        <v>74</v>
      </c>
      <c r="V770" t="s">
        <v>14800</v>
      </c>
      <c r="W770" t="s">
        <v>14801</v>
      </c>
      <c r="X770" t="s">
        <v>14802</v>
      </c>
      <c r="Y770" t="s">
        <v>14803</v>
      </c>
      <c r="Z770" t="s">
        <v>14804</v>
      </c>
      <c r="AA770" t="s">
        <v>14805</v>
      </c>
      <c r="AB770" t="s">
        <v>74</v>
      </c>
      <c r="AC770" t="s">
        <v>14806</v>
      </c>
      <c r="AD770" t="s">
        <v>12878</v>
      </c>
      <c r="AE770" t="s">
        <v>14807</v>
      </c>
      <c r="AF770" t="s">
        <v>74</v>
      </c>
      <c r="AG770">
        <v>18</v>
      </c>
      <c r="AH770">
        <v>1</v>
      </c>
      <c r="AI770">
        <v>1</v>
      </c>
      <c r="AJ770">
        <v>0</v>
      </c>
      <c r="AK770">
        <v>0</v>
      </c>
      <c r="AL770" t="s">
        <v>14787</v>
      </c>
      <c r="AM770" t="s">
        <v>3623</v>
      </c>
      <c r="AN770" t="s">
        <v>14788</v>
      </c>
      <c r="AO770" t="s">
        <v>14789</v>
      </c>
      <c r="AP770" t="s">
        <v>14790</v>
      </c>
      <c r="AQ770" t="s">
        <v>74</v>
      </c>
      <c r="AR770" t="s">
        <v>14791</v>
      </c>
      <c r="AS770" t="s">
        <v>14792</v>
      </c>
      <c r="AT770" t="s">
        <v>74</v>
      </c>
      <c r="AU770">
        <v>2020</v>
      </c>
      <c r="AV770">
        <v>60</v>
      </c>
      <c r="AW770">
        <v>4</v>
      </c>
      <c r="AX770" t="s">
        <v>74</v>
      </c>
      <c r="AY770" t="s">
        <v>74</v>
      </c>
      <c r="AZ770" t="s">
        <v>74</v>
      </c>
      <c r="BA770" t="s">
        <v>74</v>
      </c>
      <c r="BB770">
        <v>557</v>
      </c>
      <c r="BC770">
        <v>566</v>
      </c>
      <c r="BD770" t="s">
        <v>74</v>
      </c>
      <c r="BE770" t="s">
        <v>14808</v>
      </c>
      <c r="BF770" t="str">
        <f>HYPERLINK("http://dx.doi.org/10.31857/S2076673420040060","http://dx.doi.org/10.31857/S2076673420040060")</f>
        <v>http://dx.doi.org/10.31857/S2076673420040060</v>
      </c>
      <c r="BG770" t="s">
        <v>74</v>
      </c>
      <c r="BH770" t="s">
        <v>74</v>
      </c>
      <c r="BI770">
        <v>10</v>
      </c>
      <c r="BJ770" t="s">
        <v>246</v>
      </c>
      <c r="BK770" t="s">
        <v>274</v>
      </c>
      <c r="BL770" t="s">
        <v>247</v>
      </c>
      <c r="BM770" t="s">
        <v>14794</v>
      </c>
      <c r="BN770" t="s">
        <v>74</v>
      </c>
      <c r="BO770" t="s">
        <v>5395</v>
      </c>
      <c r="BP770" t="s">
        <v>74</v>
      </c>
      <c r="BQ770" t="s">
        <v>74</v>
      </c>
      <c r="BR770" t="s">
        <v>106</v>
      </c>
      <c r="BS770" t="s">
        <v>14809</v>
      </c>
      <c r="BT770" t="str">
        <f>HYPERLINK("https%3A%2F%2Fwww.webofscience.com%2Fwos%2Fwoscc%2Ffull-record%2FWOS:000588489900007","View Full Record in Web of Science")</f>
        <v>View Full Record in Web of Science</v>
      </c>
    </row>
    <row r="771" spans="1:72" x14ac:dyDescent="0.15">
      <c r="A771" t="s">
        <v>72</v>
      </c>
      <c r="B771" t="s">
        <v>14810</v>
      </c>
      <c r="C771" t="s">
        <v>74</v>
      </c>
      <c r="D771" t="s">
        <v>74</v>
      </c>
      <c r="E771" t="s">
        <v>74</v>
      </c>
      <c r="F771" t="s">
        <v>14811</v>
      </c>
      <c r="G771" t="s">
        <v>74</v>
      </c>
      <c r="H771" t="s">
        <v>74</v>
      </c>
      <c r="I771" t="s">
        <v>14812</v>
      </c>
      <c r="J771" t="s">
        <v>14779</v>
      </c>
      <c r="K771" t="s">
        <v>74</v>
      </c>
      <c r="L771" t="s">
        <v>74</v>
      </c>
      <c r="M771" t="s">
        <v>13514</v>
      </c>
      <c r="N771" t="s">
        <v>79</v>
      </c>
      <c r="O771" t="s">
        <v>74</v>
      </c>
      <c r="P771" t="s">
        <v>74</v>
      </c>
      <c r="Q771" t="s">
        <v>74</v>
      </c>
      <c r="R771" t="s">
        <v>74</v>
      </c>
      <c r="S771" t="s">
        <v>74</v>
      </c>
      <c r="T771" t="s">
        <v>14813</v>
      </c>
      <c r="U771" t="s">
        <v>74</v>
      </c>
      <c r="V771" t="s">
        <v>14814</v>
      </c>
      <c r="W771" t="s">
        <v>14815</v>
      </c>
      <c r="X771" t="s">
        <v>3637</v>
      </c>
      <c r="Y771" t="s">
        <v>14816</v>
      </c>
      <c r="Z771" t="s">
        <v>14817</v>
      </c>
      <c r="AA771" t="s">
        <v>14818</v>
      </c>
      <c r="AB771" t="s">
        <v>74</v>
      </c>
      <c r="AC771" t="s">
        <v>74</v>
      </c>
      <c r="AD771" t="s">
        <v>74</v>
      </c>
      <c r="AE771" t="s">
        <v>74</v>
      </c>
      <c r="AF771" t="s">
        <v>74</v>
      </c>
      <c r="AG771">
        <v>18</v>
      </c>
      <c r="AH771">
        <v>0</v>
      </c>
      <c r="AI771">
        <v>0</v>
      </c>
      <c r="AJ771">
        <v>0</v>
      </c>
      <c r="AK771">
        <v>1</v>
      </c>
      <c r="AL771" t="s">
        <v>14787</v>
      </c>
      <c r="AM771" t="s">
        <v>3623</v>
      </c>
      <c r="AN771" t="s">
        <v>14788</v>
      </c>
      <c r="AO771" t="s">
        <v>14789</v>
      </c>
      <c r="AP771" t="s">
        <v>14790</v>
      </c>
      <c r="AQ771" t="s">
        <v>74</v>
      </c>
      <c r="AR771" t="s">
        <v>14791</v>
      </c>
      <c r="AS771" t="s">
        <v>14792</v>
      </c>
      <c r="AT771" t="s">
        <v>74</v>
      </c>
      <c r="AU771">
        <v>2020</v>
      </c>
      <c r="AV771">
        <v>60</v>
      </c>
      <c r="AW771">
        <v>4</v>
      </c>
      <c r="AX771" t="s">
        <v>74</v>
      </c>
      <c r="AY771" t="s">
        <v>74</v>
      </c>
      <c r="AZ771" t="s">
        <v>74</v>
      </c>
      <c r="BA771" t="s">
        <v>74</v>
      </c>
      <c r="BB771">
        <v>567</v>
      </c>
      <c r="BC771">
        <v>577</v>
      </c>
      <c r="BD771" t="s">
        <v>74</v>
      </c>
      <c r="BE771" t="s">
        <v>14819</v>
      </c>
      <c r="BF771" t="str">
        <f>HYPERLINK("http://dx.doi.org/10.31857/S2076673420040061","http://dx.doi.org/10.31857/S2076673420040061")</f>
        <v>http://dx.doi.org/10.31857/S2076673420040061</v>
      </c>
      <c r="BG771" t="s">
        <v>74</v>
      </c>
      <c r="BH771" t="s">
        <v>74</v>
      </c>
      <c r="BI771">
        <v>11</v>
      </c>
      <c r="BJ771" t="s">
        <v>246</v>
      </c>
      <c r="BK771" t="s">
        <v>274</v>
      </c>
      <c r="BL771" t="s">
        <v>247</v>
      </c>
      <c r="BM771" t="s">
        <v>14794</v>
      </c>
      <c r="BN771" t="s">
        <v>74</v>
      </c>
      <c r="BO771" t="s">
        <v>2592</v>
      </c>
      <c r="BP771" t="s">
        <v>74</v>
      </c>
      <c r="BQ771" t="s">
        <v>74</v>
      </c>
      <c r="BR771" t="s">
        <v>106</v>
      </c>
      <c r="BS771" t="s">
        <v>14820</v>
      </c>
      <c r="BT771" t="str">
        <f>HYPERLINK("https%3A%2F%2Fwww.webofscience.com%2Fwos%2Fwoscc%2Ffull-record%2FWOS:000588489900008","View Full Record in Web of Science")</f>
        <v>View Full Record in Web of Science</v>
      </c>
    </row>
    <row r="772" spans="1:72" x14ac:dyDescent="0.15">
      <c r="A772" t="s">
        <v>72</v>
      </c>
      <c r="B772" t="s">
        <v>14821</v>
      </c>
      <c r="C772" t="s">
        <v>74</v>
      </c>
      <c r="D772" t="s">
        <v>74</v>
      </c>
      <c r="E772" t="s">
        <v>74</v>
      </c>
      <c r="F772" t="s">
        <v>14822</v>
      </c>
      <c r="G772" t="s">
        <v>74</v>
      </c>
      <c r="H772" t="s">
        <v>74</v>
      </c>
      <c r="I772" t="s">
        <v>14823</v>
      </c>
      <c r="J772" t="s">
        <v>14779</v>
      </c>
      <c r="K772" t="s">
        <v>74</v>
      </c>
      <c r="L772" t="s">
        <v>74</v>
      </c>
      <c r="M772" t="s">
        <v>13514</v>
      </c>
      <c r="N772" t="s">
        <v>79</v>
      </c>
      <c r="O772" t="s">
        <v>74</v>
      </c>
      <c r="P772" t="s">
        <v>74</v>
      </c>
      <c r="Q772" t="s">
        <v>74</v>
      </c>
      <c r="R772" t="s">
        <v>74</v>
      </c>
      <c r="S772" t="s">
        <v>74</v>
      </c>
      <c r="T772" t="s">
        <v>14824</v>
      </c>
      <c r="U772" t="s">
        <v>74</v>
      </c>
      <c r="V772" t="s">
        <v>14825</v>
      </c>
      <c r="W772" t="s">
        <v>14826</v>
      </c>
      <c r="X772" t="s">
        <v>8532</v>
      </c>
      <c r="Y772" t="s">
        <v>14827</v>
      </c>
      <c r="Z772" t="s">
        <v>8534</v>
      </c>
      <c r="AA772" t="s">
        <v>14828</v>
      </c>
      <c r="AB772" t="s">
        <v>14829</v>
      </c>
      <c r="AC772" t="s">
        <v>8537</v>
      </c>
      <c r="AD772" t="s">
        <v>8395</v>
      </c>
      <c r="AE772" t="s">
        <v>14830</v>
      </c>
      <c r="AF772" t="s">
        <v>74</v>
      </c>
      <c r="AG772">
        <v>19</v>
      </c>
      <c r="AH772">
        <v>3</v>
      </c>
      <c r="AI772">
        <v>3</v>
      </c>
      <c r="AJ772">
        <v>0</v>
      </c>
      <c r="AK772">
        <v>2</v>
      </c>
      <c r="AL772" t="s">
        <v>14787</v>
      </c>
      <c r="AM772" t="s">
        <v>3623</v>
      </c>
      <c r="AN772" t="s">
        <v>14788</v>
      </c>
      <c r="AO772" t="s">
        <v>14789</v>
      </c>
      <c r="AP772" t="s">
        <v>14790</v>
      </c>
      <c r="AQ772" t="s">
        <v>74</v>
      </c>
      <c r="AR772" t="s">
        <v>14791</v>
      </c>
      <c r="AS772" t="s">
        <v>14792</v>
      </c>
      <c r="AT772" t="s">
        <v>74</v>
      </c>
      <c r="AU772">
        <v>2020</v>
      </c>
      <c r="AV772">
        <v>60</v>
      </c>
      <c r="AW772">
        <v>4</v>
      </c>
      <c r="AX772" t="s">
        <v>74</v>
      </c>
      <c r="AY772" t="s">
        <v>74</v>
      </c>
      <c r="AZ772" t="s">
        <v>74</v>
      </c>
      <c r="BA772" t="s">
        <v>74</v>
      </c>
      <c r="BB772">
        <v>613</v>
      </c>
      <c r="BC772">
        <v>622</v>
      </c>
      <c r="BD772" t="s">
        <v>74</v>
      </c>
      <c r="BE772" t="s">
        <v>14831</v>
      </c>
      <c r="BF772" t="str">
        <f>HYPERLINK("http://dx.doi.org/10.31857/S2076673420040065","http://dx.doi.org/10.31857/S2076673420040065")</f>
        <v>http://dx.doi.org/10.31857/S2076673420040065</v>
      </c>
      <c r="BG772" t="s">
        <v>74</v>
      </c>
      <c r="BH772" t="s">
        <v>74</v>
      </c>
      <c r="BI772">
        <v>10</v>
      </c>
      <c r="BJ772" t="s">
        <v>246</v>
      </c>
      <c r="BK772" t="s">
        <v>274</v>
      </c>
      <c r="BL772" t="s">
        <v>247</v>
      </c>
      <c r="BM772" t="s">
        <v>14794</v>
      </c>
      <c r="BN772" t="s">
        <v>74</v>
      </c>
      <c r="BO772" t="s">
        <v>2592</v>
      </c>
      <c r="BP772" t="s">
        <v>74</v>
      </c>
      <c r="BQ772" t="s">
        <v>74</v>
      </c>
      <c r="BR772" t="s">
        <v>106</v>
      </c>
      <c r="BS772" t="s">
        <v>14832</v>
      </c>
      <c r="BT772" t="str">
        <f>HYPERLINK("https%3A%2F%2Fwww.webofscience.com%2Fwos%2Fwoscc%2Ffull-record%2FWOS:000588489900012","View Full Record in Web of Science")</f>
        <v>View Full Record in Web of Science</v>
      </c>
    </row>
    <row r="773" spans="1:72" x14ac:dyDescent="0.15">
      <c r="A773" t="s">
        <v>72</v>
      </c>
      <c r="B773" t="s">
        <v>14833</v>
      </c>
      <c r="C773" t="s">
        <v>74</v>
      </c>
      <c r="D773" t="s">
        <v>74</v>
      </c>
      <c r="E773" t="s">
        <v>74</v>
      </c>
      <c r="F773" t="s">
        <v>14834</v>
      </c>
      <c r="G773" t="s">
        <v>74</v>
      </c>
      <c r="H773" t="s">
        <v>74</v>
      </c>
      <c r="I773" t="s">
        <v>14835</v>
      </c>
      <c r="J773" t="s">
        <v>14836</v>
      </c>
      <c r="K773" t="s">
        <v>74</v>
      </c>
      <c r="L773" t="s">
        <v>74</v>
      </c>
      <c r="M773" t="s">
        <v>78</v>
      </c>
      <c r="N773" t="s">
        <v>79</v>
      </c>
      <c r="O773" t="s">
        <v>74</v>
      </c>
      <c r="P773" t="s">
        <v>74</v>
      </c>
      <c r="Q773" t="s">
        <v>74</v>
      </c>
      <c r="R773" t="s">
        <v>74</v>
      </c>
      <c r="S773" t="s">
        <v>74</v>
      </c>
      <c r="T773" t="s">
        <v>14837</v>
      </c>
      <c r="U773" t="s">
        <v>14838</v>
      </c>
      <c r="V773" t="s">
        <v>14839</v>
      </c>
      <c r="W773" t="s">
        <v>14840</v>
      </c>
      <c r="X773" t="s">
        <v>8532</v>
      </c>
      <c r="Y773" t="s">
        <v>14841</v>
      </c>
      <c r="Z773" t="s">
        <v>14842</v>
      </c>
      <c r="AA773" t="s">
        <v>14843</v>
      </c>
      <c r="AB773" t="s">
        <v>14844</v>
      </c>
      <c r="AC773" t="s">
        <v>14845</v>
      </c>
      <c r="AD773" t="s">
        <v>14846</v>
      </c>
      <c r="AE773" t="s">
        <v>14847</v>
      </c>
      <c r="AF773" t="s">
        <v>74</v>
      </c>
      <c r="AG773">
        <v>14</v>
      </c>
      <c r="AH773">
        <v>0</v>
      </c>
      <c r="AI773">
        <v>0</v>
      </c>
      <c r="AJ773">
        <v>0</v>
      </c>
      <c r="AK773">
        <v>9</v>
      </c>
      <c r="AL773" t="s">
        <v>14848</v>
      </c>
      <c r="AM773" t="s">
        <v>14849</v>
      </c>
      <c r="AN773" t="s">
        <v>14850</v>
      </c>
      <c r="AO773" t="s">
        <v>14851</v>
      </c>
      <c r="AP773" t="s">
        <v>14852</v>
      </c>
      <c r="AQ773" t="s">
        <v>74</v>
      </c>
      <c r="AR773" t="s">
        <v>14836</v>
      </c>
      <c r="AS773" t="s">
        <v>14853</v>
      </c>
      <c r="AT773" t="s">
        <v>1033</v>
      </c>
      <c r="AU773">
        <v>2020</v>
      </c>
      <c r="AV773">
        <v>31</v>
      </c>
      <c r="AW773" t="s">
        <v>14854</v>
      </c>
      <c r="AX773" t="s">
        <v>74</v>
      </c>
      <c r="AY773" t="s">
        <v>74</v>
      </c>
      <c r="AZ773" t="s">
        <v>74</v>
      </c>
      <c r="BA773" t="s">
        <v>74</v>
      </c>
      <c r="BB773" t="s">
        <v>74</v>
      </c>
      <c r="BC773" t="s">
        <v>74</v>
      </c>
      <c r="BD773" t="s">
        <v>14445</v>
      </c>
      <c r="BE773" t="s">
        <v>14855</v>
      </c>
      <c r="BF773" t="str">
        <f>HYPERLINK("http://dx.doi.org/10.2192/URSUS-D-18-00030.4","http://dx.doi.org/10.2192/URSUS-D-18-00030.4")</f>
        <v>http://dx.doi.org/10.2192/URSUS-D-18-00030.4</v>
      </c>
      <c r="BG773" t="s">
        <v>74</v>
      </c>
      <c r="BH773" t="s">
        <v>74</v>
      </c>
      <c r="BI773">
        <v>5</v>
      </c>
      <c r="BJ773" t="s">
        <v>2510</v>
      </c>
      <c r="BK773" t="s">
        <v>103</v>
      </c>
      <c r="BL773" t="s">
        <v>2510</v>
      </c>
      <c r="BM773" t="s">
        <v>14856</v>
      </c>
      <c r="BN773" t="s">
        <v>74</v>
      </c>
      <c r="BO773" t="s">
        <v>74</v>
      </c>
      <c r="BP773" t="s">
        <v>74</v>
      </c>
      <c r="BQ773" t="s">
        <v>74</v>
      </c>
      <c r="BR773" t="s">
        <v>106</v>
      </c>
      <c r="BS773" t="s">
        <v>14857</v>
      </c>
      <c r="BT773" t="str">
        <f>HYPERLINK("https%3A%2F%2Fwww.webofscience.com%2Fwos%2Fwoscc%2Ffull-record%2FWOS:000586803300001","View Full Record in Web of Science")</f>
        <v>View Full Record in Web of Science</v>
      </c>
    </row>
    <row r="774" spans="1:72" x14ac:dyDescent="0.15">
      <c r="A774" t="s">
        <v>72</v>
      </c>
      <c r="B774" t="s">
        <v>14858</v>
      </c>
      <c r="C774" t="s">
        <v>74</v>
      </c>
      <c r="D774" t="s">
        <v>74</v>
      </c>
      <c r="E774" t="s">
        <v>74</v>
      </c>
      <c r="F774" t="s">
        <v>14859</v>
      </c>
      <c r="G774" t="s">
        <v>74</v>
      </c>
      <c r="H774" t="s">
        <v>74</v>
      </c>
      <c r="I774" t="s">
        <v>14860</v>
      </c>
      <c r="J774" t="s">
        <v>13911</v>
      </c>
      <c r="K774" t="s">
        <v>74</v>
      </c>
      <c r="L774" t="s">
        <v>74</v>
      </c>
      <c r="M774" t="s">
        <v>78</v>
      </c>
      <c r="N774" t="s">
        <v>79</v>
      </c>
      <c r="O774" t="s">
        <v>74</v>
      </c>
      <c r="P774" t="s">
        <v>74</v>
      </c>
      <c r="Q774" t="s">
        <v>74</v>
      </c>
      <c r="R774" t="s">
        <v>74</v>
      </c>
      <c r="S774" t="s">
        <v>74</v>
      </c>
      <c r="T774" t="s">
        <v>14861</v>
      </c>
      <c r="U774" t="s">
        <v>14862</v>
      </c>
      <c r="V774" t="s">
        <v>14863</v>
      </c>
      <c r="W774" t="s">
        <v>14864</v>
      </c>
      <c r="X774" t="s">
        <v>14865</v>
      </c>
      <c r="Y774" t="s">
        <v>14866</v>
      </c>
      <c r="Z774" t="s">
        <v>14867</v>
      </c>
      <c r="AA774" t="s">
        <v>14868</v>
      </c>
      <c r="AB774" t="s">
        <v>14869</v>
      </c>
      <c r="AC774" t="s">
        <v>14870</v>
      </c>
      <c r="AD774" t="s">
        <v>14871</v>
      </c>
      <c r="AE774" t="s">
        <v>14872</v>
      </c>
      <c r="AF774" t="s">
        <v>74</v>
      </c>
      <c r="AG774">
        <v>57</v>
      </c>
      <c r="AH774">
        <v>6</v>
      </c>
      <c r="AI774">
        <v>8</v>
      </c>
      <c r="AJ774">
        <v>2</v>
      </c>
      <c r="AK774">
        <v>30</v>
      </c>
      <c r="AL774" t="s">
        <v>2627</v>
      </c>
      <c r="AM774" t="s">
        <v>2628</v>
      </c>
      <c r="AN774" t="s">
        <v>2629</v>
      </c>
      <c r="AO774" t="s">
        <v>13924</v>
      </c>
      <c r="AP774" t="s">
        <v>13925</v>
      </c>
      <c r="AQ774" t="s">
        <v>74</v>
      </c>
      <c r="AR774" t="s">
        <v>13926</v>
      </c>
      <c r="AS774" t="s">
        <v>13927</v>
      </c>
      <c r="AT774" t="s">
        <v>12161</v>
      </c>
      <c r="AU774">
        <v>2020</v>
      </c>
      <c r="AV774">
        <v>52</v>
      </c>
      <c r="AW774">
        <v>1</v>
      </c>
      <c r="AX774" t="s">
        <v>74</v>
      </c>
      <c r="AY774" t="s">
        <v>74</v>
      </c>
      <c r="AZ774" t="s">
        <v>74</v>
      </c>
      <c r="BA774" t="s">
        <v>74</v>
      </c>
      <c r="BB774">
        <v>553</v>
      </c>
      <c r="BC774">
        <v>562</v>
      </c>
      <c r="BD774" t="s">
        <v>74</v>
      </c>
      <c r="BE774" t="s">
        <v>14873</v>
      </c>
      <c r="BF774" t="str">
        <f>HYPERLINK("http://dx.doi.org/10.1080/15230430.2020.1820124","http://dx.doi.org/10.1080/15230430.2020.1820124")</f>
        <v>http://dx.doi.org/10.1080/15230430.2020.1820124</v>
      </c>
      <c r="BG774" t="s">
        <v>74</v>
      </c>
      <c r="BH774" t="s">
        <v>74</v>
      </c>
      <c r="BI774">
        <v>10</v>
      </c>
      <c r="BJ774" t="s">
        <v>13929</v>
      </c>
      <c r="BK774" t="s">
        <v>103</v>
      </c>
      <c r="BL774" t="s">
        <v>1828</v>
      </c>
      <c r="BM774" t="s">
        <v>14874</v>
      </c>
      <c r="BN774" t="s">
        <v>74</v>
      </c>
      <c r="BO774" t="s">
        <v>2592</v>
      </c>
      <c r="BP774" t="s">
        <v>74</v>
      </c>
      <c r="BQ774" t="s">
        <v>74</v>
      </c>
      <c r="BR774" t="s">
        <v>106</v>
      </c>
      <c r="BS774" t="s">
        <v>14875</v>
      </c>
      <c r="BT774" t="str">
        <f>HYPERLINK("https%3A%2F%2Fwww.webofscience.com%2Fwos%2Fwoscc%2Ffull-record%2FWOS:000586561300001","View Full Record in Web of Science")</f>
        <v>View Full Record in Web of Science</v>
      </c>
    </row>
    <row r="775" spans="1:72" x14ac:dyDescent="0.15">
      <c r="A775" t="s">
        <v>72</v>
      </c>
      <c r="B775" t="s">
        <v>14876</v>
      </c>
      <c r="C775" t="s">
        <v>74</v>
      </c>
      <c r="D775" t="s">
        <v>74</v>
      </c>
      <c r="E775" t="s">
        <v>74</v>
      </c>
      <c r="F775" t="s">
        <v>14877</v>
      </c>
      <c r="G775" t="s">
        <v>74</v>
      </c>
      <c r="H775" t="s">
        <v>74</v>
      </c>
      <c r="I775" t="s">
        <v>14878</v>
      </c>
      <c r="J775" t="s">
        <v>13911</v>
      </c>
      <c r="K775" t="s">
        <v>74</v>
      </c>
      <c r="L775" t="s">
        <v>74</v>
      </c>
      <c r="M775" t="s">
        <v>78</v>
      </c>
      <c r="N775" t="s">
        <v>12322</v>
      </c>
      <c r="O775" t="s">
        <v>74</v>
      </c>
      <c r="P775" t="s">
        <v>74</v>
      </c>
      <c r="Q775" t="s">
        <v>74</v>
      </c>
      <c r="R775" t="s">
        <v>74</v>
      </c>
      <c r="S775" t="s">
        <v>74</v>
      </c>
      <c r="T775" t="s">
        <v>74</v>
      </c>
      <c r="U775" t="s">
        <v>74</v>
      </c>
      <c r="V775" t="s">
        <v>74</v>
      </c>
      <c r="W775" t="s">
        <v>14879</v>
      </c>
      <c r="X775" t="s">
        <v>14880</v>
      </c>
      <c r="Y775" t="s">
        <v>14881</v>
      </c>
      <c r="Z775" t="s">
        <v>14882</v>
      </c>
      <c r="AA775" t="s">
        <v>74</v>
      </c>
      <c r="AB775" t="s">
        <v>14883</v>
      </c>
      <c r="AC775" t="s">
        <v>74</v>
      </c>
      <c r="AD775" t="s">
        <v>74</v>
      </c>
      <c r="AE775" t="s">
        <v>74</v>
      </c>
      <c r="AF775" t="s">
        <v>74</v>
      </c>
      <c r="AG775">
        <v>1</v>
      </c>
      <c r="AH775">
        <v>0</v>
      </c>
      <c r="AI775">
        <v>0</v>
      </c>
      <c r="AJ775">
        <v>0</v>
      </c>
      <c r="AK775">
        <v>0</v>
      </c>
      <c r="AL775" t="s">
        <v>2627</v>
      </c>
      <c r="AM775" t="s">
        <v>2628</v>
      </c>
      <c r="AN775" t="s">
        <v>2629</v>
      </c>
      <c r="AO775" t="s">
        <v>13924</v>
      </c>
      <c r="AP775" t="s">
        <v>13925</v>
      </c>
      <c r="AQ775" t="s">
        <v>74</v>
      </c>
      <c r="AR775" t="s">
        <v>13926</v>
      </c>
      <c r="AS775" t="s">
        <v>13927</v>
      </c>
      <c r="AT775" t="s">
        <v>12161</v>
      </c>
      <c r="AU775">
        <v>2020</v>
      </c>
      <c r="AV775">
        <v>52</v>
      </c>
      <c r="AW775">
        <v>1</v>
      </c>
      <c r="AX775" t="s">
        <v>74</v>
      </c>
      <c r="AY775" t="s">
        <v>74</v>
      </c>
      <c r="AZ775" t="s">
        <v>74</v>
      </c>
      <c r="BA775" t="s">
        <v>74</v>
      </c>
      <c r="BB775">
        <v>551</v>
      </c>
      <c r="BC775">
        <v>552</v>
      </c>
      <c r="BD775" t="s">
        <v>74</v>
      </c>
      <c r="BE775" t="s">
        <v>14884</v>
      </c>
      <c r="BF775" t="str">
        <f>HYPERLINK("http://dx.doi.org/10.1080/15230430.2020.1820298","http://dx.doi.org/10.1080/15230430.2020.1820298")</f>
        <v>http://dx.doi.org/10.1080/15230430.2020.1820298</v>
      </c>
      <c r="BG775" t="s">
        <v>74</v>
      </c>
      <c r="BH775" t="s">
        <v>74</v>
      </c>
      <c r="BI775">
        <v>2</v>
      </c>
      <c r="BJ775" t="s">
        <v>13929</v>
      </c>
      <c r="BK775" t="s">
        <v>103</v>
      </c>
      <c r="BL775" t="s">
        <v>1828</v>
      </c>
      <c r="BM775" t="s">
        <v>14885</v>
      </c>
      <c r="BN775" t="s">
        <v>74</v>
      </c>
      <c r="BO775" t="s">
        <v>2592</v>
      </c>
      <c r="BP775" t="s">
        <v>74</v>
      </c>
      <c r="BQ775" t="s">
        <v>74</v>
      </c>
      <c r="BR775" t="s">
        <v>106</v>
      </c>
      <c r="BS775" t="s">
        <v>14886</v>
      </c>
      <c r="BT775" t="str">
        <f>HYPERLINK("https%3A%2F%2Fwww.webofscience.com%2Fwos%2Fwoscc%2Ffull-record%2FWOS:000583246400001","View Full Record in Web of Science")</f>
        <v>View Full Record in Web of Science</v>
      </c>
    </row>
    <row r="776" spans="1:72" x14ac:dyDescent="0.15">
      <c r="A776" t="s">
        <v>72</v>
      </c>
      <c r="B776" t="s">
        <v>14887</v>
      </c>
      <c r="C776" t="s">
        <v>74</v>
      </c>
      <c r="D776" t="s">
        <v>74</v>
      </c>
      <c r="E776" t="s">
        <v>74</v>
      </c>
      <c r="F776" t="s">
        <v>14888</v>
      </c>
      <c r="G776" t="s">
        <v>74</v>
      </c>
      <c r="H776" t="s">
        <v>74</v>
      </c>
      <c r="I776" t="s">
        <v>14889</v>
      </c>
      <c r="J776" t="s">
        <v>13911</v>
      </c>
      <c r="K776" t="s">
        <v>74</v>
      </c>
      <c r="L776" t="s">
        <v>74</v>
      </c>
      <c r="M776" t="s">
        <v>78</v>
      </c>
      <c r="N776" t="s">
        <v>79</v>
      </c>
      <c r="O776" t="s">
        <v>74</v>
      </c>
      <c r="P776" t="s">
        <v>74</v>
      </c>
      <c r="Q776" t="s">
        <v>74</v>
      </c>
      <c r="R776" t="s">
        <v>74</v>
      </c>
      <c r="S776" t="s">
        <v>74</v>
      </c>
      <c r="T776" t="s">
        <v>14890</v>
      </c>
      <c r="U776" t="s">
        <v>14891</v>
      </c>
      <c r="V776" t="s">
        <v>14892</v>
      </c>
      <c r="W776" t="s">
        <v>14893</v>
      </c>
      <c r="X776" t="s">
        <v>14894</v>
      </c>
      <c r="Y776" t="s">
        <v>14895</v>
      </c>
      <c r="Z776" t="s">
        <v>14896</v>
      </c>
      <c r="AA776" t="s">
        <v>14897</v>
      </c>
      <c r="AB776" t="s">
        <v>14898</v>
      </c>
      <c r="AC776" t="s">
        <v>14899</v>
      </c>
      <c r="AD776" t="s">
        <v>14900</v>
      </c>
      <c r="AE776" t="s">
        <v>14901</v>
      </c>
      <c r="AF776" t="s">
        <v>74</v>
      </c>
      <c r="AG776">
        <v>43</v>
      </c>
      <c r="AH776">
        <v>3</v>
      </c>
      <c r="AI776">
        <v>6</v>
      </c>
      <c r="AJ776">
        <v>7</v>
      </c>
      <c r="AK776">
        <v>36</v>
      </c>
      <c r="AL776" t="s">
        <v>2627</v>
      </c>
      <c r="AM776" t="s">
        <v>2628</v>
      </c>
      <c r="AN776" t="s">
        <v>2629</v>
      </c>
      <c r="AO776" t="s">
        <v>13924</v>
      </c>
      <c r="AP776" t="s">
        <v>13925</v>
      </c>
      <c r="AQ776" t="s">
        <v>74</v>
      </c>
      <c r="AR776" t="s">
        <v>13926</v>
      </c>
      <c r="AS776" t="s">
        <v>13927</v>
      </c>
      <c r="AT776" t="s">
        <v>12161</v>
      </c>
      <c r="AU776">
        <v>2020</v>
      </c>
      <c r="AV776">
        <v>52</v>
      </c>
      <c r="AW776">
        <v>1</v>
      </c>
      <c r="AX776" t="s">
        <v>74</v>
      </c>
      <c r="AY776" t="s">
        <v>74</v>
      </c>
      <c r="AZ776" t="s">
        <v>74</v>
      </c>
      <c r="BA776" t="s">
        <v>74</v>
      </c>
      <c r="BB776">
        <v>541</v>
      </c>
      <c r="BC776">
        <v>550</v>
      </c>
      <c r="BD776" t="s">
        <v>74</v>
      </c>
      <c r="BE776" t="s">
        <v>14902</v>
      </c>
      <c r="BF776" t="str">
        <f>HYPERLINK("http://dx.doi.org/10.1080/15230430.2020.1816341","http://dx.doi.org/10.1080/15230430.2020.1816341")</f>
        <v>http://dx.doi.org/10.1080/15230430.2020.1816341</v>
      </c>
      <c r="BG776" t="s">
        <v>74</v>
      </c>
      <c r="BH776" t="s">
        <v>74</v>
      </c>
      <c r="BI776">
        <v>10</v>
      </c>
      <c r="BJ776" t="s">
        <v>13929</v>
      </c>
      <c r="BK776" t="s">
        <v>103</v>
      </c>
      <c r="BL776" t="s">
        <v>1828</v>
      </c>
      <c r="BM776" t="s">
        <v>14903</v>
      </c>
      <c r="BN776" t="s">
        <v>74</v>
      </c>
      <c r="BO776" t="s">
        <v>2592</v>
      </c>
      <c r="BP776" t="s">
        <v>74</v>
      </c>
      <c r="BQ776" t="s">
        <v>74</v>
      </c>
      <c r="BR776" t="s">
        <v>106</v>
      </c>
      <c r="BS776" t="s">
        <v>14904</v>
      </c>
      <c r="BT776" t="str">
        <f>HYPERLINK("https%3A%2F%2Fwww.webofscience.com%2Fwos%2Fwoscc%2Ffull-record%2FWOS:000582132100001","View Full Record in Web of Science")</f>
        <v>View Full Record in Web of Science</v>
      </c>
    </row>
    <row r="777" spans="1:72" x14ac:dyDescent="0.15">
      <c r="A777" t="s">
        <v>72</v>
      </c>
      <c r="B777" t="s">
        <v>14332</v>
      </c>
      <c r="C777" t="s">
        <v>74</v>
      </c>
      <c r="D777" t="s">
        <v>74</v>
      </c>
      <c r="E777" t="s">
        <v>74</v>
      </c>
      <c r="F777" t="s">
        <v>14333</v>
      </c>
      <c r="G777" t="s">
        <v>74</v>
      </c>
      <c r="H777" t="s">
        <v>74</v>
      </c>
      <c r="I777" t="s">
        <v>14905</v>
      </c>
      <c r="J777" t="s">
        <v>13911</v>
      </c>
      <c r="K777" t="s">
        <v>74</v>
      </c>
      <c r="L777" t="s">
        <v>74</v>
      </c>
      <c r="M777" t="s">
        <v>78</v>
      </c>
      <c r="N777" t="s">
        <v>79</v>
      </c>
      <c r="O777" t="s">
        <v>74</v>
      </c>
      <c r="P777" t="s">
        <v>74</v>
      </c>
      <c r="Q777" t="s">
        <v>74</v>
      </c>
      <c r="R777" t="s">
        <v>74</v>
      </c>
      <c r="S777" t="s">
        <v>74</v>
      </c>
      <c r="T777" t="s">
        <v>14906</v>
      </c>
      <c r="U777" t="s">
        <v>14907</v>
      </c>
      <c r="V777" t="s">
        <v>14908</v>
      </c>
      <c r="W777" t="s">
        <v>14909</v>
      </c>
      <c r="X777" t="s">
        <v>14910</v>
      </c>
      <c r="Y777" t="s">
        <v>14911</v>
      </c>
      <c r="Z777" t="s">
        <v>14912</v>
      </c>
      <c r="AA777" t="s">
        <v>74</v>
      </c>
      <c r="AB777" t="s">
        <v>74</v>
      </c>
      <c r="AC777" t="s">
        <v>14913</v>
      </c>
      <c r="AD777" t="s">
        <v>14914</v>
      </c>
      <c r="AE777" t="s">
        <v>14915</v>
      </c>
      <c r="AF777" t="s">
        <v>74</v>
      </c>
      <c r="AG777">
        <v>91</v>
      </c>
      <c r="AH777">
        <v>7</v>
      </c>
      <c r="AI777">
        <v>7</v>
      </c>
      <c r="AJ777">
        <v>3</v>
      </c>
      <c r="AK777">
        <v>27</v>
      </c>
      <c r="AL777" t="s">
        <v>2627</v>
      </c>
      <c r="AM777" t="s">
        <v>2628</v>
      </c>
      <c r="AN777" t="s">
        <v>2629</v>
      </c>
      <c r="AO777" t="s">
        <v>13924</v>
      </c>
      <c r="AP777" t="s">
        <v>13925</v>
      </c>
      <c r="AQ777" t="s">
        <v>74</v>
      </c>
      <c r="AR777" t="s">
        <v>13926</v>
      </c>
      <c r="AS777" t="s">
        <v>13927</v>
      </c>
      <c r="AT777" t="s">
        <v>12161</v>
      </c>
      <c r="AU777">
        <v>2020</v>
      </c>
      <c r="AV777">
        <v>52</v>
      </c>
      <c r="AW777">
        <v>1</v>
      </c>
      <c r="AX777" t="s">
        <v>74</v>
      </c>
      <c r="AY777" t="s">
        <v>74</v>
      </c>
      <c r="AZ777" t="s">
        <v>74</v>
      </c>
      <c r="BA777" t="s">
        <v>74</v>
      </c>
      <c r="BB777">
        <v>524</v>
      </c>
      <c r="BC777">
        <v>540</v>
      </c>
      <c r="BD777" t="s">
        <v>74</v>
      </c>
      <c r="BE777" t="s">
        <v>14916</v>
      </c>
      <c r="BF777" t="str">
        <f>HYPERLINK("http://dx.doi.org/10.1080/15230430.2020.1815360","http://dx.doi.org/10.1080/15230430.2020.1815360")</f>
        <v>http://dx.doi.org/10.1080/15230430.2020.1815360</v>
      </c>
      <c r="BG777" t="s">
        <v>74</v>
      </c>
      <c r="BH777" t="s">
        <v>74</v>
      </c>
      <c r="BI777">
        <v>17</v>
      </c>
      <c r="BJ777" t="s">
        <v>13929</v>
      </c>
      <c r="BK777" t="s">
        <v>103</v>
      </c>
      <c r="BL777" t="s">
        <v>1828</v>
      </c>
      <c r="BM777" t="s">
        <v>14917</v>
      </c>
      <c r="BN777" t="s">
        <v>74</v>
      </c>
      <c r="BO777" t="s">
        <v>2592</v>
      </c>
      <c r="BP777" t="s">
        <v>74</v>
      </c>
      <c r="BQ777" t="s">
        <v>74</v>
      </c>
      <c r="BR777" t="s">
        <v>106</v>
      </c>
      <c r="BS777" t="s">
        <v>14918</v>
      </c>
      <c r="BT777" t="str">
        <f>HYPERLINK("https%3A%2F%2Fwww.webofscience.com%2Fwos%2Fwoscc%2Ffull-record%2FWOS:000582083500001","View Full Record in Web of Science")</f>
        <v>View Full Record in Web of Science</v>
      </c>
    </row>
    <row r="778" spans="1:72" x14ac:dyDescent="0.15">
      <c r="A778" t="s">
        <v>12440</v>
      </c>
      <c r="B778" t="s">
        <v>14919</v>
      </c>
      <c r="C778" t="s">
        <v>74</v>
      </c>
      <c r="D778" t="s">
        <v>74</v>
      </c>
      <c r="E778" t="s">
        <v>12442</v>
      </c>
      <c r="F778" t="s">
        <v>14920</v>
      </c>
      <c r="G778" t="s">
        <v>74</v>
      </c>
      <c r="H778" t="s">
        <v>74</v>
      </c>
      <c r="I778" t="s">
        <v>14921</v>
      </c>
      <c r="J778" t="s">
        <v>14922</v>
      </c>
      <c r="K778" t="s">
        <v>74</v>
      </c>
      <c r="L778" t="s">
        <v>74</v>
      </c>
      <c r="M778" t="s">
        <v>78</v>
      </c>
      <c r="N778" t="s">
        <v>12447</v>
      </c>
      <c r="O778" t="s">
        <v>14923</v>
      </c>
      <c r="P778" t="s">
        <v>14924</v>
      </c>
      <c r="Q778" t="s">
        <v>14925</v>
      </c>
      <c r="R778" t="s">
        <v>74</v>
      </c>
      <c r="S778" t="s">
        <v>74</v>
      </c>
      <c r="T778" t="s">
        <v>14926</v>
      </c>
      <c r="U778" t="s">
        <v>74</v>
      </c>
      <c r="V778" t="s">
        <v>14927</v>
      </c>
      <c r="W778" t="s">
        <v>14928</v>
      </c>
      <c r="X778" t="s">
        <v>14929</v>
      </c>
      <c r="Y778" t="s">
        <v>14930</v>
      </c>
      <c r="Z778" t="s">
        <v>14931</v>
      </c>
      <c r="AA778" t="s">
        <v>14932</v>
      </c>
      <c r="AB778" t="s">
        <v>14933</v>
      </c>
      <c r="AC778" t="s">
        <v>14934</v>
      </c>
      <c r="AD778" t="s">
        <v>14934</v>
      </c>
      <c r="AE778" t="s">
        <v>14935</v>
      </c>
      <c r="AF778" t="s">
        <v>74</v>
      </c>
      <c r="AG778">
        <v>13</v>
      </c>
      <c r="AH778">
        <v>0</v>
      </c>
      <c r="AI778">
        <v>0</v>
      </c>
      <c r="AJ778">
        <v>1</v>
      </c>
      <c r="AK778">
        <v>1</v>
      </c>
      <c r="AL778" t="s">
        <v>12442</v>
      </c>
      <c r="AM778" t="s">
        <v>166</v>
      </c>
      <c r="AN778" t="s">
        <v>12459</v>
      </c>
      <c r="AO778" t="s">
        <v>74</v>
      </c>
      <c r="AP778" t="s">
        <v>74</v>
      </c>
      <c r="AQ778" t="s">
        <v>14936</v>
      </c>
      <c r="AR778" t="s">
        <v>74</v>
      </c>
      <c r="AS778" t="s">
        <v>74</v>
      </c>
      <c r="AT778" t="s">
        <v>74</v>
      </c>
      <c r="AU778">
        <v>2020</v>
      </c>
      <c r="AV778" t="s">
        <v>74</v>
      </c>
      <c r="AW778" t="s">
        <v>74</v>
      </c>
      <c r="AX778" t="s">
        <v>74</v>
      </c>
      <c r="AY778" t="s">
        <v>74</v>
      </c>
      <c r="AZ778" t="s">
        <v>74</v>
      </c>
      <c r="BA778" t="s">
        <v>74</v>
      </c>
      <c r="BB778">
        <v>747</v>
      </c>
      <c r="BC778">
        <v>750</v>
      </c>
      <c r="BD778" t="s">
        <v>74</v>
      </c>
      <c r="BE778" t="s">
        <v>14937</v>
      </c>
      <c r="BF778" t="str">
        <f>HYPERLINK("http://dx.doi.org/10.1109/elnano50318.2020.9088909","http://dx.doi.org/10.1109/elnano50318.2020.9088909")</f>
        <v>http://dx.doi.org/10.1109/elnano50318.2020.9088909</v>
      </c>
      <c r="BG778" t="s">
        <v>74</v>
      </c>
      <c r="BH778" t="s">
        <v>74</v>
      </c>
      <c r="BI778">
        <v>4</v>
      </c>
      <c r="BJ778" t="s">
        <v>14938</v>
      </c>
      <c r="BK778" t="s">
        <v>12464</v>
      </c>
      <c r="BL778" t="s">
        <v>14939</v>
      </c>
      <c r="BM778" t="s">
        <v>14940</v>
      </c>
      <c r="BN778" t="s">
        <v>74</v>
      </c>
      <c r="BO778" t="s">
        <v>74</v>
      </c>
      <c r="BP778" t="s">
        <v>74</v>
      </c>
      <c r="BQ778" t="s">
        <v>74</v>
      </c>
      <c r="BR778" t="s">
        <v>106</v>
      </c>
      <c r="BS778" t="s">
        <v>14941</v>
      </c>
      <c r="BT778" t="str">
        <f>HYPERLINK("https%3A%2F%2Fwww.webofscience.com%2Fwos%2Fwoscc%2Ffull-record%2FWOS:000578046300157","View Full Record in Web of Science")</f>
        <v>View Full Record in Web of Science</v>
      </c>
    </row>
    <row r="779" spans="1:72" x14ac:dyDescent="0.15">
      <c r="A779" t="s">
        <v>12440</v>
      </c>
      <c r="B779" t="s">
        <v>14942</v>
      </c>
      <c r="C779" t="s">
        <v>74</v>
      </c>
      <c r="D779" t="s">
        <v>74</v>
      </c>
      <c r="E779" t="s">
        <v>12442</v>
      </c>
      <c r="F779" t="s">
        <v>14943</v>
      </c>
      <c r="G779" t="s">
        <v>74</v>
      </c>
      <c r="H779" t="s">
        <v>74</v>
      </c>
      <c r="I779" t="s">
        <v>14944</v>
      </c>
      <c r="J779" t="s">
        <v>14945</v>
      </c>
      <c r="K779" t="s">
        <v>14946</v>
      </c>
      <c r="L779" t="s">
        <v>74</v>
      </c>
      <c r="M779" t="s">
        <v>78</v>
      </c>
      <c r="N779" t="s">
        <v>12447</v>
      </c>
      <c r="O779" t="s">
        <v>14947</v>
      </c>
      <c r="P779" t="s">
        <v>14948</v>
      </c>
      <c r="Q779" t="s">
        <v>3693</v>
      </c>
      <c r="R779" t="s">
        <v>74</v>
      </c>
      <c r="S779" t="s">
        <v>74</v>
      </c>
      <c r="T779" t="s">
        <v>14949</v>
      </c>
      <c r="U779" t="s">
        <v>74</v>
      </c>
      <c r="V779" t="s">
        <v>14950</v>
      </c>
      <c r="W779" t="s">
        <v>14951</v>
      </c>
      <c r="X779" t="s">
        <v>14952</v>
      </c>
      <c r="Y779" t="s">
        <v>14953</v>
      </c>
      <c r="Z779" t="s">
        <v>14954</v>
      </c>
      <c r="AA779" t="s">
        <v>74</v>
      </c>
      <c r="AB779" t="s">
        <v>14955</v>
      </c>
      <c r="AC779" t="s">
        <v>14956</v>
      </c>
      <c r="AD779" t="s">
        <v>8395</v>
      </c>
      <c r="AE779" t="s">
        <v>14957</v>
      </c>
      <c r="AF779" t="s">
        <v>74</v>
      </c>
      <c r="AG779">
        <v>6</v>
      </c>
      <c r="AH779">
        <v>0</v>
      </c>
      <c r="AI779">
        <v>0</v>
      </c>
      <c r="AJ779">
        <v>0</v>
      </c>
      <c r="AK779">
        <v>0</v>
      </c>
      <c r="AL779" t="s">
        <v>12442</v>
      </c>
      <c r="AM779" t="s">
        <v>166</v>
      </c>
      <c r="AN779" t="s">
        <v>12459</v>
      </c>
      <c r="AO779" t="s">
        <v>14958</v>
      </c>
      <c r="AP779" t="s">
        <v>74</v>
      </c>
      <c r="AQ779" t="s">
        <v>14959</v>
      </c>
      <c r="AR779" t="s">
        <v>14960</v>
      </c>
      <c r="AS779" t="s">
        <v>74</v>
      </c>
      <c r="AT779" t="s">
        <v>74</v>
      </c>
      <c r="AU779">
        <v>2020</v>
      </c>
      <c r="AV779" t="s">
        <v>74</v>
      </c>
      <c r="AW779" t="s">
        <v>74</v>
      </c>
      <c r="AX779" t="s">
        <v>74</v>
      </c>
      <c r="AY779" t="s">
        <v>74</v>
      </c>
      <c r="AZ779" t="s">
        <v>74</v>
      </c>
      <c r="BA779" t="s">
        <v>74</v>
      </c>
      <c r="BB779" t="s">
        <v>74</v>
      </c>
      <c r="BC779" t="s">
        <v>74</v>
      </c>
      <c r="BD779" t="s">
        <v>74</v>
      </c>
      <c r="BE779" t="s">
        <v>14961</v>
      </c>
      <c r="BF779" t="str">
        <f>HYPERLINK("http://dx.doi.org/10.23919/EuCAP48036.2020.9135959","http://dx.doi.org/10.23919/EuCAP48036.2020.9135959")</f>
        <v>http://dx.doi.org/10.23919/EuCAP48036.2020.9135959</v>
      </c>
      <c r="BG779" t="s">
        <v>74</v>
      </c>
      <c r="BH779" t="s">
        <v>74</v>
      </c>
      <c r="BI779">
        <v>4</v>
      </c>
      <c r="BJ779" t="s">
        <v>13237</v>
      </c>
      <c r="BK779" t="s">
        <v>12464</v>
      </c>
      <c r="BL779" t="s">
        <v>13238</v>
      </c>
      <c r="BM779" t="s">
        <v>14962</v>
      </c>
      <c r="BN779" t="s">
        <v>74</v>
      </c>
      <c r="BO779" t="s">
        <v>74</v>
      </c>
      <c r="BP779" t="s">
        <v>74</v>
      </c>
      <c r="BQ779" t="s">
        <v>74</v>
      </c>
      <c r="BR779" t="s">
        <v>106</v>
      </c>
      <c r="BS779" t="s">
        <v>14963</v>
      </c>
      <c r="BT779" t="str">
        <f>HYPERLINK("https%3A%2F%2Fwww.webofscience.com%2Fwos%2Fwoscc%2Ffull-record%2FWOS:000564218703104","View Full Record in Web of Science")</f>
        <v>View Full Record in Web of Science</v>
      </c>
    </row>
    <row r="780" spans="1:72" x14ac:dyDescent="0.15">
      <c r="A780" t="s">
        <v>12440</v>
      </c>
      <c r="B780" t="s">
        <v>14964</v>
      </c>
      <c r="C780" t="s">
        <v>74</v>
      </c>
      <c r="D780" t="s">
        <v>74</v>
      </c>
      <c r="E780" t="s">
        <v>12442</v>
      </c>
      <c r="F780" t="s">
        <v>14965</v>
      </c>
      <c r="G780" t="s">
        <v>74</v>
      </c>
      <c r="H780" t="s">
        <v>74</v>
      </c>
      <c r="I780" t="s">
        <v>14966</v>
      </c>
      <c r="J780" t="s">
        <v>14945</v>
      </c>
      <c r="K780" t="s">
        <v>14946</v>
      </c>
      <c r="L780" t="s">
        <v>74</v>
      </c>
      <c r="M780" t="s">
        <v>78</v>
      </c>
      <c r="N780" t="s">
        <v>12447</v>
      </c>
      <c r="O780" t="s">
        <v>14947</v>
      </c>
      <c r="P780" t="s">
        <v>14948</v>
      </c>
      <c r="Q780" t="s">
        <v>3693</v>
      </c>
      <c r="R780" t="s">
        <v>74</v>
      </c>
      <c r="S780" t="s">
        <v>74</v>
      </c>
      <c r="T780" t="s">
        <v>74</v>
      </c>
      <c r="U780" t="s">
        <v>74</v>
      </c>
      <c r="V780" t="s">
        <v>14967</v>
      </c>
      <c r="W780" t="s">
        <v>14968</v>
      </c>
      <c r="X780" t="s">
        <v>14969</v>
      </c>
      <c r="Y780" t="s">
        <v>14970</v>
      </c>
      <c r="Z780" t="s">
        <v>14971</v>
      </c>
      <c r="AA780" t="s">
        <v>74</v>
      </c>
      <c r="AB780" t="s">
        <v>14972</v>
      </c>
      <c r="AC780" t="s">
        <v>14973</v>
      </c>
      <c r="AD780" t="s">
        <v>14974</v>
      </c>
      <c r="AE780" t="s">
        <v>14975</v>
      </c>
      <c r="AF780" t="s">
        <v>74</v>
      </c>
      <c r="AG780">
        <v>10</v>
      </c>
      <c r="AH780">
        <v>0</v>
      </c>
      <c r="AI780">
        <v>0</v>
      </c>
      <c r="AJ780">
        <v>0</v>
      </c>
      <c r="AK780">
        <v>0</v>
      </c>
      <c r="AL780" t="s">
        <v>12442</v>
      </c>
      <c r="AM780" t="s">
        <v>166</v>
      </c>
      <c r="AN780" t="s">
        <v>12459</v>
      </c>
      <c r="AO780" t="s">
        <v>14958</v>
      </c>
      <c r="AP780" t="s">
        <v>74</v>
      </c>
      <c r="AQ780" t="s">
        <v>14959</v>
      </c>
      <c r="AR780" t="s">
        <v>14960</v>
      </c>
      <c r="AS780" t="s">
        <v>74</v>
      </c>
      <c r="AT780" t="s">
        <v>74</v>
      </c>
      <c r="AU780">
        <v>2020</v>
      </c>
      <c r="AV780" t="s">
        <v>74</v>
      </c>
      <c r="AW780" t="s">
        <v>74</v>
      </c>
      <c r="AX780" t="s">
        <v>74</v>
      </c>
      <c r="AY780" t="s">
        <v>74</v>
      </c>
      <c r="AZ780" t="s">
        <v>74</v>
      </c>
      <c r="BA780" t="s">
        <v>74</v>
      </c>
      <c r="BB780" t="s">
        <v>74</v>
      </c>
      <c r="BC780" t="s">
        <v>74</v>
      </c>
      <c r="BD780" t="s">
        <v>74</v>
      </c>
      <c r="BE780" t="s">
        <v>74</v>
      </c>
      <c r="BF780" t="s">
        <v>74</v>
      </c>
      <c r="BG780" t="s">
        <v>74</v>
      </c>
      <c r="BH780" t="s">
        <v>74</v>
      </c>
      <c r="BI780">
        <v>4</v>
      </c>
      <c r="BJ780" t="s">
        <v>13237</v>
      </c>
      <c r="BK780" t="s">
        <v>12464</v>
      </c>
      <c r="BL780" t="s">
        <v>13238</v>
      </c>
      <c r="BM780" t="s">
        <v>14962</v>
      </c>
      <c r="BN780" t="s">
        <v>74</v>
      </c>
      <c r="BO780" t="s">
        <v>74</v>
      </c>
      <c r="BP780" t="s">
        <v>74</v>
      </c>
      <c r="BQ780" t="s">
        <v>74</v>
      </c>
      <c r="BR780" t="s">
        <v>106</v>
      </c>
      <c r="BS780" t="s">
        <v>14976</v>
      </c>
      <c r="BT780" t="str">
        <f>HYPERLINK("https%3A%2F%2Fwww.webofscience.com%2Fwos%2Fwoscc%2Ffull-record%2FWOS:000564218703076","View Full Record in Web of Science")</f>
        <v>View Full Record in Web of Science</v>
      </c>
    </row>
    <row r="781" spans="1:72" x14ac:dyDescent="0.15">
      <c r="A781" t="s">
        <v>12440</v>
      </c>
      <c r="B781" t="s">
        <v>14977</v>
      </c>
      <c r="C781" t="s">
        <v>74</v>
      </c>
      <c r="D781" t="s">
        <v>74</v>
      </c>
      <c r="E781" t="s">
        <v>12442</v>
      </c>
      <c r="F781" t="s">
        <v>14978</v>
      </c>
      <c r="G781" t="s">
        <v>74</v>
      </c>
      <c r="H781" t="s">
        <v>74</v>
      </c>
      <c r="I781" t="s">
        <v>14979</v>
      </c>
      <c r="J781" t="s">
        <v>14945</v>
      </c>
      <c r="K781" t="s">
        <v>14946</v>
      </c>
      <c r="L781" t="s">
        <v>74</v>
      </c>
      <c r="M781" t="s">
        <v>78</v>
      </c>
      <c r="N781" t="s">
        <v>12447</v>
      </c>
      <c r="O781" t="s">
        <v>14947</v>
      </c>
      <c r="P781" t="s">
        <v>14948</v>
      </c>
      <c r="Q781" t="s">
        <v>3693</v>
      </c>
      <c r="R781" t="s">
        <v>74</v>
      </c>
      <c r="S781" t="s">
        <v>74</v>
      </c>
      <c r="T781" t="s">
        <v>14980</v>
      </c>
      <c r="U781" t="s">
        <v>14981</v>
      </c>
      <c r="V781" t="s">
        <v>14982</v>
      </c>
      <c r="W781" t="s">
        <v>14983</v>
      </c>
      <c r="X781" t="s">
        <v>14984</v>
      </c>
      <c r="Y781" t="s">
        <v>14985</v>
      </c>
      <c r="Z781" t="s">
        <v>14954</v>
      </c>
      <c r="AA781" t="s">
        <v>14986</v>
      </c>
      <c r="AB781" t="s">
        <v>14987</v>
      </c>
      <c r="AC781" t="s">
        <v>14988</v>
      </c>
      <c r="AD781" t="s">
        <v>14989</v>
      </c>
      <c r="AE781" t="s">
        <v>14990</v>
      </c>
      <c r="AF781" t="s">
        <v>74</v>
      </c>
      <c r="AG781">
        <v>7</v>
      </c>
      <c r="AH781">
        <v>0</v>
      </c>
      <c r="AI781">
        <v>0</v>
      </c>
      <c r="AJ781">
        <v>1</v>
      </c>
      <c r="AK781">
        <v>4</v>
      </c>
      <c r="AL781" t="s">
        <v>12442</v>
      </c>
      <c r="AM781" t="s">
        <v>166</v>
      </c>
      <c r="AN781" t="s">
        <v>12459</v>
      </c>
      <c r="AO781" t="s">
        <v>14958</v>
      </c>
      <c r="AP781" t="s">
        <v>74</v>
      </c>
      <c r="AQ781" t="s">
        <v>14959</v>
      </c>
      <c r="AR781" t="s">
        <v>14960</v>
      </c>
      <c r="AS781" t="s">
        <v>74</v>
      </c>
      <c r="AT781" t="s">
        <v>74</v>
      </c>
      <c r="AU781">
        <v>2020</v>
      </c>
      <c r="AV781" t="s">
        <v>74</v>
      </c>
      <c r="AW781" t="s">
        <v>74</v>
      </c>
      <c r="AX781" t="s">
        <v>74</v>
      </c>
      <c r="AY781" t="s">
        <v>74</v>
      </c>
      <c r="AZ781" t="s">
        <v>74</v>
      </c>
      <c r="BA781" t="s">
        <v>74</v>
      </c>
      <c r="BB781" t="s">
        <v>74</v>
      </c>
      <c r="BC781" t="s">
        <v>74</v>
      </c>
      <c r="BD781" t="s">
        <v>74</v>
      </c>
      <c r="BE781" t="s">
        <v>14991</v>
      </c>
      <c r="BF781" t="str">
        <f>HYPERLINK("http://dx.doi.org/10.23919/EuCAP48036.2020.9135786","http://dx.doi.org/10.23919/EuCAP48036.2020.9135786")</f>
        <v>http://dx.doi.org/10.23919/EuCAP48036.2020.9135786</v>
      </c>
      <c r="BG781" t="s">
        <v>74</v>
      </c>
      <c r="BH781" t="s">
        <v>74</v>
      </c>
      <c r="BI781">
        <v>4</v>
      </c>
      <c r="BJ781" t="s">
        <v>13237</v>
      </c>
      <c r="BK781" t="s">
        <v>12464</v>
      </c>
      <c r="BL781" t="s">
        <v>13238</v>
      </c>
      <c r="BM781" t="s">
        <v>14962</v>
      </c>
      <c r="BN781" t="s">
        <v>74</v>
      </c>
      <c r="BO781" t="s">
        <v>74</v>
      </c>
      <c r="BP781" t="s">
        <v>74</v>
      </c>
      <c r="BQ781" t="s">
        <v>74</v>
      </c>
      <c r="BR781" t="s">
        <v>106</v>
      </c>
      <c r="BS781" t="s">
        <v>14992</v>
      </c>
      <c r="BT781" t="str">
        <f>HYPERLINK("https%3A%2F%2Fwww.webofscience.com%2Fwos%2Fwoscc%2Ffull-record%2FWOS:000564218702159","View Full Record in Web of Science")</f>
        <v>View Full Record in Web of Science</v>
      </c>
    </row>
    <row r="782" spans="1:72" x14ac:dyDescent="0.15">
      <c r="A782" t="s">
        <v>72</v>
      </c>
      <c r="B782" t="s">
        <v>14993</v>
      </c>
      <c r="C782" t="s">
        <v>74</v>
      </c>
      <c r="D782" t="s">
        <v>74</v>
      </c>
      <c r="E782" t="s">
        <v>74</v>
      </c>
      <c r="F782" t="s">
        <v>14994</v>
      </c>
      <c r="G782" t="s">
        <v>74</v>
      </c>
      <c r="H782" t="s">
        <v>74</v>
      </c>
      <c r="I782" t="s">
        <v>14995</v>
      </c>
      <c r="J782" t="s">
        <v>14996</v>
      </c>
      <c r="K782" t="s">
        <v>74</v>
      </c>
      <c r="L782" t="s">
        <v>74</v>
      </c>
      <c r="M782" t="s">
        <v>78</v>
      </c>
      <c r="N782" t="s">
        <v>79</v>
      </c>
      <c r="O782" t="s">
        <v>74</v>
      </c>
      <c r="P782" t="s">
        <v>74</v>
      </c>
      <c r="Q782" t="s">
        <v>74</v>
      </c>
      <c r="R782" t="s">
        <v>74</v>
      </c>
      <c r="S782" t="s">
        <v>74</v>
      </c>
      <c r="T782" t="s">
        <v>14997</v>
      </c>
      <c r="U782" t="s">
        <v>74</v>
      </c>
      <c r="V782" t="s">
        <v>14998</v>
      </c>
      <c r="W782" t="s">
        <v>14999</v>
      </c>
      <c r="X782" t="s">
        <v>15000</v>
      </c>
      <c r="Y782" t="s">
        <v>15001</v>
      </c>
      <c r="Z782" t="s">
        <v>15002</v>
      </c>
      <c r="AA782" t="s">
        <v>15003</v>
      </c>
      <c r="AB782" t="s">
        <v>15004</v>
      </c>
      <c r="AC782" t="s">
        <v>15005</v>
      </c>
      <c r="AD782" t="s">
        <v>15005</v>
      </c>
      <c r="AE782" t="s">
        <v>15006</v>
      </c>
      <c r="AF782" t="s">
        <v>74</v>
      </c>
      <c r="AG782">
        <v>25</v>
      </c>
      <c r="AH782">
        <v>2</v>
      </c>
      <c r="AI782">
        <v>2</v>
      </c>
      <c r="AJ782">
        <v>0</v>
      </c>
      <c r="AK782">
        <v>5</v>
      </c>
      <c r="AL782" t="s">
        <v>15007</v>
      </c>
      <c r="AM782" t="s">
        <v>15008</v>
      </c>
      <c r="AN782" t="s">
        <v>15009</v>
      </c>
      <c r="AO782" t="s">
        <v>15010</v>
      </c>
      <c r="AP782" t="s">
        <v>15011</v>
      </c>
      <c r="AQ782" t="s">
        <v>74</v>
      </c>
      <c r="AR782" t="s">
        <v>15012</v>
      </c>
      <c r="AS782" t="s">
        <v>15013</v>
      </c>
      <c r="AT782" t="s">
        <v>74</v>
      </c>
      <c r="AU782">
        <v>2020</v>
      </c>
      <c r="AV782">
        <v>63</v>
      </c>
      <c r="AW782">
        <v>3</v>
      </c>
      <c r="AX782" t="s">
        <v>74</v>
      </c>
      <c r="AY782" t="s">
        <v>74</v>
      </c>
      <c r="AZ782" t="s">
        <v>74</v>
      </c>
      <c r="BA782" t="s">
        <v>74</v>
      </c>
      <c r="BB782">
        <v>163</v>
      </c>
      <c r="BC782">
        <v>172</v>
      </c>
      <c r="BD782" t="s">
        <v>74</v>
      </c>
      <c r="BE782" t="s">
        <v>15014</v>
      </c>
      <c r="BF782" t="str">
        <f>HYPERLINK("http://dx.doi.org/10.33160/yam.2020.08.004","http://dx.doi.org/10.33160/yam.2020.08.004")</f>
        <v>http://dx.doi.org/10.33160/yam.2020.08.004</v>
      </c>
      <c r="BG782" t="s">
        <v>74</v>
      </c>
      <c r="BH782" t="s">
        <v>74</v>
      </c>
      <c r="BI782">
        <v>10</v>
      </c>
      <c r="BJ782" t="s">
        <v>15015</v>
      </c>
      <c r="BK782" t="s">
        <v>103</v>
      </c>
      <c r="BL782" t="s">
        <v>15016</v>
      </c>
      <c r="BM782" t="s">
        <v>15017</v>
      </c>
      <c r="BN782">
        <v>32884435</v>
      </c>
      <c r="BO782" t="s">
        <v>1359</v>
      </c>
      <c r="BP782" t="s">
        <v>74</v>
      </c>
      <c r="BQ782" t="s">
        <v>74</v>
      </c>
      <c r="BR782" t="s">
        <v>106</v>
      </c>
      <c r="BS782" t="s">
        <v>15018</v>
      </c>
      <c r="BT782" t="str">
        <f>HYPERLINK("https%3A%2F%2Fwww.webofscience.com%2Fwos%2Fwoscc%2Ffull-record%2FWOS:000576809000004","View Full Record in Web of Science")</f>
        <v>View Full Record in Web of Science</v>
      </c>
    </row>
    <row r="783" spans="1:72" x14ac:dyDescent="0.15">
      <c r="A783" t="s">
        <v>72</v>
      </c>
      <c r="B783" t="s">
        <v>15019</v>
      </c>
      <c r="C783" t="s">
        <v>74</v>
      </c>
      <c r="D783" t="s">
        <v>74</v>
      </c>
      <c r="E783" t="s">
        <v>74</v>
      </c>
      <c r="F783" t="s">
        <v>15020</v>
      </c>
      <c r="G783" t="s">
        <v>74</v>
      </c>
      <c r="H783" t="s">
        <v>74</v>
      </c>
      <c r="I783" t="s">
        <v>15021</v>
      </c>
      <c r="J783" t="s">
        <v>13911</v>
      </c>
      <c r="K783" t="s">
        <v>74</v>
      </c>
      <c r="L783" t="s">
        <v>74</v>
      </c>
      <c r="M783" t="s">
        <v>78</v>
      </c>
      <c r="N783" t="s">
        <v>79</v>
      </c>
      <c r="O783" t="s">
        <v>74</v>
      </c>
      <c r="P783" t="s">
        <v>74</v>
      </c>
      <c r="Q783" t="s">
        <v>74</v>
      </c>
      <c r="R783" t="s">
        <v>74</v>
      </c>
      <c r="S783" t="s">
        <v>74</v>
      </c>
      <c r="T783" t="s">
        <v>15022</v>
      </c>
      <c r="U783" t="s">
        <v>15023</v>
      </c>
      <c r="V783" t="s">
        <v>15024</v>
      </c>
      <c r="W783" t="s">
        <v>15025</v>
      </c>
      <c r="X783" t="s">
        <v>15026</v>
      </c>
      <c r="Y783" t="s">
        <v>15027</v>
      </c>
      <c r="Z783" t="s">
        <v>15028</v>
      </c>
      <c r="AA783" t="s">
        <v>15029</v>
      </c>
      <c r="AB783" t="s">
        <v>15030</v>
      </c>
      <c r="AC783" t="s">
        <v>15031</v>
      </c>
      <c r="AD783" t="s">
        <v>15032</v>
      </c>
      <c r="AE783" t="s">
        <v>15033</v>
      </c>
      <c r="AF783" t="s">
        <v>74</v>
      </c>
      <c r="AG783">
        <v>89</v>
      </c>
      <c r="AH783">
        <v>7</v>
      </c>
      <c r="AI783">
        <v>7</v>
      </c>
      <c r="AJ783">
        <v>1</v>
      </c>
      <c r="AK783">
        <v>7</v>
      </c>
      <c r="AL783" t="s">
        <v>2627</v>
      </c>
      <c r="AM783" t="s">
        <v>2628</v>
      </c>
      <c r="AN783" t="s">
        <v>2629</v>
      </c>
      <c r="AO783" t="s">
        <v>13924</v>
      </c>
      <c r="AP783" t="s">
        <v>13925</v>
      </c>
      <c r="AQ783" t="s">
        <v>74</v>
      </c>
      <c r="AR783" t="s">
        <v>13926</v>
      </c>
      <c r="AS783" t="s">
        <v>13927</v>
      </c>
      <c r="AT783" t="s">
        <v>12161</v>
      </c>
      <c r="AU783">
        <v>2020</v>
      </c>
      <c r="AV783">
        <v>52</v>
      </c>
      <c r="AW783">
        <v>1</v>
      </c>
      <c r="AX783" t="s">
        <v>74</v>
      </c>
      <c r="AY783" t="s">
        <v>74</v>
      </c>
      <c r="AZ783" t="s">
        <v>74</v>
      </c>
      <c r="BA783" t="s">
        <v>74</v>
      </c>
      <c r="BB783">
        <v>512</v>
      </c>
      <c r="BC783">
        <v>523</v>
      </c>
      <c r="BD783" t="s">
        <v>74</v>
      </c>
      <c r="BE783" t="s">
        <v>15034</v>
      </c>
      <c r="BF783" t="str">
        <f>HYPERLINK("http://dx.doi.org/10.1080/15230430.2020.1813930","http://dx.doi.org/10.1080/15230430.2020.1813930")</f>
        <v>http://dx.doi.org/10.1080/15230430.2020.1813930</v>
      </c>
      <c r="BG783" t="s">
        <v>74</v>
      </c>
      <c r="BH783" t="s">
        <v>74</v>
      </c>
      <c r="BI783">
        <v>12</v>
      </c>
      <c r="BJ783" t="s">
        <v>13929</v>
      </c>
      <c r="BK783" t="s">
        <v>103</v>
      </c>
      <c r="BL783" t="s">
        <v>1828</v>
      </c>
      <c r="BM783" t="s">
        <v>15035</v>
      </c>
      <c r="BN783" t="s">
        <v>74</v>
      </c>
      <c r="BO783" t="s">
        <v>1359</v>
      </c>
      <c r="BP783" t="s">
        <v>74</v>
      </c>
      <c r="BQ783" t="s">
        <v>74</v>
      </c>
      <c r="BR783" t="s">
        <v>106</v>
      </c>
      <c r="BS783" t="s">
        <v>15036</v>
      </c>
      <c r="BT783" t="str">
        <f>HYPERLINK("https%3A%2F%2Fwww.webofscience.com%2Fwos%2Fwoscc%2Ffull-record%2FWOS:000576609700001","View Full Record in Web of Science")</f>
        <v>View Full Record in Web of Science</v>
      </c>
    </row>
    <row r="784" spans="1:72" x14ac:dyDescent="0.15">
      <c r="A784" t="s">
        <v>12556</v>
      </c>
      <c r="B784" t="s">
        <v>15037</v>
      </c>
      <c r="C784" t="s">
        <v>74</v>
      </c>
      <c r="D784" t="s">
        <v>15038</v>
      </c>
      <c r="E784" t="s">
        <v>74</v>
      </c>
      <c r="F784" t="s">
        <v>15039</v>
      </c>
      <c r="G784" t="s">
        <v>74</v>
      </c>
      <c r="H784" t="s">
        <v>74</v>
      </c>
      <c r="I784" t="s">
        <v>15040</v>
      </c>
      <c r="J784" t="s">
        <v>15041</v>
      </c>
      <c r="K784" t="s">
        <v>15042</v>
      </c>
      <c r="L784" t="s">
        <v>74</v>
      </c>
      <c r="M784" t="s">
        <v>78</v>
      </c>
      <c r="N784" t="s">
        <v>12422</v>
      </c>
      <c r="O784" t="s">
        <v>74</v>
      </c>
      <c r="P784" t="s">
        <v>74</v>
      </c>
      <c r="Q784" t="s">
        <v>74</v>
      </c>
      <c r="R784" t="s">
        <v>74</v>
      </c>
      <c r="S784" t="s">
        <v>74</v>
      </c>
      <c r="T784" t="s">
        <v>74</v>
      </c>
      <c r="U784" t="s">
        <v>15043</v>
      </c>
      <c r="V784" t="s">
        <v>15044</v>
      </c>
      <c r="W784" t="s">
        <v>15045</v>
      </c>
      <c r="X784" t="s">
        <v>15046</v>
      </c>
      <c r="Y784" t="s">
        <v>15047</v>
      </c>
      <c r="Z784" t="s">
        <v>15048</v>
      </c>
      <c r="AA784" t="s">
        <v>15049</v>
      </c>
      <c r="AB784" t="s">
        <v>15050</v>
      </c>
      <c r="AC784" t="s">
        <v>74</v>
      </c>
      <c r="AD784" t="s">
        <v>74</v>
      </c>
      <c r="AE784" t="s">
        <v>74</v>
      </c>
      <c r="AF784" t="s">
        <v>74</v>
      </c>
      <c r="AG784">
        <v>112</v>
      </c>
      <c r="AH784">
        <v>21</v>
      </c>
      <c r="AI784">
        <v>21</v>
      </c>
      <c r="AJ784">
        <v>0</v>
      </c>
      <c r="AK784">
        <v>3</v>
      </c>
      <c r="AL784" t="s">
        <v>12570</v>
      </c>
      <c r="AM784" t="s">
        <v>12571</v>
      </c>
      <c r="AN784" t="s">
        <v>12572</v>
      </c>
      <c r="AO784" t="s">
        <v>15051</v>
      </c>
      <c r="AP784" t="s">
        <v>15052</v>
      </c>
      <c r="AQ784" t="s">
        <v>15053</v>
      </c>
      <c r="AR784" t="s">
        <v>15054</v>
      </c>
      <c r="AS784" t="s">
        <v>74</v>
      </c>
      <c r="AT784" t="s">
        <v>74</v>
      </c>
      <c r="AU784">
        <v>2020</v>
      </c>
      <c r="AV784" t="s">
        <v>74</v>
      </c>
      <c r="AW784" t="s">
        <v>74</v>
      </c>
      <c r="AX784" t="s">
        <v>74</v>
      </c>
      <c r="AY784" t="s">
        <v>74</v>
      </c>
      <c r="AZ784" t="s">
        <v>74</v>
      </c>
      <c r="BA784" t="s">
        <v>74</v>
      </c>
      <c r="BB784">
        <v>131</v>
      </c>
      <c r="BC784">
        <v>151</v>
      </c>
      <c r="BD784" t="s">
        <v>74</v>
      </c>
      <c r="BE784" t="s">
        <v>15055</v>
      </c>
      <c r="BF784" t="str">
        <f>HYPERLINK("http://dx.doi.org/10.1007/978-3-030-15265-9_4","http://dx.doi.org/10.1007/978-3-030-15265-9_4")</f>
        <v>http://dx.doi.org/10.1007/978-3-030-15265-9_4</v>
      </c>
      <c r="BG784" t="s">
        <v>15056</v>
      </c>
      <c r="BH784" t="s">
        <v>74</v>
      </c>
      <c r="BI784">
        <v>21</v>
      </c>
      <c r="BJ784" t="s">
        <v>15057</v>
      </c>
      <c r="BK784" t="s">
        <v>12436</v>
      </c>
      <c r="BL784" t="s">
        <v>15057</v>
      </c>
      <c r="BM784" t="s">
        <v>15058</v>
      </c>
      <c r="BN784" t="s">
        <v>74</v>
      </c>
      <c r="BO784" t="s">
        <v>74</v>
      </c>
      <c r="BP784" t="s">
        <v>74</v>
      </c>
      <c r="BQ784" t="s">
        <v>74</v>
      </c>
      <c r="BR784" t="s">
        <v>106</v>
      </c>
      <c r="BS784" t="s">
        <v>15059</v>
      </c>
      <c r="BT784" t="str">
        <f>HYPERLINK("https%3A%2F%2Fwww.webofscience.com%2Fwos%2Fwoscc%2Ffull-record%2FWOS:000559050600005","View Full Record in Web of Science")</f>
        <v>View Full Record in Web of Science</v>
      </c>
    </row>
    <row r="785" spans="1:72" x14ac:dyDescent="0.15">
      <c r="A785" t="s">
        <v>72</v>
      </c>
      <c r="B785" t="s">
        <v>15060</v>
      </c>
      <c r="C785" t="s">
        <v>74</v>
      </c>
      <c r="D785" t="s">
        <v>74</v>
      </c>
      <c r="E785" t="s">
        <v>74</v>
      </c>
      <c r="F785" t="s">
        <v>15061</v>
      </c>
      <c r="G785" t="s">
        <v>74</v>
      </c>
      <c r="H785" t="s">
        <v>74</v>
      </c>
      <c r="I785" t="s">
        <v>15062</v>
      </c>
      <c r="J785" t="s">
        <v>13911</v>
      </c>
      <c r="K785" t="s">
        <v>74</v>
      </c>
      <c r="L785" t="s">
        <v>74</v>
      </c>
      <c r="M785" t="s">
        <v>78</v>
      </c>
      <c r="N785" t="s">
        <v>79</v>
      </c>
      <c r="O785" t="s">
        <v>74</v>
      </c>
      <c r="P785" t="s">
        <v>74</v>
      </c>
      <c r="Q785" t="s">
        <v>74</v>
      </c>
      <c r="R785" t="s">
        <v>74</v>
      </c>
      <c r="S785" t="s">
        <v>74</v>
      </c>
      <c r="T785" t="s">
        <v>15063</v>
      </c>
      <c r="U785" t="s">
        <v>15064</v>
      </c>
      <c r="V785" t="s">
        <v>15065</v>
      </c>
      <c r="W785" t="s">
        <v>15066</v>
      </c>
      <c r="X785" t="s">
        <v>15067</v>
      </c>
      <c r="Y785" t="s">
        <v>15068</v>
      </c>
      <c r="Z785" t="s">
        <v>15069</v>
      </c>
      <c r="AA785" t="s">
        <v>74</v>
      </c>
      <c r="AB785" t="s">
        <v>15070</v>
      </c>
      <c r="AC785" t="s">
        <v>15071</v>
      </c>
      <c r="AD785" t="s">
        <v>15072</v>
      </c>
      <c r="AE785" t="s">
        <v>15073</v>
      </c>
      <c r="AF785" t="s">
        <v>74</v>
      </c>
      <c r="AG785">
        <v>38</v>
      </c>
      <c r="AH785">
        <v>5</v>
      </c>
      <c r="AI785">
        <v>5</v>
      </c>
      <c r="AJ785">
        <v>1</v>
      </c>
      <c r="AK785">
        <v>6</v>
      </c>
      <c r="AL785" t="s">
        <v>2627</v>
      </c>
      <c r="AM785" t="s">
        <v>2628</v>
      </c>
      <c r="AN785" t="s">
        <v>2629</v>
      </c>
      <c r="AO785" t="s">
        <v>13924</v>
      </c>
      <c r="AP785" t="s">
        <v>13925</v>
      </c>
      <c r="AQ785" t="s">
        <v>74</v>
      </c>
      <c r="AR785" t="s">
        <v>13926</v>
      </c>
      <c r="AS785" t="s">
        <v>13927</v>
      </c>
      <c r="AT785" t="s">
        <v>12161</v>
      </c>
      <c r="AU785">
        <v>2020</v>
      </c>
      <c r="AV785">
        <v>52</v>
      </c>
      <c r="AW785">
        <v>1</v>
      </c>
      <c r="AX785" t="s">
        <v>74</v>
      </c>
      <c r="AY785" t="s">
        <v>74</v>
      </c>
      <c r="AZ785" t="s">
        <v>74</v>
      </c>
      <c r="BA785" t="s">
        <v>74</v>
      </c>
      <c r="BB785">
        <v>476</v>
      </c>
      <c r="BC785">
        <v>490</v>
      </c>
      <c r="BD785" t="s">
        <v>74</v>
      </c>
      <c r="BE785" t="s">
        <v>15074</v>
      </c>
      <c r="BF785" t="str">
        <f>HYPERLINK("http://dx.doi.org/10.1080/15230430.2020.1805848","http://dx.doi.org/10.1080/15230430.2020.1805848")</f>
        <v>http://dx.doi.org/10.1080/15230430.2020.1805848</v>
      </c>
      <c r="BG785" t="s">
        <v>74</v>
      </c>
      <c r="BH785" t="s">
        <v>74</v>
      </c>
      <c r="BI785">
        <v>15</v>
      </c>
      <c r="BJ785" t="s">
        <v>13929</v>
      </c>
      <c r="BK785" t="s">
        <v>103</v>
      </c>
      <c r="BL785" t="s">
        <v>1828</v>
      </c>
      <c r="BM785" t="s">
        <v>15075</v>
      </c>
      <c r="BN785" t="s">
        <v>74</v>
      </c>
      <c r="BO785" t="s">
        <v>2592</v>
      </c>
      <c r="BP785" t="s">
        <v>74</v>
      </c>
      <c r="BQ785" t="s">
        <v>74</v>
      </c>
      <c r="BR785" t="s">
        <v>106</v>
      </c>
      <c r="BS785" t="s">
        <v>15076</v>
      </c>
      <c r="BT785" t="str">
        <f>HYPERLINK("https%3A%2F%2Fwww.webofscience.com%2Fwos%2Fwoscc%2Ffull-record%2FWOS:000576111700001","View Full Record in Web of Science")</f>
        <v>View Full Record in Web of Science</v>
      </c>
    </row>
    <row r="786" spans="1:72" x14ac:dyDescent="0.15">
      <c r="A786" t="s">
        <v>72</v>
      </c>
      <c r="B786" t="s">
        <v>15077</v>
      </c>
      <c r="C786" t="s">
        <v>74</v>
      </c>
      <c r="D786" t="s">
        <v>74</v>
      </c>
      <c r="E786" t="s">
        <v>74</v>
      </c>
      <c r="F786" t="s">
        <v>15078</v>
      </c>
      <c r="G786" t="s">
        <v>74</v>
      </c>
      <c r="H786" t="s">
        <v>74</v>
      </c>
      <c r="I786" t="s">
        <v>15079</v>
      </c>
      <c r="J786" t="s">
        <v>13911</v>
      </c>
      <c r="K786" t="s">
        <v>74</v>
      </c>
      <c r="L786" t="s">
        <v>74</v>
      </c>
      <c r="M786" t="s">
        <v>78</v>
      </c>
      <c r="N786" t="s">
        <v>79</v>
      </c>
      <c r="O786" t="s">
        <v>74</v>
      </c>
      <c r="P786" t="s">
        <v>74</v>
      </c>
      <c r="Q786" t="s">
        <v>74</v>
      </c>
      <c r="R786" t="s">
        <v>74</v>
      </c>
      <c r="S786" t="s">
        <v>74</v>
      </c>
      <c r="T786" t="s">
        <v>15080</v>
      </c>
      <c r="U786" t="s">
        <v>15081</v>
      </c>
      <c r="V786" t="s">
        <v>15082</v>
      </c>
      <c r="W786" t="s">
        <v>15083</v>
      </c>
      <c r="X786" t="s">
        <v>15084</v>
      </c>
      <c r="Y786" t="s">
        <v>15085</v>
      </c>
      <c r="Z786" t="s">
        <v>15086</v>
      </c>
      <c r="AA786" t="s">
        <v>15087</v>
      </c>
      <c r="AB786" t="s">
        <v>15088</v>
      </c>
      <c r="AC786" t="s">
        <v>15089</v>
      </c>
      <c r="AD786" t="s">
        <v>15090</v>
      </c>
      <c r="AE786" t="s">
        <v>15091</v>
      </c>
      <c r="AF786" t="s">
        <v>74</v>
      </c>
      <c r="AG786">
        <v>53</v>
      </c>
      <c r="AH786">
        <v>21</v>
      </c>
      <c r="AI786">
        <v>21</v>
      </c>
      <c r="AJ786">
        <v>0</v>
      </c>
      <c r="AK786">
        <v>4</v>
      </c>
      <c r="AL786" t="s">
        <v>2627</v>
      </c>
      <c r="AM786" t="s">
        <v>2628</v>
      </c>
      <c r="AN786" t="s">
        <v>2629</v>
      </c>
      <c r="AO786" t="s">
        <v>13924</v>
      </c>
      <c r="AP786" t="s">
        <v>13925</v>
      </c>
      <c r="AQ786" t="s">
        <v>74</v>
      </c>
      <c r="AR786" t="s">
        <v>13926</v>
      </c>
      <c r="AS786" t="s">
        <v>13927</v>
      </c>
      <c r="AT786" t="s">
        <v>12161</v>
      </c>
      <c r="AU786">
        <v>2020</v>
      </c>
      <c r="AV786">
        <v>52</v>
      </c>
      <c r="AW786">
        <v>1</v>
      </c>
      <c r="AX786" t="s">
        <v>74</v>
      </c>
      <c r="AY786" t="s">
        <v>74</v>
      </c>
      <c r="AZ786" t="s">
        <v>74</v>
      </c>
      <c r="BA786" t="s">
        <v>74</v>
      </c>
      <c r="BB786">
        <v>491</v>
      </c>
      <c r="BC786">
        <v>511</v>
      </c>
      <c r="BD786" t="s">
        <v>74</v>
      </c>
      <c r="BE786" t="s">
        <v>15092</v>
      </c>
      <c r="BF786" t="str">
        <f>HYPERLINK("http://dx.doi.org/10.1080/15230430.2020.1806986","http://dx.doi.org/10.1080/15230430.2020.1806986")</f>
        <v>http://dx.doi.org/10.1080/15230430.2020.1806986</v>
      </c>
      <c r="BG786" t="s">
        <v>74</v>
      </c>
      <c r="BH786" t="s">
        <v>74</v>
      </c>
      <c r="BI786">
        <v>21</v>
      </c>
      <c r="BJ786" t="s">
        <v>13929</v>
      </c>
      <c r="BK786" t="s">
        <v>103</v>
      </c>
      <c r="BL786" t="s">
        <v>1828</v>
      </c>
      <c r="BM786" t="s">
        <v>15093</v>
      </c>
      <c r="BN786" t="s">
        <v>74</v>
      </c>
      <c r="BO786" t="s">
        <v>5395</v>
      </c>
      <c r="BP786" t="s">
        <v>74</v>
      </c>
      <c r="BQ786" t="s">
        <v>74</v>
      </c>
      <c r="BR786" t="s">
        <v>106</v>
      </c>
      <c r="BS786" t="s">
        <v>15094</v>
      </c>
      <c r="BT786" t="str">
        <f>HYPERLINK("https%3A%2F%2Fwww.webofscience.com%2Fwos%2Fwoscc%2Ffull-record%2FWOS:000576114200001","View Full Record in Web of Science")</f>
        <v>View Full Record in Web of Science</v>
      </c>
    </row>
    <row r="787" spans="1:72" x14ac:dyDescent="0.15">
      <c r="A787" t="s">
        <v>72</v>
      </c>
      <c r="B787" t="s">
        <v>15095</v>
      </c>
      <c r="C787" t="s">
        <v>74</v>
      </c>
      <c r="D787" t="s">
        <v>74</v>
      </c>
      <c r="E787" t="s">
        <v>74</v>
      </c>
      <c r="F787" t="s">
        <v>15096</v>
      </c>
      <c r="G787" t="s">
        <v>74</v>
      </c>
      <c r="H787" t="s">
        <v>74</v>
      </c>
      <c r="I787" t="s">
        <v>15097</v>
      </c>
      <c r="J787" t="s">
        <v>13911</v>
      </c>
      <c r="K787" t="s">
        <v>74</v>
      </c>
      <c r="L787" t="s">
        <v>74</v>
      </c>
      <c r="M787" t="s">
        <v>78</v>
      </c>
      <c r="N787" t="s">
        <v>79</v>
      </c>
      <c r="O787" t="s">
        <v>74</v>
      </c>
      <c r="P787" t="s">
        <v>74</v>
      </c>
      <c r="Q787" t="s">
        <v>74</v>
      </c>
      <c r="R787" t="s">
        <v>74</v>
      </c>
      <c r="S787" t="s">
        <v>74</v>
      </c>
      <c r="T787" t="s">
        <v>15098</v>
      </c>
      <c r="U787" t="s">
        <v>15099</v>
      </c>
      <c r="V787" t="s">
        <v>15100</v>
      </c>
      <c r="W787" t="s">
        <v>15101</v>
      </c>
      <c r="X787" t="s">
        <v>15102</v>
      </c>
      <c r="Y787" t="s">
        <v>15103</v>
      </c>
      <c r="Z787" t="s">
        <v>15104</v>
      </c>
      <c r="AA787" t="s">
        <v>74</v>
      </c>
      <c r="AB787" t="s">
        <v>74</v>
      </c>
      <c r="AC787" t="s">
        <v>15105</v>
      </c>
      <c r="AD787" t="s">
        <v>15106</v>
      </c>
      <c r="AE787" t="s">
        <v>15107</v>
      </c>
      <c r="AF787" t="s">
        <v>74</v>
      </c>
      <c r="AG787">
        <v>51</v>
      </c>
      <c r="AH787">
        <v>3</v>
      </c>
      <c r="AI787">
        <v>4</v>
      </c>
      <c r="AJ787">
        <v>1</v>
      </c>
      <c r="AK787">
        <v>8</v>
      </c>
      <c r="AL787" t="s">
        <v>2627</v>
      </c>
      <c r="AM787" t="s">
        <v>2628</v>
      </c>
      <c r="AN787" t="s">
        <v>2629</v>
      </c>
      <c r="AO787" t="s">
        <v>13924</v>
      </c>
      <c r="AP787" t="s">
        <v>13925</v>
      </c>
      <c r="AQ787" t="s">
        <v>74</v>
      </c>
      <c r="AR787" t="s">
        <v>13926</v>
      </c>
      <c r="AS787" t="s">
        <v>13927</v>
      </c>
      <c r="AT787" t="s">
        <v>12161</v>
      </c>
      <c r="AU787">
        <v>2020</v>
      </c>
      <c r="AV787">
        <v>52</v>
      </c>
      <c r="AW787">
        <v>1</v>
      </c>
      <c r="AX787" t="s">
        <v>74</v>
      </c>
      <c r="AY787" t="s">
        <v>74</v>
      </c>
      <c r="AZ787" t="s">
        <v>74</v>
      </c>
      <c r="BA787" t="s">
        <v>74</v>
      </c>
      <c r="BB787">
        <v>450</v>
      </c>
      <c r="BC787">
        <v>460</v>
      </c>
      <c r="BD787" t="s">
        <v>74</v>
      </c>
      <c r="BE787" t="s">
        <v>15108</v>
      </c>
      <c r="BF787" t="str">
        <f>HYPERLINK("http://dx.doi.org/10.1080/15230430.2020.1801149","http://dx.doi.org/10.1080/15230430.2020.1801149")</f>
        <v>http://dx.doi.org/10.1080/15230430.2020.1801149</v>
      </c>
      <c r="BG787" t="s">
        <v>74</v>
      </c>
      <c r="BH787" t="s">
        <v>74</v>
      </c>
      <c r="BI787">
        <v>11</v>
      </c>
      <c r="BJ787" t="s">
        <v>13929</v>
      </c>
      <c r="BK787" t="s">
        <v>103</v>
      </c>
      <c r="BL787" t="s">
        <v>1828</v>
      </c>
      <c r="BM787" t="s">
        <v>15109</v>
      </c>
      <c r="BN787" t="s">
        <v>74</v>
      </c>
      <c r="BO787" t="s">
        <v>2592</v>
      </c>
      <c r="BP787" t="s">
        <v>74</v>
      </c>
      <c r="BQ787" t="s">
        <v>74</v>
      </c>
      <c r="BR787" t="s">
        <v>106</v>
      </c>
      <c r="BS787" t="s">
        <v>15110</v>
      </c>
      <c r="BT787" t="str">
        <f>HYPERLINK("https%3A%2F%2Fwww.webofscience.com%2Fwos%2Fwoscc%2Ffull-record%2FWOS:000574608000001","View Full Record in Web of Science")</f>
        <v>View Full Record in Web of Science</v>
      </c>
    </row>
    <row r="788" spans="1:72" x14ac:dyDescent="0.15">
      <c r="A788" t="s">
        <v>72</v>
      </c>
      <c r="B788" t="s">
        <v>15111</v>
      </c>
      <c r="C788" t="s">
        <v>74</v>
      </c>
      <c r="D788" t="s">
        <v>74</v>
      </c>
      <c r="E788" t="s">
        <v>74</v>
      </c>
      <c r="F788" t="s">
        <v>15112</v>
      </c>
      <c r="G788" t="s">
        <v>74</v>
      </c>
      <c r="H788" t="s">
        <v>74</v>
      </c>
      <c r="I788" t="s">
        <v>15113</v>
      </c>
      <c r="J788" t="s">
        <v>13911</v>
      </c>
      <c r="K788" t="s">
        <v>74</v>
      </c>
      <c r="L788" t="s">
        <v>74</v>
      </c>
      <c r="M788" t="s">
        <v>78</v>
      </c>
      <c r="N788" t="s">
        <v>79</v>
      </c>
      <c r="O788" t="s">
        <v>74</v>
      </c>
      <c r="P788" t="s">
        <v>74</v>
      </c>
      <c r="Q788" t="s">
        <v>74</v>
      </c>
      <c r="R788" t="s">
        <v>74</v>
      </c>
      <c r="S788" t="s">
        <v>74</v>
      </c>
      <c r="T788" t="s">
        <v>15114</v>
      </c>
      <c r="U788" t="s">
        <v>15115</v>
      </c>
      <c r="V788" t="s">
        <v>15116</v>
      </c>
      <c r="W788" t="s">
        <v>15117</v>
      </c>
      <c r="X788" t="s">
        <v>15118</v>
      </c>
      <c r="Y788" t="s">
        <v>15119</v>
      </c>
      <c r="Z788" t="s">
        <v>15120</v>
      </c>
      <c r="AA788" t="s">
        <v>74</v>
      </c>
      <c r="AB788" t="s">
        <v>15121</v>
      </c>
      <c r="AC788" t="s">
        <v>15122</v>
      </c>
      <c r="AD788" t="s">
        <v>15123</v>
      </c>
      <c r="AE788" t="s">
        <v>15124</v>
      </c>
      <c r="AF788" t="s">
        <v>74</v>
      </c>
      <c r="AG788">
        <v>70</v>
      </c>
      <c r="AH788">
        <v>2</v>
      </c>
      <c r="AI788">
        <v>4</v>
      </c>
      <c r="AJ788">
        <v>4</v>
      </c>
      <c r="AK788">
        <v>19</v>
      </c>
      <c r="AL788" t="s">
        <v>2627</v>
      </c>
      <c r="AM788" t="s">
        <v>2628</v>
      </c>
      <c r="AN788" t="s">
        <v>2629</v>
      </c>
      <c r="AO788" t="s">
        <v>13924</v>
      </c>
      <c r="AP788" t="s">
        <v>13925</v>
      </c>
      <c r="AQ788" t="s">
        <v>74</v>
      </c>
      <c r="AR788" t="s">
        <v>13926</v>
      </c>
      <c r="AS788" t="s">
        <v>13927</v>
      </c>
      <c r="AT788" t="s">
        <v>12161</v>
      </c>
      <c r="AU788">
        <v>2020</v>
      </c>
      <c r="AV788">
        <v>52</v>
      </c>
      <c r="AW788">
        <v>1</v>
      </c>
      <c r="AX788" t="s">
        <v>74</v>
      </c>
      <c r="AY788" t="s">
        <v>74</v>
      </c>
      <c r="AZ788" t="s">
        <v>74</v>
      </c>
      <c r="BA788" t="s">
        <v>74</v>
      </c>
      <c r="BB788">
        <v>461</v>
      </c>
      <c r="BC788">
        <v>475</v>
      </c>
      <c r="BD788" t="s">
        <v>74</v>
      </c>
      <c r="BE788" t="s">
        <v>15125</v>
      </c>
      <c r="BF788" t="str">
        <f>HYPERLINK("http://dx.doi.org/10.1080/15230430.2020.1802864","http://dx.doi.org/10.1080/15230430.2020.1802864")</f>
        <v>http://dx.doi.org/10.1080/15230430.2020.1802864</v>
      </c>
      <c r="BG788" t="s">
        <v>74</v>
      </c>
      <c r="BH788" t="s">
        <v>74</v>
      </c>
      <c r="BI788">
        <v>15</v>
      </c>
      <c r="BJ788" t="s">
        <v>13929</v>
      </c>
      <c r="BK788" t="s">
        <v>103</v>
      </c>
      <c r="BL788" t="s">
        <v>1828</v>
      </c>
      <c r="BM788" t="s">
        <v>15126</v>
      </c>
      <c r="BN788" t="s">
        <v>74</v>
      </c>
      <c r="BO788" t="s">
        <v>1101</v>
      </c>
      <c r="BP788" t="s">
        <v>74</v>
      </c>
      <c r="BQ788" t="s">
        <v>74</v>
      </c>
      <c r="BR788" t="s">
        <v>106</v>
      </c>
      <c r="BS788" t="s">
        <v>15127</v>
      </c>
      <c r="BT788" t="str">
        <f>HYPERLINK("https%3A%2F%2Fwww.webofscience.com%2Fwos%2Fwoscc%2Ffull-record%2FWOS:000574433300001","View Full Record in Web of Science")</f>
        <v>View Full Record in Web of Science</v>
      </c>
    </row>
    <row r="789" spans="1:72" x14ac:dyDescent="0.15">
      <c r="A789" t="s">
        <v>72</v>
      </c>
      <c r="B789" t="s">
        <v>15128</v>
      </c>
      <c r="C789" t="s">
        <v>74</v>
      </c>
      <c r="D789" t="s">
        <v>74</v>
      </c>
      <c r="E789" t="s">
        <v>74</v>
      </c>
      <c r="F789" t="s">
        <v>15129</v>
      </c>
      <c r="G789" t="s">
        <v>74</v>
      </c>
      <c r="H789" t="s">
        <v>74</v>
      </c>
      <c r="I789" t="s">
        <v>15130</v>
      </c>
      <c r="J789" t="s">
        <v>15131</v>
      </c>
      <c r="K789" t="s">
        <v>74</v>
      </c>
      <c r="L789" t="s">
        <v>74</v>
      </c>
      <c r="M789" t="s">
        <v>78</v>
      </c>
      <c r="N789" t="s">
        <v>79</v>
      </c>
      <c r="O789" t="s">
        <v>74</v>
      </c>
      <c r="P789" t="s">
        <v>74</v>
      </c>
      <c r="Q789" t="s">
        <v>74</v>
      </c>
      <c r="R789" t="s">
        <v>74</v>
      </c>
      <c r="S789" t="s">
        <v>74</v>
      </c>
      <c r="T789" t="s">
        <v>15132</v>
      </c>
      <c r="U789" t="s">
        <v>15133</v>
      </c>
      <c r="V789" t="s">
        <v>15134</v>
      </c>
      <c r="W789" t="s">
        <v>15135</v>
      </c>
      <c r="X789" t="s">
        <v>15136</v>
      </c>
      <c r="Y789" t="s">
        <v>15137</v>
      </c>
      <c r="Z789" t="s">
        <v>74</v>
      </c>
      <c r="AA789" t="s">
        <v>74</v>
      </c>
      <c r="AB789" t="s">
        <v>15138</v>
      </c>
      <c r="AC789" t="s">
        <v>15139</v>
      </c>
      <c r="AD789" t="s">
        <v>15140</v>
      </c>
      <c r="AE789" t="s">
        <v>15141</v>
      </c>
      <c r="AF789" t="s">
        <v>74</v>
      </c>
      <c r="AG789">
        <v>69</v>
      </c>
      <c r="AH789">
        <v>3</v>
      </c>
      <c r="AI789">
        <v>3</v>
      </c>
      <c r="AJ789">
        <v>1</v>
      </c>
      <c r="AK789">
        <v>2</v>
      </c>
      <c r="AL789" t="s">
        <v>15142</v>
      </c>
      <c r="AM789" t="s">
        <v>15143</v>
      </c>
      <c r="AN789" t="s">
        <v>15144</v>
      </c>
      <c r="AO789" t="s">
        <v>15145</v>
      </c>
      <c r="AP789" t="s">
        <v>15146</v>
      </c>
      <c r="AQ789" t="s">
        <v>74</v>
      </c>
      <c r="AR789" t="s">
        <v>15147</v>
      </c>
      <c r="AS789" t="s">
        <v>15148</v>
      </c>
      <c r="AT789" t="s">
        <v>74</v>
      </c>
      <c r="AU789">
        <v>2020</v>
      </c>
      <c r="AV789">
        <v>42</v>
      </c>
      <c r="AW789">
        <v>4</v>
      </c>
      <c r="AX789" t="s">
        <v>74</v>
      </c>
      <c r="AY789" t="s">
        <v>74</v>
      </c>
      <c r="AZ789" t="s">
        <v>74</v>
      </c>
      <c r="BA789" t="s">
        <v>74</v>
      </c>
      <c r="BB789">
        <v>18</v>
      </c>
      <c r="BC789">
        <v>38</v>
      </c>
      <c r="BD789" t="s">
        <v>74</v>
      </c>
      <c r="BE789" t="s">
        <v>15149</v>
      </c>
      <c r="BF789" t="str">
        <f>HYPERLINK("http://dx.doi.org/10.24028/gzh.0203-3100.v42i4.2020.210670","http://dx.doi.org/10.24028/gzh.0203-3100.v42i4.2020.210670")</f>
        <v>http://dx.doi.org/10.24028/gzh.0203-3100.v42i4.2020.210670</v>
      </c>
      <c r="BG789" t="s">
        <v>74</v>
      </c>
      <c r="BH789" t="s">
        <v>74</v>
      </c>
      <c r="BI789">
        <v>21</v>
      </c>
      <c r="BJ789" t="s">
        <v>442</v>
      </c>
      <c r="BK789" t="s">
        <v>274</v>
      </c>
      <c r="BL789" t="s">
        <v>442</v>
      </c>
      <c r="BM789" t="s">
        <v>15150</v>
      </c>
      <c r="BN789" t="s">
        <v>74</v>
      </c>
      <c r="BO789" t="s">
        <v>2592</v>
      </c>
      <c r="BP789" t="s">
        <v>74</v>
      </c>
      <c r="BQ789" t="s">
        <v>74</v>
      </c>
      <c r="BR789" t="s">
        <v>106</v>
      </c>
      <c r="BS789" t="s">
        <v>15151</v>
      </c>
      <c r="BT789" t="str">
        <f>HYPERLINK("https%3A%2F%2Fwww.webofscience.com%2Fwos%2Fwoscc%2Ffull-record%2FWOS:000574351000002","View Full Record in Web of Science")</f>
        <v>View Full Record in Web of Science</v>
      </c>
    </row>
    <row r="790" spans="1:72" x14ac:dyDescent="0.15">
      <c r="A790" t="s">
        <v>12556</v>
      </c>
      <c r="B790" t="s">
        <v>15152</v>
      </c>
      <c r="C790" t="s">
        <v>74</v>
      </c>
      <c r="D790" t="s">
        <v>15153</v>
      </c>
      <c r="E790" t="s">
        <v>74</v>
      </c>
      <c r="F790" t="s">
        <v>15154</v>
      </c>
      <c r="G790" t="s">
        <v>74</v>
      </c>
      <c r="H790" t="s">
        <v>74</v>
      </c>
      <c r="I790" t="s">
        <v>15155</v>
      </c>
      <c r="J790" t="s">
        <v>15156</v>
      </c>
      <c r="K790" t="s">
        <v>15157</v>
      </c>
      <c r="L790" t="s">
        <v>74</v>
      </c>
      <c r="M790" t="s">
        <v>78</v>
      </c>
      <c r="N790" t="s">
        <v>12422</v>
      </c>
      <c r="O790" t="s">
        <v>74</v>
      </c>
      <c r="P790" t="s">
        <v>74</v>
      </c>
      <c r="Q790" t="s">
        <v>74</v>
      </c>
      <c r="R790" t="s">
        <v>74</v>
      </c>
      <c r="S790" t="s">
        <v>74</v>
      </c>
      <c r="T790" t="s">
        <v>15158</v>
      </c>
      <c r="U790" t="s">
        <v>15159</v>
      </c>
      <c r="V790" t="s">
        <v>15160</v>
      </c>
      <c r="W790" t="s">
        <v>15161</v>
      </c>
      <c r="X790" t="s">
        <v>15162</v>
      </c>
      <c r="Y790" t="s">
        <v>15163</v>
      </c>
      <c r="Z790" t="s">
        <v>15164</v>
      </c>
      <c r="AA790" t="s">
        <v>15165</v>
      </c>
      <c r="AB790" t="s">
        <v>15166</v>
      </c>
      <c r="AC790" t="s">
        <v>15167</v>
      </c>
      <c r="AD790" t="s">
        <v>15168</v>
      </c>
      <c r="AE790" t="s">
        <v>15169</v>
      </c>
      <c r="AF790" t="s">
        <v>74</v>
      </c>
      <c r="AG790">
        <v>91</v>
      </c>
      <c r="AH790">
        <v>2</v>
      </c>
      <c r="AI790">
        <v>2</v>
      </c>
      <c r="AJ790">
        <v>0</v>
      </c>
      <c r="AK790">
        <v>7</v>
      </c>
      <c r="AL790" t="s">
        <v>12570</v>
      </c>
      <c r="AM790" t="s">
        <v>12571</v>
      </c>
      <c r="AN790" t="s">
        <v>12572</v>
      </c>
      <c r="AO790" t="s">
        <v>15170</v>
      </c>
      <c r="AP790" t="s">
        <v>74</v>
      </c>
      <c r="AQ790" t="s">
        <v>15171</v>
      </c>
      <c r="AR790" t="s">
        <v>15172</v>
      </c>
      <c r="AS790" t="s">
        <v>15173</v>
      </c>
      <c r="AT790" t="s">
        <v>74</v>
      </c>
      <c r="AU790">
        <v>2020</v>
      </c>
      <c r="AV790">
        <v>46</v>
      </c>
      <c r="AW790" t="s">
        <v>74</v>
      </c>
      <c r="AX790" t="s">
        <v>74</v>
      </c>
      <c r="AY790" t="s">
        <v>74</v>
      </c>
      <c r="AZ790" t="s">
        <v>74</v>
      </c>
      <c r="BA790" t="s">
        <v>74</v>
      </c>
      <c r="BB790">
        <v>153</v>
      </c>
      <c r="BC790">
        <v>170</v>
      </c>
      <c r="BD790" t="s">
        <v>74</v>
      </c>
      <c r="BE790" t="s">
        <v>15174</v>
      </c>
      <c r="BF790" t="str">
        <f>HYPERLINK("http://dx.doi.org/10.1007/978-3-030-29443-4_14","http://dx.doi.org/10.1007/978-3-030-29443-4_14")</f>
        <v>http://dx.doi.org/10.1007/978-3-030-29443-4_14</v>
      </c>
      <c r="BG790" t="s">
        <v>15175</v>
      </c>
      <c r="BH790" t="s">
        <v>74</v>
      </c>
      <c r="BI790">
        <v>18</v>
      </c>
      <c r="BJ790" t="s">
        <v>15176</v>
      </c>
      <c r="BK790" t="s">
        <v>13302</v>
      </c>
      <c r="BL790" t="s">
        <v>15177</v>
      </c>
      <c r="BM790" t="s">
        <v>15178</v>
      </c>
      <c r="BN790" t="s">
        <v>74</v>
      </c>
      <c r="BO790" t="s">
        <v>74</v>
      </c>
      <c r="BP790" t="s">
        <v>74</v>
      </c>
      <c r="BQ790" t="s">
        <v>74</v>
      </c>
      <c r="BR790" t="s">
        <v>106</v>
      </c>
      <c r="BS790" t="s">
        <v>15179</v>
      </c>
      <c r="BT790" t="str">
        <f>HYPERLINK("https%3A%2F%2Fwww.webofscience.com%2Fwos%2Fwoscc%2Ffull-record%2FWOS:000572051000015","View Full Record in Web of Science")</f>
        <v>View Full Record in Web of Science</v>
      </c>
    </row>
    <row r="791" spans="1:72" x14ac:dyDescent="0.15">
      <c r="A791" t="s">
        <v>12440</v>
      </c>
      <c r="B791" t="s">
        <v>15180</v>
      </c>
      <c r="C791" t="s">
        <v>74</v>
      </c>
      <c r="D791" t="s">
        <v>15181</v>
      </c>
      <c r="E791" t="s">
        <v>74</v>
      </c>
      <c r="F791" t="s">
        <v>15182</v>
      </c>
      <c r="G791" t="s">
        <v>74</v>
      </c>
      <c r="H791" t="s">
        <v>74</v>
      </c>
      <c r="I791" t="s">
        <v>15183</v>
      </c>
      <c r="J791" t="s">
        <v>15184</v>
      </c>
      <c r="K791" t="s">
        <v>15185</v>
      </c>
      <c r="L791" t="s">
        <v>74</v>
      </c>
      <c r="M791" t="s">
        <v>78</v>
      </c>
      <c r="N791" t="s">
        <v>12447</v>
      </c>
      <c r="O791" t="s">
        <v>15186</v>
      </c>
      <c r="P791" t="s">
        <v>15187</v>
      </c>
      <c r="Q791" t="s">
        <v>15188</v>
      </c>
      <c r="R791" t="s">
        <v>74</v>
      </c>
      <c r="S791" t="s">
        <v>74</v>
      </c>
      <c r="T791" t="s">
        <v>15189</v>
      </c>
      <c r="U791" t="s">
        <v>15190</v>
      </c>
      <c r="V791" t="s">
        <v>15191</v>
      </c>
      <c r="W791" t="s">
        <v>15192</v>
      </c>
      <c r="X791" t="s">
        <v>14846</v>
      </c>
      <c r="Y791" t="s">
        <v>15193</v>
      </c>
      <c r="Z791" t="s">
        <v>15194</v>
      </c>
      <c r="AA791" t="s">
        <v>15195</v>
      </c>
      <c r="AB791" t="s">
        <v>15196</v>
      </c>
      <c r="AC791" t="s">
        <v>15197</v>
      </c>
      <c r="AD791" t="s">
        <v>8395</v>
      </c>
      <c r="AE791" t="s">
        <v>15198</v>
      </c>
      <c r="AF791" t="s">
        <v>74</v>
      </c>
      <c r="AG791">
        <v>27</v>
      </c>
      <c r="AH791">
        <v>3</v>
      </c>
      <c r="AI791">
        <v>4</v>
      </c>
      <c r="AJ791">
        <v>0</v>
      </c>
      <c r="AK791">
        <v>4</v>
      </c>
      <c r="AL791" t="s">
        <v>12570</v>
      </c>
      <c r="AM791" t="s">
        <v>12571</v>
      </c>
      <c r="AN791" t="s">
        <v>12572</v>
      </c>
      <c r="AO791" t="s">
        <v>15199</v>
      </c>
      <c r="AP791" t="s">
        <v>15200</v>
      </c>
      <c r="AQ791" t="s">
        <v>15201</v>
      </c>
      <c r="AR791" t="s">
        <v>15202</v>
      </c>
      <c r="AS791" t="s">
        <v>74</v>
      </c>
      <c r="AT791" t="s">
        <v>74</v>
      </c>
      <c r="AU791">
        <v>2020</v>
      </c>
      <c r="AV791" t="s">
        <v>74</v>
      </c>
      <c r="AW791" t="s">
        <v>74</v>
      </c>
      <c r="AX791" t="s">
        <v>74</v>
      </c>
      <c r="AY791" t="s">
        <v>74</v>
      </c>
      <c r="AZ791" t="s">
        <v>74</v>
      </c>
      <c r="BA791" t="s">
        <v>74</v>
      </c>
      <c r="BB791">
        <v>457</v>
      </c>
      <c r="BC791">
        <v>479</v>
      </c>
      <c r="BD791" t="s">
        <v>74</v>
      </c>
      <c r="BE791" t="s">
        <v>15203</v>
      </c>
      <c r="BF791" t="str">
        <f>HYPERLINK("http://dx.doi.org/10.1007/978-3-030-21614-6_25","http://dx.doi.org/10.1007/978-3-030-21614-6_25")</f>
        <v>http://dx.doi.org/10.1007/978-3-030-21614-6_25</v>
      </c>
      <c r="BG791" t="s">
        <v>74</v>
      </c>
      <c r="BH791" t="s">
        <v>74</v>
      </c>
      <c r="BI791">
        <v>23</v>
      </c>
      <c r="BJ791" t="s">
        <v>15204</v>
      </c>
      <c r="BK791" t="s">
        <v>12464</v>
      </c>
      <c r="BL791" t="s">
        <v>15205</v>
      </c>
      <c r="BM791" t="s">
        <v>15206</v>
      </c>
      <c r="BN791" t="s">
        <v>74</v>
      </c>
      <c r="BO791" t="s">
        <v>74</v>
      </c>
      <c r="BP791" t="s">
        <v>74</v>
      </c>
      <c r="BQ791" t="s">
        <v>74</v>
      </c>
      <c r="BR791" t="s">
        <v>106</v>
      </c>
      <c r="BS791" t="s">
        <v>15207</v>
      </c>
      <c r="BT791" t="str">
        <f>HYPERLINK("https%3A%2F%2Fwww.webofscience.com%2Fwos%2Fwoscc%2Ffull-record%2FWOS:000571077500025","View Full Record in Web of Science")</f>
        <v>View Full Record in Web of Science</v>
      </c>
    </row>
    <row r="792" spans="1:72" x14ac:dyDescent="0.15">
      <c r="A792" t="s">
        <v>12440</v>
      </c>
      <c r="B792" t="s">
        <v>15208</v>
      </c>
      <c r="C792" t="s">
        <v>74</v>
      </c>
      <c r="D792" t="s">
        <v>15181</v>
      </c>
      <c r="E792" t="s">
        <v>74</v>
      </c>
      <c r="F792" t="s">
        <v>15209</v>
      </c>
      <c r="G792" t="s">
        <v>74</v>
      </c>
      <c r="H792" t="s">
        <v>74</v>
      </c>
      <c r="I792" t="s">
        <v>15210</v>
      </c>
      <c r="J792" t="s">
        <v>15184</v>
      </c>
      <c r="K792" t="s">
        <v>15185</v>
      </c>
      <c r="L792" t="s">
        <v>74</v>
      </c>
      <c r="M792" t="s">
        <v>78</v>
      </c>
      <c r="N792" t="s">
        <v>12447</v>
      </c>
      <c r="O792" t="s">
        <v>15186</v>
      </c>
      <c r="P792" t="s">
        <v>15187</v>
      </c>
      <c r="Q792" t="s">
        <v>15188</v>
      </c>
      <c r="R792" t="s">
        <v>74</v>
      </c>
      <c r="S792" t="s">
        <v>74</v>
      </c>
      <c r="T792" t="s">
        <v>15211</v>
      </c>
      <c r="U792" t="s">
        <v>15212</v>
      </c>
      <c r="V792" t="s">
        <v>15213</v>
      </c>
      <c r="W792" t="s">
        <v>15214</v>
      </c>
      <c r="X792" t="s">
        <v>15215</v>
      </c>
      <c r="Y792" t="s">
        <v>15216</v>
      </c>
      <c r="Z792" t="s">
        <v>15217</v>
      </c>
      <c r="AA792" t="s">
        <v>15218</v>
      </c>
      <c r="AB792" t="s">
        <v>15219</v>
      </c>
      <c r="AC792" t="s">
        <v>15220</v>
      </c>
      <c r="AD792" t="s">
        <v>15221</v>
      </c>
      <c r="AE792" t="s">
        <v>15222</v>
      </c>
      <c r="AF792" t="s">
        <v>74</v>
      </c>
      <c r="AG792">
        <v>30</v>
      </c>
      <c r="AH792">
        <v>4</v>
      </c>
      <c r="AI792">
        <v>8</v>
      </c>
      <c r="AJ792">
        <v>0</v>
      </c>
      <c r="AK792">
        <v>1</v>
      </c>
      <c r="AL792" t="s">
        <v>12570</v>
      </c>
      <c r="AM792" t="s">
        <v>12571</v>
      </c>
      <c r="AN792" t="s">
        <v>12572</v>
      </c>
      <c r="AO792" t="s">
        <v>15199</v>
      </c>
      <c r="AP792" t="s">
        <v>15200</v>
      </c>
      <c r="AQ792" t="s">
        <v>15201</v>
      </c>
      <c r="AR792" t="s">
        <v>15202</v>
      </c>
      <c r="AS792" t="s">
        <v>74</v>
      </c>
      <c r="AT792" t="s">
        <v>74</v>
      </c>
      <c r="AU792">
        <v>2020</v>
      </c>
      <c r="AV792" t="s">
        <v>74</v>
      </c>
      <c r="AW792" t="s">
        <v>74</v>
      </c>
      <c r="AX792" t="s">
        <v>74</v>
      </c>
      <c r="AY792" t="s">
        <v>74</v>
      </c>
      <c r="AZ792" t="s">
        <v>74</v>
      </c>
      <c r="BA792" t="s">
        <v>74</v>
      </c>
      <c r="BB792">
        <v>481</v>
      </c>
      <c r="BC792">
        <v>500</v>
      </c>
      <c r="BD792" t="s">
        <v>74</v>
      </c>
      <c r="BE792" t="s">
        <v>15223</v>
      </c>
      <c r="BF792" t="str">
        <f>HYPERLINK("http://dx.doi.org/10.1007/978-3-030-21614-6_26","http://dx.doi.org/10.1007/978-3-030-21614-6_26")</f>
        <v>http://dx.doi.org/10.1007/978-3-030-21614-6_26</v>
      </c>
      <c r="BG792" t="s">
        <v>74</v>
      </c>
      <c r="BH792" t="s">
        <v>74</v>
      </c>
      <c r="BI792">
        <v>20</v>
      </c>
      <c r="BJ792" t="s">
        <v>15204</v>
      </c>
      <c r="BK792" t="s">
        <v>12464</v>
      </c>
      <c r="BL792" t="s">
        <v>15205</v>
      </c>
      <c r="BM792" t="s">
        <v>15206</v>
      </c>
      <c r="BN792" t="s">
        <v>74</v>
      </c>
      <c r="BO792" t="s">
        <v>74</v>
      </c>
      <c r="BP792" t="s">
        <v>74</v>
      </c>
      <c r="BQ792" t="s">
        <v>74</v>
      </c>
      <c r="BR792" t="s">
        <v>106</v>
      </c>
      <c r="BS792" t="s">
        <v>15224</v>
      </c>
      <c r="BT792" t="str">
        <f>HYPERLINK("https%3A%2F%2Fwww.webofscience.com%2Fwos%2Fwoscc%2Ffull-record%2FWOS:000571077500026","View Full Record in Web of Science")</f>
        <v>View Full Record in Web of Science</v>
      </c>
    </row>
    <row r="793" spans="1:72" x14ac:dyDescent="0.15">
      <c r="A793" t="s">
        <v>12440</v>
      </c>
      <c r="B793" t="s">
        <v>15225</v>
      </c>
      <c r="C793" t="s">
        <v>74</v>
      </c>
      <c r="D793" t="s">
        <v>15181</v>
      </c>
      <c r="E793" t="s">
        <v>74</v>
      </c>
      <c r="F793" t="s">
        <v>15226</v>
      </c>
      <c r="G793" t="s">
        <v>74</v>
      </c>
      <c r="H793" t="s">
        <v>74</v>
      </c>
      <c r="I793" t="s">
        <v>15227</v>
      </c>
      <c r="J793" t="s">
        <v>15184</v>
      </c>
      <c r="K793" t="s">
        <v>15185</v>
      </c>
      <c r="L793" t="s">
        <v>74</v>
      </c>
      <c r="M793" t="s">
        <v>78</v>
      </c>
      <c r="N793" t="s">
        <v>12447</v>
      </c>
      <c r="O793" t="s">
        <v>15186</v>
      </c>
      <c r="P793" t="s">
        <v>15187</v>
      </c>
      <c r="Q793" t="s">
        <v>15188</v>
      </c>
      <c r="R793" t="s">
        <v>74</v>
      </c>
      <c r="S793" t="s">
        <v>74</v>
      </c>
      <c r="T793" t="s">
        <v>15228</v>
      </c>
      <c r="U793" t="s">
        <v>15229</v>
      </c>
      <c r="V793" t="s">
        <v>15230</v>
      </c>
      <c r="W793" t="s">
        <v>15231</v>
      </c>
      <c r="X793" t="s">
        <v>15232</v>
      </c>
      <c r="Y793" t="s">
        <v>15233</v>
      </c>
      <c r="Z793" t="s">
        <v>15234</v>
      </c>
      <c r="AA793" t="s">
        <v>15235</v>
      </c>
      <c r="AB793" t="s">
        <v>74</v>
      </c>
      <c r="AC793" t="s">
        <v>15236</v>
      </c>
      <c r="AD793" t="s">
        <v>15237</v>
      </c>
      <c r="AE793" t="s">
        <v>15238</v>
      </c>
      <c r="AF793" t="s">
        <v>74</v>
      </c>
      <c r="AG793">
        <v>53</v>
      </c>
      <c r="AH793">
        <v>0</v>
      </c>
      <c r="AI793">
        <v>0</v>
      </c>
      <c r="AJ793">
        <v>0</v>
      </c>
      <c r="AK793">
        <v>1</v>
      </c>
      <c r="AL793" t="s">
        <v>12570</v>
      </c>
      <c r="AM793" t="s">
        <v>12571</v>
      </c>
      <c r="AN793" t="s">
        <v>12572</v>
      </c>
      <c r="AO793" t="s">
        <v>15199</v>
      </c>
      <c r="AP793" t="s">
        <v>15200</v>
      </c>
      <c r="AQ793" t="s">
        <v>15201</v>
      </c>
      <c r="AR793" t="s">
        <v>15202</v>
      </c>
      <c r="AS793" t="s">
        <v>74</v>
      </c>
      <c r="AT793" t="s">
        <v>74</v>
      </c>
      <c r="AU793">
        <v>2020</v>
      </c>
      <c r="AV793" t="s">
        <v>74</v>
      </c>
      <c r="AW793" t="s">
        <v>74</v>
      </c>
      <c r="AX793" t="s">
        <v>74</v>
      </c>
      <c r="AY793" t="s">
        <v>74</v>
      </c>
      <c r="AZ793" t="s">
        <v>74</v>
      </c>
      <c r="BA793" t="s">
        <v>74</v>
      </c>
      <c r="BB793">
        <v>605</v>
      </c>
      <c r="BC793">
        <v>617</v>
      </c>
      <c r="BD793" t="s">
        <v>74</v>
      </c>
      <c r="BE793" t="s">
        <v>15239</v>
      </c>
      <c r="BF793" t="str">
        <f>HYPERLINK("http://dx.doi.org/10.1007/978-3-030-21614-6_32","http://dx.doi.org/10.1007/978-3-030-21614-6_32")</f>
        <v>http://dx.doi.org/10.1007/978-3-030-21614-6_32</v>
      </c>
      <c r="BG793" t="s">
        <v>74</v>
      </c>
      <c r="BH793" t="s">
        <v>74</v>
      </c>
      <c r="BI793">
        <v>13</v>
      </c>
      <c r="BJ793" t="s">
        <v>15204</v>
      </c>
      <c r="BK793" t="s">
        <v>12464</v>
      </c>
      <c r="BL793" t="s">
        <v>15205</v>
      </c>
      <c r="BM793" t="s">
        <v>15206</v>
      </c>
      <c r="BN793" t="s">
        <v>74</v>
      </c>
      <c r="BO793" t="s">
        <v>74</v>
      </c>
      <c r="BP793" t="s">
        <v>74</v>
      </c>
      <c r="BQ793" t="s">
        <v>74</v>
      </c>
      <c r="BR793" t="s">
        <v>106</v>
      </c>
      <c r="BS793" t="s">
        <v>15240</v>
      </c>
      <c r="BT793" t="str">
        <f>HYPERLINK("https%3A%2F%2Fwww.webofscience.com%2Fwos%2Fwoscc%2Ffull-record%2FWOS:000571077500032","View Full Record in Web of Science")</f>
        <v>View Full Record in Web of Science</v>
      </c>
    </row>
    <row r="794" spans="1:72" x14ac:dyDescent="0.15">
      <c r="A794" t="s">
        <v>72</v>
      </c>
      <c r="B794" t="s">
        <v>15241</v>
      </c>
      <c r="C794" t="s">
        <v>74</v>
      </c>
      <c r="D794" t="s">
        <v>74</v>
      </c>
      <c r="E794" t="s">
        <v>74</v>
      </c>
      <c r="F794" t="s">
        <v>15242</v>
      </c>
      <c r="G794" t="s">
        <v>74</v>
      </c>
      <c r="H794" t="s">
        <v>74</v>
      </c>
      <c r="I794" t="s">
        <v>15243</v>
      </c>
      <c r="J794" t="s">
        <v>15244</v>
      </c>
      <c r="K794" t="s">
        <v>74</v>
      </c>
      <c r="L794" t="s">
        <v>74</v>
      </c>
      <c r="M794" t="s">
        <v>78</v>
      </c>
      <c r="N794" t="s">
        <v>79</v>
      </c>
      <c r="O794" t="s">
        <v>74</v>
      </c>
      <c r="P794" t="s">
        <v>74</v>
      </c>
      <c r="Q794" t="s">
        <v>74</v>
      </c>
      <c r="R794" t="s">
        <v>74</v>
      </c>
      <c r="S794" t="s">
        <v>74</v>
      </c>
      <c r="T794" t="s">
        <v>15245</v>
      </c>
      <c r="U794" t="s">
        <v>15246</v>
      </c>
      <c r="V794" t="s">
        <v>15247</v>
      </c>
      <c r="W794" t="s">
        <v>15248</v>
      </c>
      <c r="X794" t="s">
        <v>15249</v>
      </c>
      <c r="Y794" t="s">
        <v>15250</v>
      </c>
      <c r="Z794" t="s">
        <v>15251</v>
      </c>
      <c r="AA794" t="s">
        <v>15252</v>
      </c>
      <c r="AB794" t="s">
        <v>15253</v>
      </c>
      <c r="AC794" t="s">
        <v>15254</v>
      </c>
      <c r="AD794" t="s">
        <v>15255</v>
      </c>
      <c r="AE794" t="s">
        <v>15256</v>
      </c>
      <c r="AF794" t="s">
        <v>74</v>
      </c>
      <c r="AG794">
        <v>41</v>
      </c>
      <c r="AH794">
        <v>2</v>
      </c>
      <c r="AI794">
        <v>2</v>
      </c>
      <c r="AJ794">
        <v>2</v>
      </c>
      <c r="AK794">
        <v>21</v>
      </c>
      <c r="AL794" t="s">
        <v>15257</v>
      </c>
      <c r="AM794" t="s">
        <v>15258</v>
      </c>
      <c r="AN794" t="s">
        <v>15259</v>
      </c>
      <c r="AO794" t="s">
        <v>15260</v>
      </c>
      <c r="AP794" t="s">
        <v>15261</v>
      </c>
      <c r="AQ794" t="s">
        <v>74</v>
      </c>
      <c r="AR794" t="s">
        <v>15262</v>
      </c>
      <c r="AS794" t="s">
        <v>15263</v>
      </c>
      <c r="AT794" t="s">
        <v>74</v>
      </c>
      <c r="AU794">
        <v>2020</v>
      </c>
      <c r="AV794">
        <v>71</v>
      </c>
      <c r="AW794">
        <v>1</v>
      </c>
      <c r="AX794" t="s">
        <v>74</v>
      </c>
      <c r="AY794" t="s">
        <v>74</v>
      </c>
      <c r="AZ794" t="s">
        <v>74</v>
      </c>
      <c r="BA794" t="s">
        <v>74</v>
      </c>
      <c r="BB794">
        <v>37</v>
      </c>
      <c r="BC794">
        <v>46</v>
      </c>
      <c r="BD794" t="s">
        <v>74</v>
      </c>
      <c r="BE794" t="s">
        <v>15264</v>
      </c>
      <c r="BF794" t="str">
        <f>HYPERLINK("http://dx.doi.org/10.37501/soilsa/121490","http://dx.doi.org/10.37501/soilsa/121490")</f>
        <v>http://dx.doi.org/10.37501/soilsa/121490</v>
      </c>
      <c r="BG794" t="s">
        <v>74</v>
      </c>
      <c r="BH794" t="s">
        <v>74</v>
      </c>
      <c r="BI794">
        <v>10</v>
      </c>
      <c r="BJ794" t="s">
        <v>1035</v>
      </c>
      <c r="BK794" t="s">
        <v>274</v>
      </c>
      <c r="BL794" t="s">
        <v>1036</v>
      </c>
      <c r="BM794" t="s">
        <v>15265</v>
      </c>
      <c r="BN794" t="s">
        <v>74</v>
      </c>
      <c r="BO794" t="s">
        <v>2592</v>
      </c>
      <c r="BP794" t="s">
        <v>74</v>
      </c>
      <c r="BQ794" t="s">
        <v>74</v>
      </c>
      <c r="BR794" t="s">
        <v>106</v>
      </c>
      <c r="BS794" t="s">
        <v>15266</v>
      </c>
      <c r="BT794" t="str">
        <f>HYPERLINK("https%3A%2F%2Fwww.webofscience.com%2Fwos%2Fwoscc%2Ffull-record%2FWOS:000568761600004","View Full Record in Web of Science")</f>
        <v>View Full Record in Web of Science</v>
      </c>
    </row>
    <row r="795" spans="1:72" x14ac:dyDescent="0.15">
      <c r="A795" t="s">
        <v>72</v>
      </c>
      <c r="B795" t="s">
        <v>15267</v>
      </c>
      <c r="C795" t="s">
        <v>74</v>
      </c>
      <c r="D795" t="s">
        <v>74</v>
      </c>
      <c r="E795" t="s">
        <v>74</v>
      </c>
      <c r="F795" t="s">
        <v>15268</v>
      </c>
      <c r="G795" t="s">
        <v>74</v>
      </c>
      <c r="H795" t="s">
        <v>74</v>
      </c>
      <c r="I795" t="s">
        <v>15269</v>
      </c>
      <c r="J795" t="s">
        <v>15270</v>
      </c>
      <c r="K795" t="s">
        <v>74</v>
      </c>
      <c r="L795" t="s">
        <v>74</v>
      </c>
      <c r="M795" t="s">
        <v>78</v>
      </c>
      <c r="N795" t="s">
        <v>79</v>
      </c>
      <c r="O795" t="s">
        <v>74</v>
      </c>
      <c r="P795" t="s">
        <v>74</v>
      </c>
      <c r="Q795" t="s">
        <v>74</v>
      </c>
      <c r="R795" t="s">
        <v>74</v>
      </c>
      <c r="S795" t="s">
        <v>74</v>
      </c>
      <c r="T795" t="s">
        <v>15271</v>
      </c>
      <c r="U795" t="s">
        <v>15272</v>
      </c>
      <c r="V795" t="s">
        <v>15273</v>
      </c>
      <c r="W795" t="s">
        <v>15274</v>
      </c>
      <c r="X795" t="s">
        <v>15275</v>
      </c>
      <c r="Y795" t="s">
        <v>15276</v>
      </c>
      <c r="Z795" t="s">
        <v>15277</v>
      </c>
      <c r="AA795" t="s">
        <v>15278</v>
      </c>
      <c r="AB795" t="s">
        <v>15279</v>
      </c>
      <c r="AC795" t="s">
        <v>15280</v>
      </c>
      <c r="AD795" t="s">
        <v>15281</v>
      </c>
      <c r="AE795" t="s">
        <v>15282</v>
      </c>
      <c r="AF795" t="s">
        <v>74</v>
      </c>
      <c r="AG795">
        <v>41</v>
      </c>
      <c r="AH795">
        <v>7</v>
      </c>
      <c r="AI795">
        <v>7</v>
      </c>
      <c r="AJ795">
        <v>2</v>
      </c>
      <c r="AK795">
        <v>8</v>
      </c>
      <c r="AL795" t="s">
        <v>9590</v>
      </c>
      <c r="AM795" t="s">
        <v>9591</v>
      </c>
      <c r="AN795" t="s">
        <v>9592</v>
      </c>
      <c r="AO795" t="s">
        <v>15283</v>
      </c>
      <c r="AP795" t="s">
        <v>15284</v>
      </c>
      <c r="AQ795" t="s">
        <v>74</v>
      </c>
      <c r="AR795" t="s">
        <v>15285</v>
      </c>
      <c r="AS795" t="s">
        <v>15286</v>
      </c>
      <c r="AT795" t="s">
        <v>74</v>
      </c>
      <c r="AU795">
        <v>2020</v>
      </c>
      <c r="AV795">
        <v>13</v>
      </c>
      <c r="AW795" t="s">
        <v>74</v>
      </c>
      <c r="AX795" t="s">
        <v>74</v>
      </c>
      <c r="AY795" t="s">
        <v>74</v>
      </c>
      <c r="AZ795" t="s">
        <v>74</v>
      </c>
      <c r="BA795" t="s">
        <v>74</v>
      </c>
      <c r="BB795">
        <v>4836</v>
      </c>
      <c r="BC795">
        <v>4847</v>
      </c>
      <c r="BD795" t="s">
        <v>74</v>
      </c>
      <c r="BE795" t="s">
        <v>15287</v>
      </c>
      <c r="BF795" t="str">
        <f>HYPERLINK("http://dx.doi.org/10.1109/JSTARS.2020.3016287","http://dx.doi.org/10.1109/JSTARS.2020.3016287")</f>
        <v>http://dx.doi.org/10.1109/JSTARS.2020.3016287</v>
      </c>
      <c r="BG795" t="s">
        <v>74</v>
      </c>
      <c r="BH795" t="s">
        <v>74</v>
      </c>
      <c r="BI795">
        <v>12</v>
      </c>
      <c r="BJ795" t="s">
        <v>15288</v>
      </c>
      <c r="BK795" t="s">
        <v>103</v>
      </c>
      <c r="BL795" t="s">
        <v>15289</v>
      </c>
      <c r="BM795" t="s">
        <v>15290</v>
      </c>
      <c r="BN795" t="s">
        <v>74</v>
      </c>
      <c r="BO795" t="s">
        <v>1310</v>
      </c>
      <c r="BP795" t="s">
        <v>74</v>
      </c>
      <c r="BQ795" t="s">
        <v>74</v>
      </c>
      <c r="BR795" t="s">
        <v>106</v>
      </c>
      <c r="BS795" t="s">
        <v>15291</v>
      </c>
      <c r="BT795" t="str">
        <f>HYPERLINK("https%3A%2F%2Fwww.webofscience.com%2Fwos%2Fwoscc%2Ffull-record%2FWOS:000566332200003","View Full Record in Web of Science")</f>
        <v>View Full Record in Web of Science</v>
      </c>
    </row>
    <row r="796" spans="1:72" x14ac:dyDescent="0.15">
      <c r="A796" t="s">
        <v>72</v>
      </c>
      <c r="B796" t="s">
        <v>15292</v>
      </c>
      <c r="C796" t="s">
        <v>74</v>
      </c>
      <c r="D796" t="s">
        <v>74</v>
      </c>
      <c r="E796" t="s">
        <v>74</v>
      </c>
      <c r="F796" t="s">
        <v>15293</v>
      </c>
      <c r="G796" t="s">
        <v>74</v>
      </c>
      <c r="H796" t="s">
        <v>74</v>
      </c>
      <c r="I796" t="s">
        <v>15294</v>
      </c>
      <c r="J796" t="s">
        <v>13911</v>
      </c>
      <c r="K796" t="s">
        <v>74</v>
      </c>
      <c r="L796" t="s">
        <v>74</v>
      </c>
      <c r="M796" t="s">
        <v>78</v>
      </c>
      <c r="N796" t="s">
        <v>79</v>
      </c>
      <c r="O796" t="s">
        <v>74</v>
      </c>
      <c r="P796" t="s">
        <v>74</v>
      </c>
      <c r="Q796" t="s">
        <v>74</v>
      </c>
      <c r="R796" t="s">
        <v>74</v>
      </c>
      <c r="S796" t="s">
        <v>74</v>
      </c>
      <c r="T796" t="s">
        <v>15295</v>
      </c>
      <c r="U796" t="s">
        <v>15296</v>
      </c>
      <c r="V796" t="s">
        <v>15297</v>
      </c>
      <c r="W796" t="s">
        <v>15298</v>
      </c>
      <c r="X796" t="s">
        <v>15299</v>
      </c>
      <c r="Y796" t="s">
        <v>15300</v>
      </c>
      <c r="Z796" t="s">
        <v>15301</v>
      </c>
      <c r="AA796" t="s">
        <v>15302</v>
      </c>
      <c r="AB796" t="s">
        <v>15303</v>
      </c>
      <c r="AC796" t="s">
        <v>15304</v>
      </c>
      <c r="AD796" t="s">
        <v>15305</v>
      </c>
      <c r="AE796" t="s">
        <v>15306</v>
      </c>
      <c r="AF796" t="s">
        <v>74</v>
      </c>
      <c r="AG796">
        <v>61</v>
      </c>
      <c r="AH796">
        <v>2</v>
      </c>
      <c r="AI796">
        <v>2</v>
      </c>
      <c r="AJ796">
        <v>0</v>
      </c>
      <c r="AK796">
        <v>3</v>
      </c>
      <c r="AL796" t="s">
        <v>2627</v>
      </c>
      <c r="AM796" t="s">
        <v>2628</v>
      </c>
      <c r="AN796" t="s">
        <v>2629</v>
      </c>
      <c r="AO796" t="s">
        <v>13924</v>
      </c>
      <c r="AP796" t="s">
        <v>13925</v>
      </c>
      <c r="AQ796" t="s">
        <v>74</v>
      </c>
      <c r="AR796" t="s">
        <v>13926</v>
      </c>
      <c r="AS796" t="s">
        <v>13927</v>
      </c>
      <c r="AT796" t="s">
        <v>12161</v>
      </c>
      <c r="AU796">
        <v>2020</v>
      </c>
      <c r="AV796">
        <v>52</v>
      </c>
      <c r="AW796">
        <v>1</v>
      </c>
      <c r="AX796" t="s">
        <v>74</v>
      </c>
      <c r="AY796" t="s">
        <v>74</v>
      </c>
      <c r="AZ796" t="s">
        <v>74</v>
      </c>
      <c r="BA796" t="s">
        <v>74</v>
      </c>
      <c r="BB796">
        <v>435</v>
      </c>
      <c r="BC796">
        <v>449</v>
      </c>
      <c r="BD796" t="s">
        <v>74</v>
      </c>
      <c r="BE796" t="s">
        <v>15307</v>
      </c>
      <c r="BF796" t="str">
        <f>HYPERLINK("http://dx.doi.org/10.1080/15230430.2020.1800219","http://dx.doi.org/10.1080/15230430.2020.1800219")</f>
        <v>http://dx.doi.org/10.1080/15230430.2020.1800219</v>
      </c>
      <c r="BG796" t="s">
        <v>74</v>
      </c>
      <c r="BH796" t="s">
        <v>74</v>
      </c>
      <c r="BI796">
        <v>15</v>
      </c>
      <c r="BJ796" t="s">
        <v>13929</v>
      </c>
      <c r="BK796" t="s">
        <v>103</v>
      </c>
      <c r="BL796" t="s">
        <v>1828</v>
      </c>
      <c r="BM796" t="s">
        <v>15308</v>
      </c>
      <c r="BN796">
        <v>33132766</v>
      </c>
      <c r="BO796" t="s">
        <v>2993</v>
      </c>
      <c r="BP796" t="s">
        <v>74</v>
      </c>
      <c r="BQ796" t="s">
        <v>74</v>
      </c>
      <c r="BR796" t="s">
        <v>106</v>
      </c>
      <c r="BS796" t="s">
        <v>15309</v>
      </c>
      <c r="BT796" t="str">
        <f>HYPERLINK("https%3A%2F%2Fwww.webofscience.com%2Fwos%2Fwoscc%2Ffull-record%2FWOS:000565756600001","View Full Record in Web of Science")</f>
        <v>View Full Record in Web of Science</v>
      </c>
    </row>
    <row r="797" spans="1:72" x14ac:dyDescent="0.15">
      <c r="A797" t="s">
        <v>72</v>
      </c>
      <c r="B797" t="s">
        <v>15310</v>
      </c>
      <c r="C797" t="s">
        <v>74</v>
      </c>
      <c r="D797" t="s">
        <v>74</v>
      </c>
      <c r="E797" t="s">
        <v>74</v>
      </c>
      <c r="F797" t="s">
        <v>15311</v>
      </c>
      <c r="G797" t="s">
        <v>74</v>
      </c>
      <c r="H797" t="s">
        <v>74</v>
      </c>
      <c r="I797" t="s">
        <v>15312</v>
      </c>
      <c r="J797" t="s">
        <v>13911</v>
      </c>
      <c r="K797" t="s">
        <v>74</v>
      </c>
      <c r="L797" t="s">
        <v>74</v>
      </c>
      <c r="M797" t="s">
        <v>78</v>
      </c>
      <c r="N797" t="s">
        <v>79</v>
      </c>
      <c r="O797" t="s">
        <v>74</v>
      </c>
      <c r="P797" t="s">
        <v>74</v>
      </c>
      <c r="Q797" t="s">
        <v>74</v>
      </c>
      <c r="R797" t="s">
        <v>74</v>
      </c>
      <c r="S797" t="s">
        <v>74</v>
      </c>
      <c r="T797" t="s">
        <v>15313</v>
      </c>
      <c r="U797" t="s">
        <v>15314</v>
      </c>
      <c r="V797" t="s">
        <v>15315</v>
      </c>
      <c r="W797" t="s">
        <v>15316</v>
      </c>
      <c r="X797" t="s">
        <v>15317</v>
      </c>
      <c r="Y797" t="s">
        <v>15318</v>
      </c>
      <c r="Z797" t="s">
        <v>15319</v>
      </c>
      <c r="AA797" t="s">
        <v>15320</v>
      </c>
      <c r="AB797" t="s">
        <v>15321</v>
      </c>
      <c r="AC797" t="s">
        <v>15322</v>
      </c>
      <c r="AD797" t="s">
        <v>15323</v>
      </c>
      <c r="AE797" t="s">
        <v>15324</v>
      </c>
      <c r="AF797" t="s">
        <v>74</v>
      </c>
      <c r="AG797">
        <v>61</v>
      </c>
      <c r="AH797">
        <v>6</v>
      </c>
      <c r="AI797">
        <v>8</v>
      </c>
      <c r="AJ797">
        <v>1</v>
      </c>
      <c r="AK797">
        <v>12</v>
      </c>
      <c r="AL797" t="s">
        <v>2627</v>
      </c>
      <c r="AM797" t="s">
        <v>2628</v>
      </c>
      <c r="AN797" t="s">
        <v>2629</v>
      </c>
      <c r="AO797" t="s">
        <v>13924</v>
      </c>
      <c r="AP797" t="s">
        <v>13925</v>
      </c>
      <c r="AQ797" t="s">
        <v>74</v>
      </c>
      <c r="AR797" t="s">
        <v>13926</v>
      </c>
      <c r="AS797" t="s">
        <v>13927</v>
      </c>
      <c r="AT797" t="s">
        <v>12161</v>
      </c>
      <c r="AU797">
        <v>2020</v>
      </c>
      <c r="AV797">
        <v>52</v>
      </c>
      <c r="AW797">
        <v>1</v>
      </c>
      <c r="AX797" t="s">
        <v>74</v>
      </c>
      <c r="AY797" t="s">
        <v>74</v>
      </c>
      <c r="AZ797" t="s">
        <v>74</v>
      </c>
      <c r="BA797" t="s">
        <v>74</v>
      </c>
      <c r="BB797">
        <v>87</v>
      </c>
      <c r="BC797">
        <v>102</v>
      </c>
      <c r="BD797" t="s">
        <v>74</v>
      </c>
      <c r="BE797" t="s">
        <v>15325</v>
      </c>
      <c r="BF797" t="str">
        <f>HYPERLINK("http://dx.doi.org/10.1080/15230430.2020.1722397","http://dx.doi.org/10.1080/15230430.2020.1722397")</f>
        <v>http://dx.doi.org/10.1080/15230430.2020.1722397</v>
      </c>
      <c r="BG797" t="s">
        <v>74</v>
      </c>
      <c r="BH797" t="s">
        <v>74</v>
      </c>
      <c r="BI797">
        <v>16</v>
      </c>
      <c r="BJ797" t="s">
        <v>13929</v>
      </c>
      <c r="BK797" t="s">
        <v>103</v>
      </c>
      <c r="BL797" t="s">
        <v>1828</v>
      </c>
      <c r="BM797" t="s">
        <v>15326</v>
      </c>
      <c r="BN797" t="s">
        <v>74</v>
      </c>
      <c r="BO797" t="s">
        <v>1359</v>
      </c>
      <c r="BP797" t="s">
        <v>74</v>
      </c>
      <c r="BQ797" t="s">
        <v>74</v>
      </c>
      <c r="BR797" t="s">
        <v>106</v>
      </c>
      <c r="BS797" t="s">
        <v>15327</v>
      </c>
      <c r="BT797" t="str">
        <f>HYPERLINK("https%3A%2F%2Fwww.webofscience.com%2Fwos%2Fwoscc%2Ffull-record%2FWOS:000563511400001","View Full Record in Web of Science")</f>
        <v>View Full Record in Web of Science</v>
      </c>
    </row>
    <row r="798" spans="1:72" x14ac:dyDescent="0.15">
      <c r="A798" t="s">
        <v>72</v>
      </c>
      <c r="B798" t="s">
        <v>15328</v>
      </c>
      <c r="C798" t="s">
        <v>74</v>
      </c>
      <c r="D798" t="s">
        <v>74</v>
      </c>
      <c r="E798" t="s">
        <v>74</v>
      </c>
      <c r="F798" t="s">
        <v>15329</v>
      </c>
      <c r="G798" t="s">
        <v>74</v>
      </c>
      <c r="H798" t="s">
        <v>74</v>
      </c>
      <c r="I798" t="s">
        <v>15330</v>
      </c>
      <c r="J798" t="s">
        <v>14398</v>
      </c>
      <c r="K798" t="s">
        <v>74</v>
      </c>
      <c r="L798" t="s">
        <v>74</v>
      </c>
      <c r="M798" t="s">
        <v>78</v>
      </c>
      <c r="N798" t="s">
        <v>79</v>
      </c>
      <c r="O798" t="s">
        <v>74</v>
      </c>
      <c r="P798" t="s">
        <v>74</v>
      </c>
      <c r="Q798" t="s">
        <v>74</v>
      </c>
      <c r="R798" t="s">
        <v>74</v>
      </c>
      <c r="S798" t="s">
        <v>74</v>
      </c>
      <c r="T798" t="s">
        <v>15331</v>
      </c>
      <c r="U798" t="s">
        <v>15332</v>
      </c>
      <c r="V798" t="s">
        <v>15333</v>
      </c>
      <c r="W798" t="s">
        <v>15334</v>
      </c>
      <c r="X798" t="s">
        <v>15335</v>
      </c>
      <c r="Y798" t="s">
        <v>15336</v>
      </c>
      <c r="Z798" t="s">
        <v>15337</v>
      </c>
      <c r="AA798" t="s">
        <v>15338</v>
      </c>
      <c r="AB798" t="s">
        <v>15339</v>
      </c>
      <c r="AC798" t="s">
        <v>15340</v>
      </c>
      <c r="AD798" t="s">
        <v>15341</v>
      </c>
      <c r="AE798" t="s">
        <v>15342</v>
      </c>
      <c r="AF798" t="s">
        <v>74</v>
      </c>
      <c r="AG798">
        <v>77</v>
      </c>
      <c r="AH798">
        <v>6</v>
      </c>
      <c r="AI798">
        <v>6</v>
      </c>
      <c r="AJ798">
        <v>1</v>
      </c>
      <c r="AK798">
        <v>7</v>
      </c>
      <c r="AL798" t="s">
        <v>14008</v>
      </c>
      <c r="AM798" t="s">
        <v>14009</v>
      </c>
      <c r="AN798" t="s">
        <v>14010</v>
      </c>
      <c r="AO798" t="s">
        <v>14404</v>
      </c>
      <c r="AP798" t="s">
        <v>14405</v>
      </c>
      <c r="AQ798" t="s">
        <v>74</v>
      </c>
      <c r="AR798" t="s">
        <v>14406</v>
      </c>
      <c r="AS798" t="s">
        <v>14407</v>
      </c>
      <c r="AT798" t="s">
        <v>74</v>
      </c>
      <c r="AU798">
        <v>2020</v>
      </c>
      <c r="AV798">
        <v>71</v>
      </c>
      <c r="AW798">
        <v>9</v>
      </c>
      <c r="AX798" t="s">
        <v>74</v>
      </c>
      <c r="AY798" t="s">
        <v>74</v>
      </c>
      <c r="AZ798" t="s">
        <v>74</v>
      </c>
      <c r="BA798" t="s">
        <v>74</v>
      </c>
      <c r="BB798">
        <v>1118</v>
      </c>
      <c r="BC798">
        <v>1127</v>
      </c>
      <c r="BD798" t="s">
        <v>74</v>
      </c>
      <c r="BE798" t="s">
        <v>15343</v>
      </c>
      <c r="BF798" t="str">
        <f>HYPERLINK("http://dx.doi.org/10.1071/MF19153","http://dx.doi.org/10.1071/MF19153")</f>
        <v>http://dx.doi.org/10.1071/MF19153</v>
      </c>
      <c r="BG798" t="s">
        <v>74</v>
      </c>
      <c r="BH798" t="s">
        <v>74</v>
      </c>
      <c r="BI798">
        <v>10</v>
      </c>
      <c r="BJ798" t="s">
        <v>14411</v>
      </c>
      <c r="BK798" t="s">
        <v>103</v>
      </c>
      <c r="BL798" t="s">
        <v>3491</v>
      </c>
      <c r="BM798" t="s">
        <v>15344</v>
      </c>
      <c r="BN798" t="s">
        <v>74</v>
      </c>
      <c r="BO798" t="s">
        <v>74</v>
      </c>
      <c r="BP798" t="s">
        <v>74</v>
      </c>
      <c r="BQ798" t="s">
        <v>74</v>
      </c>
      <c r="BR798" t="s">
        <v>106</v>
      </c>
      <c r="BS798" t="s">
        <v>15345</v>
      </c>
      <c r="BT798" t="str">
        <f>HYPERLINK("https%3A%2F%2Fwww.webofscience.com%2Fwos%2Fwoscc%2Ffull-record%2FWOS:000562536400007","View Full Record in Web of Science")</f>
        <v>View Full Record in Web of Science</v>
      </c>
    </row>
    <row r="799" spans="1:72" x14ac:dyDescent="0.15">
      <c r="A799" t="s">
        <v>72</v>
      </c>
      <c r="B799" t="s">
        <v>15346</v>
      </c>
      <c r="C799" t="s">
        <v>74</v>
      </c>
      <c r="D799" t="s">
        <v>74</v>
      </c>
      <c r="E799" t="s">
        <v>74</v>
      </c>
      <c r="F799" t="s">
        <v>15347</v>
      </c>
      <c r="G799" t="s">
        <v>74</v>
      </c>
      <c r="H799" t="s">
        <v>74</v>
      </c>
      <c r="I799" t="s">
        <v>15348</v>
      </c>
      <c r="J799" t="s">
        <v>14272</v>
      </c>
      <c r="K799" t="s">
        <v>74</v>
      </c>
      <c r="L799" t="s">
        <v>74</v>
      </c>
      <c r="M799" t="s">
        <v>78</v>
      </c>
      <c r="N799" t="s">
        <v>79</v>
      </c>
      <c r="O799" t="s">
        <v>74</v>
      </c>
      <c r="P799" t="s">
        <v>74</v>
      </c>
      <c r="Q799" t="s">
        <v>74</v>
      </c>
      <c r="R799" t="s">
        <v>74</v>
      </c>
      <c r="S799" t="s">
        <v>74</v>
      </c>
      <c r="T799" t="s">
        <v>15349</v>
      </c>
      <c r="U799" t="s">
        <v>15350</v>
      </c>
      <c r="V799" t="s">
        <v>15351</v>
      </c>
      <c r="W799" t="s">
        <v>15352</v>
      </c>
      <c r="X799" t="s">
        <v>15353</v>
      </c>
      <c r="Y799" t="s">
        <v>15354</v>
      </c>
      <c r="Z799" t="s">
        <v>15355</v>
      </c>
      <c r="AA799" t="s">
        <v>15356</v>
      </c>
      <c r="AB799" t="s">
        <v>15357</v>
      </c>
      <c r="AC799" t="s">
        <v>15358</v>
      </c>
      <c r="AD799" t="s">
        <v>15359</v>
      </c>
      <c r="AE799" t="s">
        <v>15360</v>
      </c>
      <c r="AF799" t="s">
        <v>74</v>
      </c>
      <c r="AG799">
        <v>46</v>
      </c>
      <c r="AH799">
        <v>4</v>
      </c>
      <c r="AI799">
        <v>5</v>
      </c>
      <c r="AJ799">
        <v>0</v>
      </c>
      <c r="AK799">
        <v>11</v>
      </c>
      <c r="AL799" t="s">
        <v>14280</v>
      </c>
      <c r="AM799" t="s">
        <v>4825</v>
      </c>
      <c r="AN799" t="s">
        <v>14281</v>
      </c>
      <c r="AO799" t="s">
        <v>14282</v>
      </c>
      <c r="AP799" t="s">
        <v>14283</v>
      </c>
      <c r="AQ799" t="s">
        <v>74</v>
      </c>
      <c r="AR799" t="s">
        <v>14284</v>
      </c>
      <c r="AS799" t="s">
        <v>14285</v>
      </c>
      <c r="AT799" t="s">
        <v>74</v>
      </c>
      <c r="AU799">
        <v>2020</v>
      </c>
      <c r="AV799">
        <v>96</v>
      </c>
      <c r="AW799">
        <v>7</v>
      </c>
      <c r="AX799" t="s">
        <v>74</v>
      </c>
      <c r="AY799" t="s">
        <v>74</v>
      </c>
      <c r="AZ799" t="s">
        <v>74</v>
      </c>
      <c r="BA799" t="s">
        <v>74</v>
      </c>
      <c r="BB799">
        <v>322</v>
      </c>
      <c r="BC799">
        <v>334</v>
      </c>
      <c r="BD799" t="s">
        <v>74</v>
      </c>
      <c r="BE799" t="s">
        <v>15361</v>
      </c>
      <c r="BF799" t="str">
        <f>HYPERLINK("http://dx.doi.org/10.2183/pjab.96.024","http://dx.doi.org/10.2183/pjab.96.024")</f>
        <v>http://dx.doi.org/10.2183/pjab.96.024</v>
      </c>
      <c r="BG799" t="s">
        <v>74</v>
      </c>
      <c r="BH799" t="s">
        <v>74</v>
      </c>
      <c r="BI799">
        <v>13</v>
      </c>
      <c r="BJ799" t="s">
        <v>322</v>
      </c>
      <c r="BK799" t="s">
        <v>103</v>
      </c>
      <c r="BL799" t="s">
        <v>323</v>
      </c>
      <c r="BM799" t="s">
        <v>15362</v>
      </c>
      <c r="BN799">
        <v>32788554</v>
      </c>
      <c r="BO799" t="s">
        <v>276</v>
      </c>
      <c r="BP799" t="s">
        <v>74</v>
      </c>
      <c r="BQ799" t="s">
        <v>74</v>
      </c>
      <c r="BR799" t="s">
        <v>106</v>
      </c>
      <c r="BS799" t="s">
        <v>15363</v>
      </c>
      <c r="BT799" t="str">
        <f>HYPERLINK("https%3A%2F%2Fwww.webofscience.com%2Fwos%2Fwoscc%2Ffull-record%2FWOS:000562159600007","View Full Record in Web of Science")</f>
        <v>View Full Record in Web of Science</v>
      </c>
    </row>
    <row r="800" spans="1:72" x14ac:dyDescent="0.15">
      <c r="A800" t="s">
        <v>72</v>
      </c>
      <c r="B800" t="s">
        <v>15364</v>
      </c>
      <c r="C800" t="s">
        <v>74</v>
      </c>
      <c r="D800" t="s">
        <v>74</v>
      </c>
      <c r="E800" t="s">
        <v>74</v>
      </c>
      <c r="F800" t="s">
        <v>15365</v>
      </c>
      <c r="G800" t="s">
        <v>74</v>
      </c>
      <c r="H800" t="s">
        <v>74</v>
      </c>
      <c r="I800" t="s">
        <v>15366</v>
      </c>
      <c r="J800" t="s">
        <v>15367</v>
      </c>
      <c r="K800" t="s">
        <v>74</v>
      </c>
      <c r="L800" t="s">
        <v>74</v>
      </c>
      <c r="M800" t="s">
        <v>13425</v>
      </c>
      <c r="N800" t="s">
        <v>79</v>
      </c>
      <c r="O800" t="s">
        <v>74</v>
      </c>
      <c r="P800" t="s">
        <v>74</v>
      </c>
      <c r="Q800" t="s">
        <v>74</v>
      </c>
      <c r="R800" t="s">
        <v>74</v>
      </c>
      <c r="S800" t="s">
        <v>74</v>
      </c>
      <c r="T800" t="s">
        <v>15368</v>
      </c>
      <c r="U800" t="s">
        <v>74</v>
      </c>
      <c r="V800" t="s">
        <v>15369</v>
      </c>
      <c r="W800" t="s">
        <v>74</v>
      </c>
      <c r="X800" t="s">
        <v>74</v>
      </c>
      <c r="Y800" t="s">
        <v>74</v>
      </c>
      <c r="Z800" t="s">
        <v>15370</v>
      </c>
      <c r="AA800" t="s">
        <v>74</v>
      </c>
      <c r="AB800" t="s">
        <v>74</v>
      </c>
      <c r="AC800" t="s">
        <v>74</v>
      </c>
      <c r="AD800" t="s">
        <v>74</v>
      </c>
      <c r="AE800" t="s">
        <v>74</v>
      </c>
      <c r="AF800" t="s">
        <v>74</v>
      </c>
      <c r="AG800">
        <v>18</v>
      </c>
      <c r="AH800">
        <v>0</v>
      </c>
      <c r="AI800">
        <v>0</v>
      </c>
      <c r="AJ800">
        <v>0</v>
      </c>
      <c r="AK800">
        <v>0</v>
      </c>
      <c r="AL800" t="s">
        <v>15367</v>
      </c>
      <c r="AM800" t="s">
        <v>15371</v>
      </c>
      <c r="AN800" t="s">
        <v>15372</v>
      </c>
      <c r="AO800" t="s">
        <v>15373</v>
      </c>
      <c r="AP800" t="s">
        <v>74</v>
      </c>
      <c r="AQ800" t="s">
        <v>74</v>
      </c>
      <c r="AR800" t="s">
        <v>15374</v>
      </c>
      <c r="AS800" t="s">
        <v>15375</v>
      </c>
      <c r="AT800" t="s">
        <v>74</v>
      </c>
      <c r="AU800">
        <v>2020</v>
      </c>
      <c r="AV800" t="s">
        <v>74</v>
      </c>
      <c r="AW800">
        <v>22</v>
      </c>
      <c r="AX800" t="s">
        <v>74</v>
      </c>
      <c r="AY800" t="s">
        <v>74</v>
      </c>
      <c r="AZ800" t="s">
        <v>74</v>
      </c>
      <c r="BA800" t="s">
        <v>74</v>
      </c>
      <c r="BB800">
        <v>31</v>
      </c>
      <c r="BC800">
        <v>53</v>
      </c>
      <c r="BD800" t="s">
        <v>74</v>
      </c>
      <c r="BE800" t="s">
        <v>74</v>
      </c>
      <c r="BF800" t="s">
        <v>74</v>
      </c>
      <c r="BG800" t="s">
        <v>74</v>
      </c>
      <c r="BH800" t="s">
        <v>74</v>
      </c>
      <c r="BI800">
        <v>23</v>
      </c>
      <c r="BJ800" t="s">
        <v>15376</v>
      </c>
      <c r="BK800" t="s">
        <v>274</v>
      </c>
      <c r="BL800" t="s">
        <v>15377</v>
      </c>
      <c r="BM800" t="s">
        <v>15378</v>
      </c>
      <c r="BN800" t="s">
        <v>74</v>
      </c>
      <c r="BO800" t="s">
        <v>74</v>
      </c>
      <c r="BP800" t="s">
        <v>74</v>
      </c>
      <c r="BQ800" t="s">
        <v>74</v>
      </c>
      <c r="BR800" t="s">
        <v>106</v>
      </c>
      <c r="BS800" t="s">
        <v>15379</v>
      </c>
      <c r="BT800" t="str">
        <f>HYPERLINK("https%3A%2F%2Fwww.webofscience.com%2Fwos%2Fwoscc%2Ffull-record%2FWOS:000561743400002","View Full Record in Web of Science")</f>
        <v>View Full Record in Web of Science</v>
      </c>
    </row>
    <row r="801" spans="1:72" x14ac:dyDescent="0.15">
      <c r="A801" t="s">
        <v>72</v>
      </c>
      <c r="B801" t="s">
        <v>15380</v>
      </c>
      <c r="C801" t="s">
        <v>74</v>
      </c>
      <c r="D801" t="s">
        <v>74</v>
      </c>
      <c r="E801" t="s">
        <v>74</v>
      </c>
      <c r="F801" t="s">
        <v>15381</v>
      </c>
      <c r="G801" t="s">
        <v>74</v>
      </c>
      <c r="H801" t="s">
        <v>74</v>
      </c>
      <c r="I801" t="s">
        <v>15382</v>
      </c>
      <c r="J801" t="s">
        <v>13911</v>
      </c>
      <c r="K801" t="s">
        <v>74</v>
      </c>
      <c r="L801" t="s">
        <v>74</v>
      </c>
      <c r="M801" t="s">
        <v>78</v>
      </c>
      <c r="N801" t="s">
        <v>79</v>
      </c>
      <c r="O801" t="s">
        <v>74</v>
      </c>
      <c r="P801" t="s">
        <v>74</v>
      </c>
      <c r="Q801" t="s">
        <v>74</v>
      </c>
      <c r="R801" t="s">
        <v>74</v>
      </c>
      <c r="S801" t="s">
        <v>74</v>
      </c>
      <c r="T801" t="s">
        <v>15383</v>
      </c>
      <c r="U801" t="s">
        <v>15384</v>
      </c>
      <c r="V801" t="s">
        <v>15385</v>
      </c>
      <c r="W801" t="s">
        <v>15386</v>
      </c>
      <c r="X801" t="s">
        <v>15387</v>
      </c>
      <c r="Y801" t="s">
        <v>15388</v>
      </c>
      <c r="Z801" t="s">
        <v>15389</v>
      </c>
      <c r="AA801" t="s">
        <v>15390</v>
      </c>
      <c r="AB801" t="s">
        <v>15391</v>
      </c>
      <c r="AC801" t="s">
        <v>15392</v>
      </c>
      <c r="AD801" t="s">
        <v>3736</v>
      </c>
      <c r="AE801" t="s">
        <v>15393</v>
      </c>
      <c r="AF801" t="s">
        <v>74</v>
      </c>
      <c r="AG801">
        <v>42</v>
      </c>
      <c r="AH801">
        <v>3</v>
      </c>
      <c r="AI801">
        <v>3</v>
      </c>
      <c r="AJ801">
        <v>2</v>
      </c>
      <c r="AK801">
        <v>16</v>
      </c>
      <c r="AL801" t="s">
        <v>2627</v>
      </c>
      <c r="AM801" t="s">
        <v>2628</v>
      </c>
      <c r="AN801" t="s">
        <v>2629</v>
      </c>
      <c r="AO801" t="s">
        <v>13924</v>
      </c>
      <c r="AP801" t="s">
        <v>13925</v>
      </c>
      <c r="AQ801" t="s">
        <v>74</v>
      </c>
      <c r="AR801" t="s">
        <v>13926</v>
      </c>
      <c r="AS801" t="s">
        <v>13927</v>
      </c>
      <c r="AT801" t="s">
        <v>12161</v>
      </c>
      <c r="AU801">
        <v>2020</v>
      </c>
      <c r="AV801">
        <v>52</v>
      </c>
      <c r="AW801">
        <v>1</v>
      </c>
      <c r="AX801" t="s">
        <v>74</v>
      </c>
      <c r="AY801" t="s">
        <v>74</v>
      </c>
      <c r="AZ801" t="s">
        <v>74</v>
      </c>
      <c r="BA801" t="s">
        <v>74</v>
      </c>
      <c r="BB801">
        <v>408</v>
      </c>
      <c r="BC801">
        <v>415</v>
      </c>
      <c r="BD801" t="s">
        <v>74</v>
      </c>
      <c r="BE801" t="s">
        <v>15394</v>
      </c>
      <c r="BF801" t="str">
        <f>HYPERLINK("http://dx.doi.org/10.1080/15230430.2020.1794099","http://dx.doi.org/10.1080/15230430.2020.1794099")</f>
        <v>http://dx.doi.org/10.1080/15230430.2020.1794099</v>
      </c>
      <c r="BG801" t="s">
        <v>74</v>
      </c>
      <c r="BH801" t="s">
        <v>74</v>
      </c>
      <c r="BI801">
        <v>8</v>
      </c>
      <c r="BJ801" t="s">
        <v>13929</v>
      </c>
      <c r="BK801" t="s">
        <v>103</v>
      </c>
      <c r="BL801" t="s">
        <v>1828</v>
      </c>
      <c r="BM801" t="s">
        <v>15395</v>
      </c>
      <c r="BN801" t="s">
        <v>74</v>
      </c>
      <c r="BO801" t="s">
        <v>2592</v>
      </c>
      <c r="BP801" t="s">
        <v>74</v>
      </c>
      <c r="BQ801" t="s">
        <v>74</v>
      </c>
      <c r="BR801" t="s">
        <v>106</v>
      </c>
      <c r="BS801" t="s">
        <v>15396</v>
      </c>
      <c r="BT801" t="str">
        <f>HYPERLINK("https%3A%2F%2Fwww.webofscience.com%2Fwos%2Fwoscc%2Ffull-record%2FWOS:000560893200001","View Full Record in Web of Science")</f>
        <v>View Full Record in Web of Science</v>
      </c>
    </row>
    <row r="802" spans="1:72" x14ac:dyDescent="0.15">
      <c r="A802" t="s">
        <v>72</v>
      </c>
      <c r="B802" t="s">
        <v>15397</v>
      </c>
      <c r="C802" t="s">
        <v>74</v>
      </c>
      <c r="D802" t="s">
        <v>74</v>
      </c>
      <c r="E802" t="s">
        <v>74</v>
      </c>
      <c r="F802" t="s">
        <v>15398</v>
      </c>
      <c r="G802" t="s">
        <v>74</v>
      </c>
      <c r="H802" t="s">
        <v>74</v>
      </c>
      <c r="I802" t="s">
        <v>15399</v>
      </c>
      <c r="J802" t="s">
        <v>13911</v>
      </c>
      <c r="K802" t="s">
        <v>74</v>
      </c>
      <c r="L802" t="s">
        <v>74</v>
      </c>
      <c r="M802" t="s">
        <v>78</v>
      </c>
      <c r="N802" t="s">
        <v>79</v>
      </c>
      <c r="O802" t="s">
        <v>74</v>
      </c>
      <c r="P802" t="s">
        <v>74</v>
      </c>
      <c r="Q802" t="s">
        <v>74</v>
      </c>
      <c r="R802" t="s">
        <v>74</v>
      </c>
      <c r="S802" t="s">
        <v>74</v>
      </c>
      <c r="T802" t="s">
        <v>15400</v>
      </c>
      <c r="U802" t="s">
        <v>15401</v>
      </c>
      <c r="V802" t="s">
        <v>15402</v>
      </c>
      <c r="W802" t="s">
        <v>15403</v>
      </c>
      <c r="X802" t="s">
        <v>15404</v>
      </c>
      <c r="Y802" t="s">
        <v>15405</v>
      </c>
      <c r="Z802" t="s">
        <v>15406</v>
      </c>
      <c r="AA802" t="s">
        <v>74</v>
      </c>
      <c r="AB802" t="s">
        <v>15407</v>
      </c>
      <c r="AC802" t="s">
        <v>15408</v>
      </c>
      <c r="AD802" t="s">
        <v>6689</v>
      </c>
      <c r="AE802" t="s">
        <v>15409</v>
      </c>
      <c r="AF802" t="s">
        <v>74</v>
      </c>
      <c r="AG802">
        <v>34</v>
      </c>
      <c r="AH802">
        <v>10</v>
      </c>
      <c r="AI802">
        <v>12</v>
      </c>
      <c r="AJ802">
        <v>3</v>
      </c>
      <c r="AK802">
        <v>41</v>
      </c>
      <c r="AL802" t="s">
        <v>2627</v>
      </c>
      <c r="AM802" t="s">
        <v>2628</v>
      </c>
      <c r="AN802" t="s">
        <v>2629</v>
      </c>
      <c r="AO802" t="s">
        <v>13924</v>
      </c>
      <c r="AP802" t="s">
        <v>13925</v>
      </c>
      <c r="AQ802" t="s">
        <v>74</v>
      </c>
      <c r="AR802" t="s">
        <v>13926</v>
      </c>
      <c r="AS802" t="s">
        <v>13927</v>
      </c>
      <c r="AT802" t="s">
        <v>12161</v>
      </c>
      <c r="AU802">
        <v>2020</v>
      </c>
      <c r="AV802">
        <v>52</v>
      </c>
      <c r="AW802">
        <v>1</v>
      </c>
      <c r="AX802" t="s">
        <v>74</v>
      </c>
      <c r="AY802" t="s">
        <v>74</v>
      </c>
      <c r="AZ802" t="s">
        <v>74</v>
      </c>
      <c r="BA802" t="s">
        <v>74</v>
      </c>
      <c r="BB802">
        <v>416</v>
      </c>
      <c r="BC802">
        <v>423</v>
      </c>
      <c r="BD802" t="s">
        <v>74</v>
      </c>
      <c r="BE802" t="s">
        <v>15410</v>
      </c>
      <c r="BF802" t="str">
        <f>HYPERLINK("http://dx.doi.org/10.1080/15230430.2020.1796009","http://dx.doi.org/10.1080/15230430.2020.1796009")</f>
        <v>http://dx.doi.org/10.1080/15230430.2020.1796009</v>
      </c>
      <c r="BG802" t="s">
        <v>74</v>
      </c>
      <c r="BH802" t="s">
        <v>74</v>
      </c>
      <c r="BI802">
        <v>8</v>
      </c>
      <c r="BJ802" t="s">
        <v>13929</v>
      </c>
      <c r="BK802" t="s">
        <v>103</v>
      </c>
      <c r="BL802" t="s">
        <v>1828</v>
      </c>
      <c r="BM802" t="s">
        <v>15411</v>
      </c>
      <c r="BN802" t="s">
        <v>74</v>
      </c>
      <c r="BO802" t="s">
        <v>2592</v>
      </c>
      <c r="BP802" t="s">
        <v>74</v>
      </c>
      <c r="BQ802" t="s">
        <v>74</v>
      </c>
      <c r="BR802" t="s">
        <v>106</v>
      </c>
      <c r="BS802" t="s">
        <v>15412</v>
      </c>
      <c r="BT802" t="str">
        <f>HYPERLINK("https%3A%2F%2Fwww.webofscience.com%2Fwos%2Fwoscc%2Ffull-record%2FWOS:000561525900001","View Full Record in Web of Science")</f>
        <v>View Full Record in Web of Science</v>
      </c>
    </row>
    <row r="803" spans="1:72" x14ac:dyDescent="0.15">
      <c r="A803" t="s">
        <v>72</v>
      </c>
      <c r="B803" t="s">
        <v>15413</v>
      </c>
      <c r="C803" t="s">
        <v>74</v>
      </c>
      <c r="D803" t="s">
        <v>74</v>
      </c>
      <c r="E803" t="s">
        <v>74</v>
      </c>
      <c r="F803" t="s">
        <v>15414</v>
      </c>
      <c r="G803" t="s">
        <v>74</v>
      </c>
      <c r="H803" t="s">
        <v>74</v>
      </c>
      <c r="I803" t="s">
        <v>15415</v>
      </c>
      <c r="J803" t="s">
        <v>14779</v>
      </c>
      <c r="K803" t="s">
        <v>74</v>
      </c>
      <c r="L803" t="s">
        <v>74</v>
      </c>
      <c r="M803" t="s">
        <v>13514</v>
      </c>
      <c r="N803" t="s">
        <v>79</v>
      </c>
      <c r="O803" t="s">
        <v>74</v>
      </c>
      <c r="P803" t="s">
        <v>74</v>
      </c>
      <c r="Q803" t="s">
        <v>74</v>
      </c>
      <c r="R803" t="s">
        <v>74</v>
      </c>
      <c r="S803" t="s">
        <v>74</v>
      </c>
      <c r="T803" t="s">
        <v>15416</v>
      </c>
      <c r="U803" t="s">
        <v>15417</v>
      </c>
      <c r="V803" t="s">
        <v>15418</v>
      </c>
      <c r="W803" t="s">
        <v>15419</v>
      </c>
      <c r="X803" t="s">
        <v>15420</v>
      </c>
      <c r="Y803" t="s">
        <v>15421</v>
      </c>
      <c r="Z803" t="s">
        <v>15422</v>
      </c>
      <c r="AA803" t="s">
        <v>15423</v>
      </c>
      <c r="AB803" t="s">
        <v>15424</v>
      </c>
      <c r="AC803" t="s">
        <v>74</v>
      </c>
      <c r="AD803" t="s">
        <v>74</v>
      </c>
      <c r="AE803" t="s">
        <v>74</v>
      </c>
      <c r="AF803" t="s">
        <v>74</v>
      </c>
      <c r="AG803">
        <v>23</v>
      </c>
      <c r="AH803">
        <v>3</v>
      </c>
      <c r="AI803">
        <v>3</v>
      </c>
      <c r="AJ803">
        <v>0</v>
      </c>
      <c r="AK803">
        <v>4</v>
      </c>
      <c r="AL803" t="s">
        <v>14787</v>
      </c>
      <c r="AM803" t="s">
        <v>3623</v>
      </c>
      <c r="AN803" t="s">
        <v>14788</v>
      </c>
      <c r="AO803" t="s">
        <v>14789</v>
      </c>
      <c r="AP803" t="s">
        <v>14790</v>
      </c>
      <c r="AQ803" t="s">
        <v>74</v>
      </c>
      <c r="AR803" t="s">
        <v>14791</v>
      </c>
      <c r="AS803" t="s">
        <v>14792</v>
      </c>
      <c r="AT803" t="s">
        <v>74</v>
      </c>
      <c r="AU803">
        <v>2020</v>
      </c>
      <c r="AV803">
        <v>60</v>
      </c>
      <c r="AW803">
        <v>3</v>
      </c>
      <c r="AX803" t="s">
        <v>74</v>
      </c>
      <c r="AY803" t="s">
        <v>74</v>
      </c>
      <c r="AZ803" t="s">
        <v>74</v>
      </c>
      <c r="BA803" t="s">
        <v>74</v>
      </c>
      <c r="BB803">
        <v>379</v>
      </c>
      <c r="BC803">
        <v>394</v>
      </c>
      <c r="BD803" t="s">
        <v>74</v>
      </c>
      <c r="BE803" t="s">
        <v>15425</v>
      </c>
      <c r="BF803" t="str">
        <f>HYPERLINK("http://dx.doi.org/10.31857/S2076673420030046","http://dx.doi.org/10.31857/S2076673420030046")</f>
        <v>http://dx.doi.org/10.31857/S2076673420030046</v>
      </c>
      <c r="BG803" t="s">
        <v>74</v>
      </c>
      <c r="BH803" t="s">
        <v>74</v>
      </c>
      <c r="BI803">
        <v>16</v>
      </c>
      <c r="BJ803" t="s">
        <v>246</v>
      </c>
      <c r="BK803" t="s">
        <v>274</v>
      </c>
      <c r="BL803" t="s">
        <v>247</v>
      </c>
      <c r="BM803" t="s">
        <v>15426</v>
      </c>
      <c r="BN803" t="s">
        <v>74</v>
      </c>
      <c r="BO803" t="s">
        <v>2592</v>
      </c>
      <c r="BP803" t="s">
        <v>74</v>
      </c>
      <c r="BQ803" t="s">
        <v>74</v>
      </c>
      <c r="BR803" t="s">
        <v>106</v>
      </c>
      <c r="BS803" t="s">
        <v>15427</v>
      </c>
      <c r="BT803" t="str">
        <f>HYPERLINK("https%3A%2F%2Fwww.webofscience.com%2Fwos%2Fwoscc%2Ffull-record%2FWOS:000560480800004","View Full Record in Web of Science")</f>
        <v>View Full Record in Web of Science</v>
      </c>
    </row>
    <row r="804" spans="1:72" x14ac:dyDescent="0.15">
      <c r="A804" t="s">
        <v>72</v>
      </c>
      <c r="B804" t="s">
        <v>15428</v>
      </c>
      <c r="C804" t="s">
        <v>74</v>
      </c>
      <c r="D804" t="s">
        <v>74</v>
      </c>
      <c r="E804" t="s">
        <v>74</v>
      </c>
      <c r="F804" t="s">
        <v>15429</v>
      </c>
      <c r="G804" t="s">
        <v>74</v>
      </c>
      <c r="H804" t="s">
        <v>74</v>
      </c>
      <c r="I804" t="s">
        <v>15430</v>
      </c>
      <c r="J804" t="s">
        <v>14779</v>
      </c>
      <c r="K804" t="s">
        <v>74</v>
      </c>
      <c r="L804" t="s">
        <v>74</v>
      </c>
      <c r="M804" t="s">
        <v>13514</v>
      </c>
      <c r="N804" t="s">
        <v>79</v>
      </c>
      <c r="O804" t="s">
        <v>74</v>
      </c>
      <c r="P804" t="s">
        <v>74</v>
      </c>
      <c r="Q804" t="s">
        <v>74</v>
      </c>
      <c r="R804" t="s">
        <v>74</v>
      </c>
      <c r="S804" t="s">
        <v>74</v>
      </c>
      <c r="T804" t="s">
        <v>15431</v>
      </c>
      <c r="U804" t="s">
        <v>74</v>
      </c>
      <c r="V804" t="s">
        <v>15432</v>
      </c>
      <c r="W804" t="s">
        <v>15433</v>
      </c>
      <c r="X804" t="s">
        <v>15434</v>
      </c>
      <c r="Y804" t="s">
        <v>15435</v>
      </c>
      <c r="Z804" t="s">
        <v>15436</v>
      </c>
      <c r="AA804" t="s">
        <v>15437</v>
      </c>
      <c r="AB804" t="s">
        <v>15438</v>
      </c>
      <c r="AC804" t="s">
        <v>15439</v>
      </c>
      <c r="AD804" t="s">
        <v>13262</v>
      </c>
      <c r="AE804" t="s">
        <v>15440</v>
      </c>
      <c r="AF804" t="s">
        <v>74</v>
      </c>
      <c r="AG804">
        <v>25</v>
      </c>
      <c r="AH804">
        <v>0</v>
      </c>
      <c r="AI804">
        <v>0</v>
      </c>
      <c r="AJ804">
        <v>0</v>
      </c>
      <c r="AK804">
        <v>0</v>
      </c>
      <c r="AL804" t="s">
        <v>14787</v>
      </c>
      <c r="AM804" t="s">
        <v>3623</v>
      </c>
      <c r="AN804" t="s">
        <v>14788</v>
      </c>
      <c r="AO804" t="s">
        <v>14789</v>
      </c>
      <c r="AP804" t="s">
        <v>14790</v>
      </c>
      <c r="AQ804" t="s">
        <v>74</v>
      </c>
      <c r="AR804" t="s">
        <v>14791</v>
      </c>
      <c r="AS804" t="s">
        <v>14792</v>
      </c>
      <c r="AT804" t="s">
        <v>74</v>
      </c>
      <c r="AU804">
        <v>2020</v>
      </c>
      <c r="AV804">
        <v>60</v>
      </c>
      <c r="AW804">
        <v>3</v>
      </c>
      <c r="AX804" t="s">
        <v>74</v>
      </c>
      <c r="AY804" t="s">
        <v>74</v>
      </c>
      <c r="AZ804" t="s">
        <v>74</v>
      </c>
      <c r="BA804" t="s">
        <v>74</v>
      </c>
      <c r="BB804">
        <v>431</v>
      </c>
      <c r="BC804">
        <v>444</v>
      </c>
      <c r="BD804" t="s">
        <v>74</v>
      </c>
      <c r="BE804" t="s">
        <v>15441</v>
      </c>
      <c r="BF804" t="str">
        <f>HYPERLINK("http://dx.doi.org/10.31857/S2076673420030050","http://dx.doi.org/10.31857/S2076673420030050")</f>
        <v>http://dx.doi.org/10.31857/S2076673420030050</v>
      </c>
      <c r="BG804" t="s">
        <v>74</v>
      </c>
      <c r="BH804" t="s">
        <v>74</v>
      </c>
      <c r="BI804">
        <v>14</v>
      </c>
      <c r="BJ804" t="s">
        <v>246</v>
      </c>
      <c r="BK804" t="s">
        <v>274</v>
      </c>
      <c r="BL804" t="s">
        <v>247</v>
      </c>
      <c r="BM804" t="s">
        <v>15426</v>
      </c>
      <c r="BN804" t="s">
        <v>74</v>
      </c>
      <c r="BO804" t="s">
        <v>2592</v>
      </c>
      <c r="BP804" t="s">
        <v>74</v>
      </c>
      <c r="BQ804" t="s">
        <v>74</v>
      </c>
      <c r="BR804" t="s">
        <v>106</v>
      </c>
      <c r="BS804" t="s">
        <v>15442</v>
      </c>
      <c r="BT804" t="str">
        <f>HYPERLINK("https%3A%2F%2Fwww.webofscience.com%2Fwos%2Fwoscc%2Ffull-record%2FWOS:000560480800008","View Full Record in Web of Science")</f>
        <v>View Full Record in Web of Science</v>
      </c>
    </row>
    <row r="805" spans="1:72" x14ac:dyDescent="0.15">
      <c r="A805" t="s">
        <v>72</v>
      </c>
      <c r="B805" t="s">
        <v>15443</v>
      </c>
      <c r="C805" t="s">
        <v>74</v>
      </c>
      <c r="D805" t="s">
        <v>74</v>
      </c>
      <c r="E805" t="s">
        <v>74</v>
      </c>
      <c r="F805" t="s">
        <v>15444</v>
      </c>
      <c r="G805" t="s">
        <v>74</v>
      </c>
      <c r="H805" t="s">
        <v>15445</v>
      </c>
      <c r="I805" t="s">
        <v>15446</v>
      </c>
      <c r="J805" t="s">
        <v>14779</v>
      </c>
      <c r="K805" t="s">
        <v>74</v>
      </c>
      <c r="L805" t="s">
        <v>74</v>
      </c>
      <c r="M805" t="s">
        <v>78</v>
      </c>
      <c r="N805" t="s">
        <v>79</v>
      </c>
      <c r="O805" t="s">
        <v>74</v>
      </c>
      <c r="P805" t="s">
        <v>74</v>
      </c>
      <c r="Q805" t="s">
        <v>74</v>
      </c>
      <c r="R805" t="s">
        <v>74</v>
      </c>
      <c r="S805" t="s">
        <v>74</v>
      </c>
      <c r="T805" t="s">
        <v>15447</v>
      </c>
      <c r="U805" t="s">
        <v>15448</v>
      </c>
      <c r="V805" t="s">
        <v>15449</v>
      </c>
      <c r="W805" t="s">
        <v>15450</v>
      </c>
      <c r="X805" t="s">
        <v>15451</v>
      </c>
      <c r="Y805" t="s">
        <v>15452</v>
      </c>
      <c r="Z805" t="s">
        <v>15453</v>
      </c>
      <c r="AA805" t="s">
        <v>15454</v>
      </c>
      <c r="AB805" t="s">
        <v>15455</v>
      </c>
      <c r="AC805" t="s">
        <v>15456</v>
      </c>
      <c r="AD805" t="s">
        <v>15457</v>
      </c>
      <c r="AE805" t="s">
        <v>15458</v>
      </c>
      <c r="AF805" t="s">
        <v>74</v>
      </c>
      <c r="AG805">
        <v>40</v>
      </c>
      <c r="AH805">
        <v>8</v>
      </c>
      <c r="AI805">
        <v>8</v>
      </c>
      <c r="AJ805">
        <v>0</v>
      </c>
      <c r="AK805">
        <v>2</v>
      </c>
      <c r="AL805" t="s">
        <v>14787</v>
      </c>
      <c r="AM805" t="s">
        <v>3623</v>
      </c>
      <c r="AN805" t="s">
        <v>14788</v>
      </c>
      <c r="AO805" t="s">
        <v>14789</v>
      </c>
      <c r="AP805" t="s">
        <v>14790</v>
      </c>
      <c r="AQ805" t="s">
        <v>74</v>
      </c>
      <c r="AR805" t="s">
        <v>14791</v>
      </c>
      <c r="AS805" t="s">
        <v>14792</v>
      </c>
      <c r="AT805" t="s">
        <v>74</v>
      </c>
      <c r="AU805">
        <v>2020</v>
      </c>
      <c r="AV805">
        <v>60</v>
      </c>
      <c r="AW805">
        <v>3</v>
      </c>
      <c r="AX805" t="s">
        <v>74</v>
      </c>
      <c r="AY805" t="s">
        <v>74</v>
      </c>
      <c r="AZ805" t="s">
        <v>74</v>
      </c>
      <c r="BA805" t="s">
        <v>74</v>
      </c>
      <c r="BB805">
        <v>453</v>
      </c>
      <c r="BC805">
        <v>470</v>
      </c>
      <c r="BD805" t="s">
        <v>74</v>
      </c>
      <c r="BE805" t="s">
        <v>15459</v>
      </c>
      <c r="BF805" t="str">
        <f>HYPERLINK("http://dx.doi.org/10.31857/S2076673420030052","http://dx.doi.org/10.31857/S2076673420030052")</f>
        <v>http://dx.doi.org/10.31857/S2076673420030052</v>
      </c>
      <c r="BG805" t="s">
        <v>74</v>
      </c>
      <c r="BH805" t="s">
        <v>74</v>
      </c>
      <c r="BI805">
        <v>18</v>
      </c>
      <c r="BJ805" t="s">
        <v>246</v>
      </c>
      <c r="BK805" t="s">
        <v>274</v>
      </c>
      <c r="BL805" t="s">
        <v>247</v>
      </c>
      <c r="BM805" t="s">
        <v>15426</v>
      </c>
      <c r="BN805" t="s">
        <v>74</v>
      </c>
      <c r="BO805" t="s">
        <v>74</v>
      </c>
      <c r="BP805" t="s">
        <v>74</v>
      </c>
      <c r="BQ805" t="s">
        <v>74</v>
      </c>
      <c r="BR805" t="s">
        <v>106</v>
      </c>
      <c r="BS805" t="s">
        <v>15460</v>
      </c>
      <c r="BT805" t="str">
        <f>HYPERLINK("https%3A%2F%2Fwww.webofscience.com%2Fwos%2Fwoscc%2Ffull-record%2FWOS:000560480800010","View Full Record in Web of Science")</f>
        <v>View Full Record in Web of Science</v>
      </c>
    </row>
    <row r="806" spans="1:72" x14ac:dyDescent="0.15">
      <c r="A806" t="s">
        <v>72</v>
      </c>
      <c r="B806" t="s">
        <v>15461</v>
      </c>
      <c r="C806" t="s">
        <v>74</v>
      </c>
      <c r="D806" t="s">
        <v>74</v>
      </c>
      <c r="E806" t="s">
        <v>74</v>
      </c>
      <c r="F806" t="s">
        <v>15462</v>
      </c>
      <c r="G806" t="s">
        <v>74</v>
      </c>
      <c r="H806" t="s">
        <v>74</v>
      </c>
      <c r="I806" t="s">
        <v>15463</v>
      </c>
      <c r="J806" t="s">
        <v>15464</v>
      </c>
      <c r="K806" t="s">
        <v>74</v>
      </c>
      <c r="L806" t="s">
        <v>74</v>
      </c>
      <c r="M806" t="s">
        <v>14453</v>
      </c>
      <c r="N806" t="s">
        <v>79</v>
      </c>
      <c r="O806" t="s">
        <v>74</v>
      </c>
      <c r="P806" t="s">
        <v>74</v>
      </c>
      <c r="Q806" t="s">
        <v>74</v>
      </c>
      <c r="R806" t="s">
        <v>74</v>
      </c>
      <c r="S806" t="s">
        <v>74</v>
      </c>
      <c r="T806" t="s">
        <v>15465</v>
      </c>
      <c r="U806" t="s">
        <v>15466</v>
      </c>
      <c r="V806" t="s">
        <v>15467</v>
      </c>
      <c r="W806" t="s">
        <v>15468</v>
      </c>
      <c r="X806" t="s">
        <v>15469</v>
      </c>
      <c r="Y806" t="s">
        <v>15470</v>
      </c>
      <c r="Z806" t="s">
        <v>15471</v>
      </c>
      <c r="AA806" t="s">
        <v>15472</v>
      </c>
      <c r="AB806" t="s">
        <v>15473</v>
      </c>
      <c r="AC806" t="s">
        <v>74</v>
      </c>
      <c r="AD806" t="s">
        <v>74</v>
      </c>
      <c r="AE806" t="s">
        <v>74</v>
      </c>
      <c r="AF806" t="s">
        <v>74</v>
      </c>
      <c r="AG806">
        <v>17</v>
      </c>
      <c r="AH806">
        <v>3</v>
      </c>
      <c r="AI806">
        <v>7</v>
      </c>
      <c r="AJ806">
        <v>14</v>
      </c>
      <c r="AK806">
        <v>63</v>
      </c>
      <c r="AL806" t="s">
        <v>360</v>
      </c>
      <c r="AM806" t="s">
        <v>15474</v>
      </c>
      <c r="AN806" t="s">
        <v>15475</v>
      </c>
      <c r="AO806" t="s">
        <v>15476</v>
      </c>
      <c r="AP806" t="s">
        <v>15477</v>
      </c>
      <c r="AQ806" t="s">
        <v>74</v>
      </c>
      <c r="AR806" t="s">
        <v>15478</v>
      </c>
      <c r="AS806" t="s">
        <v>15479</v>
      </c>
      <c r="AT806" t="s">
        <v>74</v>
      </c>
      <c r="AU806">
        <v>2020</v>
      </c>
      <c r="AV806">
        <v>65</v>
      </c>
      <c r="AW806">
        <v>18</v>
      </c>
      <c r="AX806" t="s">
        <v>74</v>
      </c>
      <c r="AY806" t="s">
        <v>74</v>
      </c>
      <c r="AZ806" t="s">
        <v>74</v>
      </c>
      <c r="BA806" t="s">
        <v>74</v>
      </c>
      <c r="BB806">
        <v>1797</v>
      </c>
      <c r="BC806">
        <v>1803</v>
      </c>
      <c r="BD806" t="s">
        <v>74</v>
      </c>
      <c r="BE806" t="s">
        <v>15480</v>
      </c>
      <c r="BF806" t="str">
        <f>HYPERLINK("http://dx.doi.org/10.1360/TB-2020-0097","http://dx.doi.org/10.1360/TB-2020-0097")</f>
        <v>http://dx.doi.org/10.1360/TB-2020-0097</v>
      </c>
      <c r="BG806" t="s">
        <v>74</v>
      </c>
      <c r="BH806" t="s">
        <v>74</v>
      </c>
      <c r="BI806">
        <v>7</v>
      </c>
      <c r="BJ806" t="s">
        <v>322</v>
      </c>
      <c r="BK806" t="s">
        <v>274</v>
      </c>
      <c r="BL806" t="s">
        <v>323</v>
      </c>
      <c r="BM806" t="s">
        <v>15481</v>
      </c>
      <c r="BN806" t="s">
        <v>74</v>
      </c>
      <c r="BO806" t="s">
        <v>517</v>
      </c>
      <c r="BP806" t="s">
        <v>74</v>
      </c>
      <c r="BQ806" t="s">
        <v>74</v>
      </c>
      <c r="BR806" t="s">
        <v>106</v>
      </c>
      <c r="BS806" t="s">
        <v>15482</v>
      </c>
      <c r="BT806" t="str">
        <f>HYPERLINK("https%3A%2F%2Fwww.webofscience.com%2Fwos%2Fwoscc%2Ffull-record%2FWOS:000560209300003","View Full Record in Web of Science")</f>
        <v>View Full Record in Web of Science</v>
      </c>
    </row>
    <row r="807" spans="1:72" x14ac:dyDescent="0.15">
      <c r="A807" t="s">
        <v>72</v>
      </c>
      <c r="B807" t="s">
        <v>15483</v>
      </c>
      <c r="C807" t="s">
        <v>74</v>
      </c>
      <c r="D807" t="s">
        <v>74</v>
      </c>
      <c r="E807" t="s">
        <v>74</v>
      </c>
      <c r="F807" t="s">
        <v>15484</v>
      </c>
      <c r="G807" t="s">
        <v>74</v>
      </c>
      <c r="H807" t="s">
        <v>74</v>
      </c>
      <c r="I807" t="s">
        <v>15485</v>
      </c>
      <c r="J807" t="s">
        <v>13911</v>
      </c>
      <c r="K807" t="s">
        <v>74</v>
      </c>
      <c r="L807" t="s">
        <v>74</v>
      </c>
      <c r="M807" t="s">
        <v>78</v>
      </c>
      <c r="N807" t="s">
        <v>79</v>
      </c>
      <c r="O807" t="s">
        <v>74</v>
      </c>
      <c r="P807" t="s">
        <v>74</v>
      </c>
      <c r="Q807" t="s">
        <v>74</v>
      </c>
      <c r="R807" t="s">
        <v>74</v>
      </c>
      <c r="S807" t="s">
        <v>74</v>
      </c>
      <c r="T807" t="s">
        <v>15486</v>
      </c>
      <c r="U807" t="s">
        <v>15487</v>
      </c>
      <c r="V807" t="s">
        <v>15488</v>
      </c>
      <c r="W807" t="s">
        <v>15489</v>
      </c>
      <c r="X807" t="s">
        <v>15490</v>
      </c>
      <c r="Y807" t="s">
        <v>15491</v>
      </c>
      <c r="Z807" t="s">
        <v>15492</v>
      </c>
      <c r="AA807" t="s">
        <v>74</v>
      </c>
      <c r="AB807" t="s">
        <v>74</v>
      </c>
      <c r="AC807" t="s">
        <v>15493</v>
      </c>
      <c r="AD807" t="s">
        <v>15494</v>
      </c>
      <c r="AE807" t="s">
        <v>15495</v>
      </c>
      <c r="AF807" t="s">
        <v>74</v>
      </c>
      <c r="AG807">
        <v>71</v>
      </c>
      <c r="AH807">
        <v>13</v>
      </c>
      <c r="AI807">
        <v>13</v>
      </c>
      <c r="AJ807">
        <v>0</v>
      </c>
      <c r="AK807">
        <v>22</v>
      </c>
      <c r="AL807" t="s">
        <v>2627</v>
      </c>
      <c r="AM807" t="s">
        <v>2628</v>
      </c>
      <c r="AN807" t="s">
        <v>2629</v>
      </c>
      <c r="AO807" t="s">
        <v>13924</v>
      </c>
      <c r="AP807" t="s">
        <v>13925</v>
      </c>
      <c r="AQ807" t="s">
        <v>74</v>
      </c>
      <c r="AR807" t="s">
        <v>13926</v>
      </c>
      <c r="AS807" t="s">
        <v>13927</v>
      </c>
      <c r="AT807" t="s">
        <v>12161</v>
      </c>
      <c r="AU807">
        <v>2020</v>
      </c>
      <c r="AV807">
        <v>52</v>
      </c>
      <c r="AW807">
        <v>1</v>
      </c>
      <c r="AX807" t="s">
        <v>74</v>
      </c>
      <c r="AY807" t="s">
        <v>74</v>
      </c>
      <c r="AZ807" t="s">
        <v>74</v>
      </c>
      <c r="BA807" t="s">
        <v>74</v>
      </c>
      <c r="BB807">
        <v>390</v>
      </c>
      <c r="BC807">
        <v>407</v>
      </c>
      <c r="BD807" t="s">
        <v>74</v>
      </c>
      <c r="BE807" t="s">
        <v>15496</v>
      </c>
      <c r="BF807" t="str">
        <f>HYPERLINK("http://dx.doi.org/10.1080/15230430.2020.1794098","http://dx.doi.org/10.1080/15230430.2020.1794098")</f>
        <v>http://dx.doi.org/10.1080/15230430.2020.1794098</v>
      </c>
      <c r="BG807" t="s">
        <v>74</v>
      </c>
      <c r="BH807" t="s">
        <v>74</v>
      </c>
      <c r="BI807">
        <v>18</v>
      </c>
      <c r="BJ807" t="s">
        <v>13929</v>
      </c>
      <c r="BK807" t="s">
        <v>103</v>
      </c>
      <c r="BL807" t="s">
        <v>1828</v>
      </c>
      <c r="BM807" t="s">
        <v>15497</v>
      </c>
      <c r="BN807" t="s">
        <v>74</v>
      </c>
      <c r="BO807" t="s">
        <v>2592</v>
      </c>
      <c r="BP807" t="s">
        <v>74</v>
      </c>
      <c r="BQ807" t="s">
        <v>74</v>
      </c>
      <c r="BR807" t="s">
        <v>106</v>
      </c>
      <c r="BS807" t="s">
        <v>15498</v>
      </c>
      <c r="BT807" t="str">
        <f>HYPERLINK("https%3A%2F%2Fwww.webofscience.com%2Fwos%2Fwoscc%2Ffull-record%2FWOS:000560321400001","View Full Record in Web of Science")</f>
        <v>View Full Record in Web of Science</v>
      </c>
    </row>
    <row r="808" spans="1:72" x14ac:dyDescent="0.15">
      <c r="A808" t="s">
        <v>72</v>
      </c>
      <c r="B808" t="s">
        <v>15499</v>
      </c>
      <c r="C808" t="s">
        <v>74</v>
      </c>
      <c r="D808" t="s">
        <v>74</v>
      </c>
      <c r="E808" t="s">
        <v>74</v>
      </c>
      <c r="F808" t="s">
        <v>15500</v>
      </c>
      <c r="G808" t="s">
        <v>74</v>
      </c>
      <c r="H808" t="s">
        <v>74</v>
      </c>
      <c r="I808" t="s">
        <v>15501</v>
      </c>
      <c r="J808" t="s">
        <v>15502</v>
      </c>
      <c r="K808" t="s">
        <v>74</v>
      </c>
      <c r="L808" t="s">
        <v>74</v>
      </c>
      <c r="M808" t="s">
        <v>78</v>
      </c>
      <c r="N808" t="s">
        <v>1434</v>
      </c>
      <c r="O808" t="s">
        <v>74</v>
      </c>
      <c r="P808" t="s">
        <v>74</v>
      </c>
      <c r="Q808" t="s">
        <v>74</v>
      </c>
      <c r="R808" t="s">
        <v>74</v>
      </c>
      <c r="S808" t="s">
        <v>74</v>
      </c>
      <c r="T808" t="s">
        <v>15503</v>
      </c>
      <c r="U808" t="s">
        <v>15504</v>
      </c>
      <c r="V808" t="s">
        <v>15505</v>
      </c>
      <c r="W808" t="s">
        <v>15506</v>
      </c>
      <c r="X808" t="s">
        <v>15507</v>
      </c>
      <c r="Y808" t="s">
        <v>15508</v>
      </c>
      <c r="Z808" t="s">
        <v>15509</v>
      </c>
      <c r="AA808" t="s">
        <v>15510</v>
      </c>
      <c r="AB808" t="s">
        <v>15511</v>
      </c>
      <c r="AC808" t="s">
        <v>15512</v>
      </c>
      <c r="AD808" t="s">
        <v>15513</v>
      </c>
      <c r="AE808" t="s">
        <v>15514</v>
      </c>
      <c r="AF808" t="s">
        <v>74</v>
      </c>
      <c r="AG808">
        <v>171</v>
      </c>
      <c r="AH808">
        <v>5</v>
      </c>
      <c r="AI808">
        <v>5</v>
      </c>
      <c r="AJ808">
        <v>3</v>
      </c>
      <c r="AK808">
        <v>26</v>
      </c>
      <c r="AL808" t="s">
        <v>15515</v>
      </c>
      <c r="AM808" t="s">
        <v>15516</v>
      </c>
      <c r="AN808" t="s">
        <v>15517</v>
      </c>
      <c r="AO808" t="s">
        <v>15518</v>
      </c>
      <c r="AP808" t="s">
        <v>15519</v>
      </c>
      <c r="AQ808" t="s">
        <v>74</v>
      </c>
      <c r="AR808" t="s">
        <v>15520</v>
      </c>
      <c r="AS808" t="s">
        <v>15521</v>
      </c>
      <c r="AT808" t="s">
        <v>74</v>
      </c>
      <c r="AU808">
        <v>2020</v>
      </c>
      <c r="AV808">
        <v>21</v>
      </c>
      <c r="AW808">
        <v>4</v>
      </c>
      <c r="AX808" t="s">
        <v>74</v>
      </c>
      <c r="AY808" t="s">
        <v>74</v>
      </c>
      <c r="AZ808" t="s">
        <v>74</v>
      </c>
      <c r="BA808" t="s">
        <v>74</v>
      </c>
      <c r="BB808">
        <v>240</v>
      </c>
      <c r="BC808">
        <v>252</v>
      </c>
      <c r="BD808" t="s">
        <v>74</v>
      </c>
      <c r="BE808" t="s">
        <v>15522</v>
      </c>
      <c r="BF808" t="str">
        <f>HYPERLINK("http://dx.doi.org/10.2174/1389202921999200601144137","http://dx.doi.org/10.2174/1389202921999200601144137")</f>
        <v>http://dx.doi.org/10.2174/1389202921999200601144137</v>
      </c>
      <c r="BG808" t="s">
        <v>74</v>
      </c>
      <c r="BH808" t="s">
        <v>74</v>
      </c>
      <c r="BI808">
        <v>13</v>
      </c>
      <c r="BJ808" t="s">
        <v>15523</v>
      </c>
      <c r="BK808" t="s">
        <v>103</v>
      </c>
      <c r="BL808" t="s">
        <v>15523</v>
      </c>
      <c r="BM808" t="s">
        <v>15524</v>
      </c>
      <c r="BN808">
        <v>33071618</v>
      </c>
      <c r="BO808" t="s">
        <v>694</v>
      </c>
      <c r="BP808" t="s">
        <v>74</v>
      </c>
      <c r="BQ808" t="s">
        <v>74</v>
      </c>
      <c r="BR808" t="s">
        <v>106</v>
      </c>
      <c r="BS808" t="s">
        <v>15525</v>
      </c>
      <c r="BT808" t="str">
        <f>HYPERLINK("https%3A%2F%2Fwww.webofscience.com%2Fwos%2Fwoscc%2Ffull-record%2FWOS:000558758800002","View Full Record in Web of Science")</f>
        <v>View Full Record in Web of Science</v>
      </c>
    </row>
    <row r="809" spans="1:72" x14ac:dyDescent="0.15">
      <c r="A809" t="s">
        <v>72</v>
      </c>
      <c r="B809" t="s">
        <v>15526</v>
      </c>
      <c r="C809" t="s">
        <v>74</v>
      </c>
      <c r="D809" t="s">
        <v>74</v>
      </c>
      <c r="E809" t="s">
        <v>74</v>
      </c>
      <c r="F809" t="s">
        <v>15527</v>
      </c>
      <c r="G809" t="s">
        <v>74</v>
      </c>
      <c r="H809" t="s">
        <v>74</v>
      </c>
      <c r="I809" t="s">
        <v>15528</v>
      </c>
      <c r="J809" t="s">
        <v>15529</v>
      </c>
      <c r="K809" t="s">
        <v>74</v>
      </c>
      <c r="L809" t="s">
        <v>74</v>
      </c>
      <c r="M809" t="s">
        <v>78</v>
      </c>
      <c r="N809" t="s">
        <v>79</v>
      </c>
      <c r="O809" t="s">
        <v>74</v>
      </c>
      <c r="P809" t="s">
        <v>74</v>
      </c>
      <c r="Q809" t="s">
        <v>74</v>
      </c>
      <c r="R809" t="s">
        <v>74</v>
      </c>
      <c r="S809" t="s">
        <v>74</v>
      </c>
      <c r="T809" t="s">
        <v>15530</v>
      </c>
      <c r="U809" t="s">
        <v>15531</v>
      </c>
      <c r="V809" t="s">
        <v>15532</v>
      </c>
      <c r="W809" t="s">
        <v>15533</v>
      </c>
      <c r="X809" t="s">
        <v>15534</v>
      </c>
      <c r="Y809" t="s">
        <v>15535</v>
      </c>
      <c r="Z809" t="s">
        <v>15536</v>
      </c>
      <c r="AA809" t="s">
        <v>74</v>
      </c>
      <c r="AB809" t="s">
        <v>15537</v>
      </c>
      <c r="AC809" t="s">
        <v>15538</v>
      </c>
      <c r="AD809" t="s">
        <v>15539</v>
      </c>
      <c r="AE809" t="s">
        <v>15540</v>
      </c>
      <c r="AF809" t="s">
        <v>74</v>
      </c>
      <c r="AG809">
        <v>74</v>
      </c>
      <c r="AH809">
        <v>3</v>
      </c>
      <c r="AI809">
        <v>6</v>
      </c>
      <c r="AJ809">
        <v>0</v>
      </c>
      <c r="AK809">
        <v>6</v>
      </c>
      <c r="AL809" t="s">
        <v>238</v>
      </c>
      <c r="AM809" t="s">
        <v>3234</v>
      </c>
      <c r="AN809" t="s">
        <v>9665</v>
      </c>
      <c r="AO809" t="s">
        <v>15541</v>
      </c>
      <c r="AP809" t="s">
        <v>15542</v>
      </c>
      <c r="AQ809" t="s">
        <v>74</v>
      </c>
      <c r="AR809" t="s">
        <v>15543</v>
      </c>
      <c r="AS809" t="s">
        <v>15544</v>
      </c>
      <c r="AT809" t="s">
        <v>74</v>
      </c>
      <c r="AU809">
        <v>2020</v>
      </c>
      <c r="AV809">
        <v>94</v>
      </c>
      <c r="AW809" t="s">
        <v>74</v>
      </c>
      <c r="AX809" t="s">
        <v>74</v>
      </c>
      <c r="AY809" t="s">
        <v>74</v>
      </c>
      <c r="AZ809" t="s">
        <v>74</v>
      </c>
      <c r="BA809" t="s">
        <v>74</v>
      </c>
      <c r="BB809" t="s">
        <v>74</v>
      </c>
      <c r="BC809" t="s">
        <v>74</v>
      </c>
      <c r="BD809" t="s">
        <v>15545</v>
      </c>
      <c r="BE809" t="s">
        <v>15546</v>
      </c>
      <c r="BF809" t="str">
        <f>HYPERLINK("http://dx.doi.org/10.1017/S0022149X20000590","http://dx.doi.org/10.1017/S0022149X20000590")</f>
        <v>http://dx.doi.org/10.1017/S0022149X20000590</v>
      </c>
      <c r="BG809" t="s">
        <v>74</v>
      </c>
      <c r="BH809" t="s">
        <v>74</v>
      </c>
      <c r="BI809">
        <v>10</v>
      </c>
      <c r="BJ809" t="s">
        <v>15547</v>
      </c>
      <c r="BK809" t="s">
        <v>103</v>
      </c>
      <c r="BL809" t="s">
        <v>15547</v>
      </c>
      <c r="BM809" t="s">
        <v>15548</v>
      </c>
      <c r="BN809">
        <v>32778185</v>
      </c>
      <c r="BO809" t="s">
        <v>74</v>
      </c>
      <c r="BP809" t="s">
        <v>74</v>
      </c>
      <c r="BQ809" t="s">
        <v>74</v>
      </c>
      <c r="BR809" t="s">
        <v>106</v>
      </c>
      <c r="BS809" t="s">
        <v>15549</v>
      </c>
      <c r="BT809" t="str">
        <f>HYPERLINK("https%3A%2F%2Fwww.webofscience.com%2Fwos%2Fwoscc%2Ffull-record%2FWOS:000557835800001","View Full Record in Web of Science")</f>
        <v>View Full Record in Web of Science</v>
      </c>
    </row>
    <row r="810" spans="1:72" x14ac:dyDescent="0.15">
      <c r="A810" t="s">
        <v>72</v>
      </c>
      <c r="B810" t="s">
        <v>15550</v>
      </c>
      <c r="C810" t="s">
        <v>74</v>
      </c>
      <c r="D810" t="s">
        <v>74</v>
      </c>
      <c r="E810" t="s">
        <v>74</v>
      </c>
      <c r="F810" t="s">
        <v>15551</v>
      </c>
      <c r="G810" t="s">
        <v>74</v>
      </c>
      <c r="H810" t="s">
        <v>74</v>
      </c>
      <c r="I810" t="s">
        <v>15552</v>
      </c>
      <c r="J810" t="s">
        <v>15553</v>
      </c>
      <c r="K810" t="s">
        <v>74</v>
      </c>
      <c r="L810" t="s">
        <v>74</v>
      </c>
      <c r="M810" t="s">
        <v>78</v>
      </c>
      <c r="N810" t="s">
        <v>79</v>
      </c>
      <c r="O810" t="s">
        <v>74</v>
      </c>
      <c r="P810" t="s">
        <v>74</v>
      </c>
      <c r="Q810" t="s">
        <v>74</v>
      </c>
      <c r="R810" t="s">
        <v>74</v>
      </c>
      <c r="S810" t="s">
        <v>74</v>
      </c>
      <c r="T810" t="s">
        <v>15554</v>
      </c>
      <c r="U810" t="s">
        <v>15555</v>
      </c>
      <c r="V810" t="s">
        <v>15556</v>
      </c>
      <c r="W810" t="s">
        <v>15557</v>
      </c>
      <c r="X810" t="s">
        <v>15558</v>
      </c>
      <c r="Y810" t="s">
        <v>15559</v>
      </c>
      <c r="Z810" t="s">
        <v>15560</v>
      </c>
      <c r="AA810" t="s">
        <v>15561</v>
      </c>
      <c r="AB810" t="s">
        <v>15562</v>
      </c>
      <c r="AC810" t="s">
        <v>15563</v>
      </c>
      <c r="AD810" t="s">
        <v>15564</v>
      </c>
      <c r="AE810" t="s">
        <v>15565</v>
      </c>
      <c r="AF810" t="s">
        <v>74</v>
      </c>
      <c r="AG810">
        <v>135</v>
      </c>
      <c r="AH810">
        <v>3</v>
      </c>
      <c r="AI810">
        <v>3</v>
      </c>
      <c r="AJ810">
        <v>8</v>
      </c>
      <c r="AK810">
        <v>15</v>
      </c>
      <c r="AL810" t="s">
        <v>15566</v>
      </c>
      <c r="AM810" t="s">
        <v>15567</v>
      </c>
      <c r="AN810" t="s">
        <v>15568</v>
      </c>
      <c r="AO810" t="s">
        <v>15569</v>
      </c>
      <c r="AP810" t="s">
        <v>15570</v>
      </c>
      <c r="AQ810" t="s">
        <v>74</v>
      </c>
      <c r="AR810" t="s">
        <v>15571</v>
      </c>
      <c r="AS810" t="s">
        <v>15572</v>
      </c>
      <c r="AT810" t="s">
        <v>74</v>
      </c>
      <c r="AU810">
        <v>2020</v>
      </c>
      <c r="AV810">
        <v>31</v>
      </c>
      <c r="AW810">
        <v>2</v>
      </c>
      <c r="AX810" t="s">
        <v>74</v>
      </c>
      <c r="AY810" t="s">
        <v>74</v>
      </c>
      <c r="AZ810" t="s">
        <v>74</v>
      </c>
      <c r="BA810" t="s">
        <v>74</v>
      </c>
      <c r="BB810">
        <v>187</v>
      </c>
      <c r="BC810">
        <v>209</v>
      </c>
      <c r="BD810" t="s">
        <v>74</v>
      </c>
      <c r="BE810" t="s">
        <v>15573</v>
      </c>
      <c r="BF810" t="str">
        <f>HYPERLINK("http://dx.doi.org/10.21315/tlsr2020.31.2.10","http://dx.doi.org/10.21315/tlsr2020.31.2.10")</f>
        <v>http://dx.doi.org/10.21315/tlsr2020.31.2.10</v>
      </c>
      <c r="BG810" t="s">
        <v>74</v>
      </c>
      <c r="BH810" t="s">
        <v>74</v>
      </c>
      <c r="BI810">
        <v>23</v>
      </c>
      <c r="BJ810" t="s">
        <v>1498</v>
      </c>
      <c r="BK810" t="s">
        <v>274</v>
      </c>
      <c r="BL810" t="s">
        <v>1499</v>
      </c>
      <c r="BM810" t="s">
        <v>15574</v>
      </c>
      <c r="BN810">
        <v>32922675</v>
      </c>
      <c r="BO810" t="s">
        <v>4810</v>
      </c>
      <c r="BP810" t="s">
        <v>74</v>
      </c>
      <c r="BQ810" t="s">
        <v>74</v>
      </c>
      <c r="BR810" t="s">
        <v>106</v>
      </c>
      <c r="BS810" t="s">
        <v>15575</v>
      </c>
      <c r="BT810" t="str">
        <f>HYPERLINK("https%3A%2F%2Fwww.webofscience.com%2Fwos%2Fwoscc%2Ffull-record%2FWOS:000557902900010","View Full Record in Web of Science")</f>
        <v>View Full Record in Web of Science</v>
      </c>
    </row>
    <row r="811" spans="1:72" x14ac:dyDescent="0.15">
      <c r="A811" t="s">
        <v>72</v>
      </c>
      <c r="B811" t="s">
        <v>15576</v>
      </c>
      <c r="C811" t="s">
        <v>74</v>
      </c>
      <c r="D811" t="s">
        <v>74</v>
      </c>
      <c r="E811" t="s">
        <v>74</v>
      </c>
      <c r="F811" t="s">
        <v>15577</v>
      </c>
      <c r="G811" t="s">
        <v>74</v>
      </c>
      <c r="H811" t="s">
        <v>74</v>
      </c>
      <c r="I811" t="s">
        <v>15578</v>
      </c>
      <c r="J811" t="s">
        <v>15270</v>
      </c>
      <c r="K811" t="s">
        <v>74</v>
      </c>
      <c r="L811" t="s">
        <v>74</v>
      </c>
      <c r="M811" t="s">
        <v>78</v>
      </c>
      <c r="N811" t="s">
        <v>79</v>
      </c>
      <c r="O811" t="s">
        <v>74</v>
      </c>
      <c r="P811" t="s">
        <v>74</v>
      </c>
      <c r="Q811" t="s">
        <v>74</v>
      </c>
      <c r="R811" t="s">
        <v>74</v>
      </c>
      <c r="S811" t="s">
        <v>74</v>
      </c>
      <c r="T811" t="s">
        <v>15579</v>
      </c>
      <c r="U811" t="s">
        <v>15580</v>
      </c>
      <c r="V811" t="s">
        <v>15581</v>
      </c>
      <c r="W811" t="s">
        <v>15582</v>
      </c>
      <c r="X811" t="s">
        <v>15583</v>
      </c>
      <c r="Y811" t="s">
        <v>15584</v>
      </c>
      <c r="Z811" t="s">
        <v>15585</v>
      </c>
      <c r="AA811" t="s">
        <v>15586</v>
      </c>
      <c r="AB811" t="s">
        <v>15587</v>
      </c>
      <c r="AC811" t="s">
        <v>15588</v>
      </c>
      <c r="AD811" t="s">
        <v>15589</v>
      </c>
      <c r="AE811" t="s">
        <v>15590</v>
      </c>
      <c r="AF811" t="s">
        <v>74</v>
      </c>
      <c r="AG811">
        <v>49</v>
      </c>
      <c r="AH811">
        <v>19</v>
      </c>
      <c r="AI811">
        <v>22</v>
      </c>
      <c r="AJ811">
        <v>7</v>
      </c>
      <c r="AK811">
        <v>52</v>
      </c>
      <c r="AL811" t="s">
        <v>9590</v>
      </c>
      <c r="AM811" t="s">
        <v>9591</v>
      </c>
      <c r="AN811" t="s">
        <v>9592</v>
      </c>
      <c r="AO811" t="s">
        <v>15283</v>
      </c>
      <c r="AP811" t="s">
        <v>15284</v>
      </c>
      <c r="AQ811" t="s">
        <v>74</v>
      </c>
      <c r="AR811" t="s">
        <v>15285</v>
      </c>
      <c r="AS811" t="s">
        <v>15286</v>
      </c>
      <c r="AT811" t="s">
        <v>74</v>
      </c>
      <c r="AU811">
        <v>2020</v>
      </c>
      <c r="AV811">
        <v>13</v>
      </c>
      <c r="AW811" t="s">
        <v>74</v>
      </c>
      <c r="AX811" t="s">
        <v>74</v>
      </c>
      <c r="AY811" t="s">
        <v>74</v>
      </c>
      <c r="AZ811" t="s">
        <v>74</v>
      </c>
      <c r="BA811" t="s">
        <v>74</v>
      </c>
      <c r="BB811">
        <v>4188</v>
      </c>
      <c r="BC811">
        <v>4199</v>
      </c>
      <c r="BD811" t="s">
        <v>74</v>
      </c>
      <c r="BE811" t="s">
        <v>15591</v>
      </c>
      <c r="BF811" t="str">
        <f>HYPERLINK("http://dx.doi.org/10.1109/JSTARS.2020.3010069","http://dx.doi.org/10.1109/JSTARS.2020.3010069")</f>
        <v>http://dx.doi.org/10.1109/JSTARS.2020.3010069</v>
      </c>
      <c r="BG811" t="s">
        <v>74</v>
      </c>
      <c r="BH811" t="s">
        <v>74</v>
      </c>
      <c r="BI811">
        <v>12</v>
      </c>
      <c r="BJ811" t="s">
        <v>15288</v>
      </c>
      <c r="BK811" t="s">
        <v>103</v>
      </c>
      <c r="BL811" t="s">
        <v>15289</v>
      </c>
      <c r="BM811" t="s">
        <v>15592</v>
      </c>
      <c r="BN811" t="s">
        <v>74</v>
      </c>
      <c r="BO811" t="s">
        <v>1359</v>
      </c>
      <c r="BP811" t="s">
        <v>74</v>
      </c>
      <c r="BQ811" t="s">
        <v>74</v>
      </c>
      <c r="BR811" t="s">
        <v>106</v>
      </c>
      <c r="BS811" t="s">
        <v>15593</v>
      </c>
      <c r="BT811" t="str">
        <f>HYPERLINK("https%3A%2F%2Fwww.webofscience.com%2Fwos%2Fwoscc%2Ffull-record%2FWOS:000557351700002","View Full Record in Web of Science")</f>
        <v>View Full Record in Web of Science</v>
      </c>
    </row>
    <row r="812" spans="1:72" x14ac:dyDescent="0.15">
      <c r="A812" t="s">
        <v>72</v>
      </c>
      <c r="B812" t="s">
        <v>15594</v>
      </c>
      <c r="C812" t="s">
        <v>74</v>
      </c>
      <c r="D812" t="s">
        <v>74</v>
      </c>
      <c r="E812" t="s">
        <v>74</v>
      </c>
      <c r="F812" t="s">
        <v>15595</v>
      </c>
      <c r="G812" t="s">
        <v>74</v>
      </c>
      <c r="H812" t="s">
        <v>74</v>
      </c>
      <c r="I812" t="s">
        <v>15596</v>
      </c>
      <c r="J812" t="s">
        <v>15597</v>
      </c>
      <c r="K812" t="s">
        <v>74</v>
      </c>
      <c r="L812" t="s">
        <v>74</v>
      </c>
      <c r="M812" t="s">
        <v>13425</v>
      </c>
      <c r="N812" t="s">
        <v>79</v>
      </c>
      <c r="O812" t="s">
        <v>74</v>
      </c>
      <c r="P812" t="s">
        <v>74</v>
      </c>
      <c r="Q812" t="s">
        <v>74</v>
      </c>
      <c r="R812" t="s">
        <v>74</v>
      </c>
      <c r="S812" t="s">
        <v>74</v>
      </c>
      <c r="T812" t="s">
        <v>15598</v>
      </c>
      <c r="U812" t="s">
        <v>74</v>
      </c>
      <c r="V812" t="s">
        <v>15599</v>
      </c>
      <c r="W812" t="s">
        <v>15600</v>
      </c>
      <c r="X812" t="s">
        <v>15601</v>
      </c>
      <c r="Y812" t="s">
        <v>15602</v>
      </c>
      <c r="Z812" t="s">
        <v>15603</v>
      </c>
      <c r="AA812" t="s">
        <v>74</v>
      </c>
      <c r="AB812" t="s">
        <v>74</v>
      </c>
      <c r="AC812" t="s">
        <v>74</v>
      </c>
      <c r="AD812" t="s">
        <v>74</v>
      </c>
      <c r="AE812" t="s">
        <v>74</v>
      </c>
      <c r="AF812" t="s">
        <v>74</v>
      </c>
      <c r="AG812">
        <v>46</v>
      </c>
      <c r="AH812">
        <v>0</v>
      </c>
      <c r="AI812">
        <v>0</v>
      </c>
      <c r="AJ812">
        <v>0</v>
      </c>
      <c r="AK812">
        <v>0</v>
      </c>
      <c r="AL812" t="s">
        <v>15604</v>
      </c>
      <c r="AM812" t="s">
        <v>15605</v>
      </c>
      <c r="AN812" t="s">
        <v>15606</v>
      </c>
      <c r="AO812" t="s">
        <v>15607</v>
      </c>
      <c r="AP812" t="s">
        <v>74</v>
      </c>
      <c r="AQ812" t="s">
        <v>74</v>
      </c>
      <c r="AR812" t="s">
        <v>15608</v>
      </c>
      <c r="AS812" t="s">
        <v>15609</v>
      </c>
      <c r="AT812" t="s">
        <v>15610</v>
      </c>
      <c r="AU812">
        <v>2020</v>
      </c>
      <c r="AV812">
        <v>11</v>
      </c>
      <c r="AW812">
        <v>1</v>
      </c>
      <c r="AX812" t="s">
        <v>74</v>
      </c>
      <c r="AY812" t="s">
        <v>74</v>
      </c>
      <c r="AZ812" t="s">
        <v>74</v>
      </c>
      <c r="BA812" t="s">
        <v>74</v>
      </c>
      <c r="BB812">
        <v>1</v>
      </c>
      <c r="BC812">
        <v>18</v>
      </c>
      <c r="BD812" t="s">
        <v>74</v>
      </c>
      <c r="BE812" t="s">
        <v>74</v>
      </c>
      <c r="BF812" t="s">
        <v>74</v>
      </c>
      <c r="BG812" t="s">
        <v>74</v>
      </c>
      <c r="BH812" t="s">
        <v>74</v>
      </c>
      <c r="BI812">
        <v>18</v>
      </c>
      <c r="BJ812" t="s">
        <v>15611</v>
      </c>
      <c r="BK812" t="s">
        <v>274</v>
      </c>
      <c r="BL812" t="s">
        <v>15611</v>
      </c>
      <c r="BM812" t="s">
        <v>15612</v>
      </c>
      <c r="BN812" t="s">
        <v>74</v>
      </c>
      <c r="BO812" t="s">
        <v>74</v>
      </c>
      <c r="BP812" t="s">
        <v>74</v>
      </c>
      <c r="BQ812" t="s">
        <v>74</v>
      </c>
      <c r="BR812" t="s">
        <v>106</v>
      </c>
      <c r="BS812" t="s">
        <v>15613</v>
      </c>
      <c r="BT812" t="str">
        <f>HYPERLINK("https%3A%2F%2Fwww.webofscience.com%2Fwos%2Fwoscc%2Ffull-record%2FWOS:000557505500001","View Full Record in Web of Science")</f>
        <v>View Full Record in Web of Science</v>
      </c>
    </row>
    <row r="813" spans="1:72" x14ac:dyDescent="0.15">
      <c r="A813" t="s">
        <v>72</v>
      </c>
      <c r="B813" t="s">
        <v>15614</v>
      </c>
      <c r="C813" t="s">
        <v>74</v>
      </c>
      <c r="D813" t="s">
        <v>74</v>
      </c>
      <c r="E813" t="s">
        <v>74</v>
      </c>
      <c r="F813" t="s">
        <v>15615</v>
      </c>
      <c r="G813" t="s">
        <v>74</v>
      </c>
      <c r="H813" t="s">
        <v>74</v>
      </c>
      <c r="I813" t="s">
        <v>15616</v>
      </c>
      <c r="J813" t="s">
        <v>15597</v>
      </c>
      <c r="K813" t="s">
        <v>74</v>
      </c>
      <c r="L813" t="s">
        <v>74</v>
      </c>
      <c r="M813" t="s">
        <v>13425</v>
      </c>
      <c r="N813" t="s">
        <v>79</v>
      </c>
      <c r="O813" t="s">
        <v>74</v>
      </c>
      <c r="P813" t="s">
        <v>74</v>
      </c>
      <c r="Q813" t="s">
        <v>74</v>
      </c>
      <c r="R813" t="s">
        <v>74</v>
      </c>
      <c r="S813" t="s">
        <v>74</v>
      </c>
      <c r="T813" t="s">
        <v>15617</v>
      </c>
      <c r="U813" t="s">
        <v>74</v>
      </c>
      <c r="V813" t="s">
        <v>15618</v>
      </c>
      <c r="W813" t="s">
        <v>15619</v>
      </c>
      <c r="X813" t="s">
        <v>15601</v>
      </c>
      <c r="Y813" t="s">
        <v>15620</v>
      </c>
      <c r="Z813" t="s">
        <v>15621</v>
      </c>
      <c r="AA813" t="s">
        <v>74</v>
      </c>
      <c r="AB813" t="s">
        <v>74</v>
      </c>
      <c r="AC813" t="s">
        <v>74</v>
      </c>
      <c r="AD813" t="s">
        <v>74</v>
      </c>
      <c r="AE813" t="s">
        <v>74</v>
      </c>
      <c r="AF813" t="s">
        <v>74</v>
      </c>
      <c r="AG813">
        <v>17</v>
      </c>
      <c r="AH813">
        <v>0</v>
      </c>
      <c r="AI813">
        <v>0</v>
      </c>
      <c r="AJ813">
        <v>0</v>
      </c>
      <c r="AK813">
        <v>0</v>
      </c>
      <c r="AL813" t="s">
        <v>15604</v>
      </c>
      <c r="AM813" t="s">
        <v>15605</v>
      </c>
      <c r="AN813" t="s">
        <v>15606</v>
      </c>
      <c r="AO813" t="s">
        <v>15607</v>
      </c>
      <c r="AP813" t="s">
        <v>74</v>
      </c>
      <c r="AQ813" t="s">
        <v>74</v>
      </c>
      <c r="AR813" t="s">
        <v>15608</v>
      </c>
      <c r="AS813" t="s">
        <v>15609</v>
      </c>
      <c r="AT813" t="s">
        <v>15610</v>
      </c>
      <c r="AU813">
        <v>2020</v>
      </c>
      <c r="AV813">
        <v>11</v>
      </c>
      <c r="AW813">
        <v>1</v>
      </c>
      <c r="AX813" t="s">
        <v>74</v>
      </c>
      <c r="AY813" t="s">
        <v>74</v>
      </c>
      <c r="AZ813" t="s">
        <v>74</v>
      </c>
      <c r="BA813" t="s">
        <v>74</v>
      </c>
      <c r="BB813">
        <v>19</v>
      </c>
      <c r="BC813">
        <v>25</v>
      </c>
      <c r="BD813" t="s">
        <v>74</v>
      </c>
      <c r="BE813" t="s">
        <v>74</v>
      </c>
      <c r="BF813" t="s">
        <v>74</v>
      </c>
      <c r="BG813" t="s">
        <v>74</v>
      </c>
      <c r="BH813" t="s">
        <v>74</v>
      </c>
      <c r="BI813">
        <v>7</v>
      </c>
      <c r="BJ813" t="s">
        <v>15611</v>
      </c>
      <c r="BK813" t="s">
        <v>274</v>
      </c>
      <c r="BL813" t="s">
        <v>15611</v>
      </c>
      <c r="BM813" t="s">
        <v>15612</v>
      </c>
      <c r="BN813" t="s">
        <v>74</v>
      </c>
      <c r="BO813" t="s">
        <v>74</v>
      </c>
      <c r="BP813" t="s">
        <v>74</v>
      </c>
      <c r="BQ813" t="s">
        <v>74</v>
      </c>
      <c r="BR813" t="s">
        <v>106</v>
      </c>
      <c r="BS813" t="s">
        <v>15622</v>
      </c>
      <c r="BT813" t="str">
        <f>HYPERLINK("https%3A%2F%2Fwww.webofscience.com%2Fwos%2Fwoscc%2Ffull-record%2FWOS:000557505500002","View Full Record in Web of Science")</f>
        <v>View Full Record in Web of Science</v>
      </c>
    </row>
    <row r="814" spans="1:72" x14ac:dyDescent="0.15">
      <c r="A814" t="s">
        <v>72</v>
      </c>
      <c r="B814" t="s">
        <v>15623</v>
      </c>
      <c r="C814" t="s">
        <v>74</v>
      </c>
      <c r="D814" t="s">
        <v>74</v>
      </c>
      <c r="E814" t="s">
        <v>74</v>
      </c>
      <c r="F814" t="s">
        <v>15624</v>
      </c>
      <c r="G814" t="s">
        <v>74</v>
      </c>
      <c r="H814" t="s">
        <v>74</v>
      </c>
      <c r="I814" t="s">
        <v>15625</v>
      </c>
      <c r="J814" t="s">
        <v>15626</v>
      </c>
      <c r="K814" t="s">
        <v>74</v>
      </c>
      <c r="L814" t="s">
        <v>74</v>
      </c>
      <c r="M814" t="s">
        <v>78</v>
      </c>
      <c r="N814" t="s">
        <v>79</v>
      </c>
      <c r="O814" t="s">
        <v>74</v>
      </c>
      <c r="P814" t="s">
        <v>74</v>
      </c>
      <c r="Q814" t="s">
        <v>74</v>
      </c>
      <c r="R814" t="s">
        <v>74</v>
      </c>
      <c r="S814" t="s">
        <v>74</v>
      </c>
      <c r="T814" t="s">
        <v>15627</v>
      </c>
      <c r="U814" t="s">
        <v>15628</v>
      </c>
      <c r="V814" t="s">
        <v>15629</v>
      </c>
      <c r="W814" t="s">
        <v>15630</v>
      </c>
      <c r="X814" t="s">
        <v>15631</v>
      </c>
      <c r="Y814" t="s">
        <v>15632</v>
      </c>
      <c r="Z814" t="s">
        <v>15633</v>
      </c>
      <c r="AA814" t="s">
        <v>74</v>
      </c>
      <c r="AB814" t="s">
        <v>74</v>
      </c>
      <c r="AC814" t="s">
        <v>15634</v>
      </c>
      <c r="AD814" t="s">
        <v>6428</v>
      </c>
      <c r="AE814" t="s">
        <v>15635</v>
      </c>
      <c r="AF814" t="s">
        <v>74</v>
      </c>
      <c r="AG814">
        <v>50</v>
      </c>
      <c r="AH814">
        <v>2</v>
      </c>
      <c r="AI814">
        <v>2</v>
      </c>
      <c r="AJ814">
        <v>0</v>
      </c>
      <c r="AK814">
        <v>11</v>
      </c>
      <c r="AL814" t="s">
        <v>15636</v>
      </c>
      <c r="AM814" t="s">
        <v>15637</v>
      </c>
      <c r="AN814" t="s">
        <v>15638</v>
      </c>
      <c r="AO814" t="s">
        <v>15639</v>
      </c>
      <c r="AP814" t="s">
        <v>15640</v>
      </c>
      <c r="AQ814" t="s">
        <v>74</v>
      </c>
      <c r="AR814" t="s">
        <v>15641</v>
      </c>
      <c r="AS814" t="s">
        <v>1330</v>
      </c>
      <c r="AT814" t="s">
        <v>74</v>
      </c>
      <c r="AU814">
        <v>2020</v>
      </c>
      <c r="AV814">
        <v>63</v>
      </c>
      <c r="AW814">
        <v>4</v>
      </c>
      <c r="AX814" t="s">
        <v>74</v>
      </c>
      <c r="AY814" t="s">
        <v>74</v>
      </c>
      <c r="AZ814" t="s">
        <v>74</v>
      </c>
      <c r="BA814" t="s">
        <v>74</v>
      </c>
      <c r="BB814" t="s">
        <v>74</v>
      </c>
      <c r="BC814" t="s">
        <v>74</v>
      </c>
      <c r="BD814" t="s">
        <v>15642</v>
      </c>
      <c r="BE814" t="s">
        <v>15643</v>
      </c>
      <c r="BF814" t="str">
        <f>HYPERLINK("http://dx.doi.org/10.4401/ag-7794","http://dx.doi.org/10.4401/ag-7794")</f>
        <v>http://dx.doi.org/10.4401/ag-7794</v>
      </c>
      <c r="BG814" t="s">
        <v>74</v>
      </c>
      <c r="BH814" t="s">
        <v>74</v>
      </c>
      <c r="BI814">
        <v>15</v>
      </c>
      <c r="BJ814" t="s">
        <v>442</v>
      </c>
      <c r="BK814" t="s">
        <v>103</v>
      </c>
      <c r="BL814" t="s">
        <v>442</v>
      </c>
      <c r="BM814" t="s">
        <v>15644</v>
      </c>
      <c r="BN814" t="s">
        <v>74</v>
      </c>
      <c r="BO814" t="s">
        <v>2592</v>
      </c>
      <c r="BP814" t="s">
        <v>74</v>
      </c>
      <c r="BQ814" t="s">
        <v>74</v>
      </c>
      <c r="BR814" t="s">
        <v>106</v>
      </c>
      <c r="BS814" t="s">
        <v>15645</v>
      </c>
      <c r="BT814" t="str">
        <f>HYPERLINK("https%3A%2F%2Fwww.webofscience.com%2Fwos%2Fwoscc%2Ffull-record%2FWOS:000556576500001","View Full Record in Web of Science")</f>
        <v>View Full Record in Web of Science</v>
      </c>
    </row>
    <row r="815" spans="1:72" x14ac:dyDescent="0.15">
      <c r="A815" t="s">
        <v>72</v>
      </c>
      <c r="B815" t="s">
        <v>15646</v>
      </c>
      <c r="C815" t="s">
        <v>74</v>
      </c>
      <c r="D815" t="s">
        <v>74</v>
      </c>
      <c r="E815" t="s">
        <v>74</v>
      </c>
      <c r="F815" t="s">
        <v>15647</v>
      </c>
      <c r="G815" t="s">
        <v>74</v>
      </c>
      <c r="H815" t="s">
        <v>74</v>
      </c>
      <c r="I815" t="s">
        <v>15648</v>
      </c>
      <c r="J815" t="s">
        <v>14038</v>
      </c>
      <c r="K815" t="s">
        <v>74</v>
      </c>
      <c r="L815" t="s">
        <v>74</v>
      </c>
      <c r="M815" t="s">
        <v>13952</v>
      </c>
      <c r="N815" t="s">
        <v>79</v>
      </c>
      <c r="O815" t="s">
        <v>74</v>
      </c>
      <c r="P815" t="s">
        <v>74</v>
      </c>
      <c r="Q815" t="s">
        <v>74</v>
      </c>
      <c r="R815" t="s">
        <v>74</v>
      </c>
      <c r="S815" t="s">
        <v>74</v>
      </c>
      <c r="T815" t="s">
        <v>15649</v>
      </c>
      <c r="U815" t="s">
        <v>74</v>
      </c>
      <c r="V815" t="s">
        <v>15650</v>
      </c>
      <c r="W815" t="s">
        <v>15651</v>
      </c>
      <c r="X815" t="s">
        <v>15652</v>
      </c>
      <c r="Y815" t="s">
        <v>14043</v>
      </c>
      <c r="Z815" t="s">
        <v>15653</v>
      </c>
      <c r="AA815" t="s">
        <v>15654</v>
      </c>
      <c r="AB815" t="s">
        <v>15655</v>
      </c>
      <c r="AC815" t="s">
        <v>74</v>
      </c>
      <c r="AD815" t="s">
        <v>74</v>
      </c>
      <c r="AE815" t="s">
        <v>74</v>
      </c>
      <c r="AF815" t="s">
        <v>74</v>
      </c>
      <c r="AG815">
        <v>12</v>
      </c>
      <c r="AH815">
        <v>1</v>
      </c>
      <c r="AI815">
        <v>1</v>
      </c>
      <c r="AJ815">
        <v>1</v>
      </c>
      <c r="AK815">
        <v>3</v>
      </c>
      <c r="AL815" t="s">
        <v>14047</v>
      </c>
      <c r="AM815" t="s">
        <v>13962</v>
      </c>
      <c r="AN815" t="s">
        <v>14048</v>
      </c>
      <c r="AO815" t="s">
        <v>14049</v>
      </c>
      <c r="AP815" t="s">
        <v>14050</v>
      </c>
      <c r="AQ815" t="s">
        <v>74</v>
      </c>
      <c r="AR815" t="s">
        <v>14051</v>
      </c>
      <c r="AS815" t="s">
        <v>14052</v>
      </c>
      <c r="AT815" t="s">
        <v>74</v>
      </c>
      <c r="AU815">
        <v>2020</v>
      </c>
      <c r="AV815">
        <v>42</v>
      </c>
      <c r="AW815">
        <v>2</v>
      </c>
      <c r="AX815" t="s">
        <v>74</v>
      </c>
      <c r="AY815" t="s">
        <v>74</v>
      </c>
      <c r="AZ815" t="s">
        <v>74</v>
      </c>
      <c r="BA815" t="s">
        <v>74</v>
      </c>
      <c r="BB815">
        <v>32</v>
      </c>
      <c r="BC815">
        <v>45</v>
      </c>
      <c r="BD815" t="s">
        <v>74</v>
      </c>
      <c r="BE815" t="s">
        <v>15656</v>
      </c>
      <c r="BF815" t="str">
        <f>HYPERLINK("http://dx.doi.org/10.15407/mineraljournal.42.02.032","http://dx.doi.org/10.15407/mineraljournal.42.02.032")</f>
        <v>http://dx.doi.org/10.15407/mineraljournal.42.02.032</v>
      </c>
      <c r="BG815" t="s">
        <v>74</v>
      </c>
      <c r="BH815" t="s">
        <v>74</v>
      </c>
      <c r="BI815">
        <v>14</v>
      </c>
      <c r="BJ815" t="s">
        <v>4137</v>
      </c>
      <c r="BK815" t="s">
        <v>274</v>
      </c>
      <c r="BL815" t="s">
        <v>4137</v>
      </c>
      <c r="BM815" t="s">
        <v>15657</v>
      </c>
      <c r="BN815" t="s">
        <v>74</v>
      </c>
      <c r="BO815" t="s">
        <v>517</v>
      </c>
      <c r="BP815" t="s">
        <v>74</v>
      </c>
      <c r="BQ815" t="s">
        <v>74</v>
      </c>
      <c r="BR815" t="s">
        <v>106</v>
      </c>
      <c r="BS815" t="s">
        <v>15658</v>
      </c>
      <c r="BT815" t="str">
        <f>HYPERLINK("https%3A%2F%2Fwww.webofscience.com%2Fwos%2Fwoscc%2Ffull-record%2FWOS:000555426000004","View Full Record in Web of Science")</f>
        <v>View Full Record in Web of Science</v>
      </c>
    </row>
    <row r="816" spans="1:72" x14ac:dyDescent="0.15">
      <c r="A816" t="s">
        <v>72</v>
      </c>
      <c r="B816" t="s">
        <v>15659</v>
      </c>
      <c r="C816" t="s">
        <v>74</v>
      </c>
      <c r="D816" t="s">
        <v>74</v>
      </c>
      <c r="E816" t="s">
        <v>74</v>
      </c>
      <c r="F816" t="s">
        <v>15660</v>
      </c>
      <c r="G816" t="s">
        <v>74</v>
      </c>
      <c r="H816" t="s">
        <v>74</v>
      </c>
      <c r="I816" t="s">
        <v>15661</v>
      </c>
      <c r="J816" t="s">
        <v>15270</v>
      </c>
      <c r="K816" t="s">
        <v>74</v>
      </c>
      <c r="L816" t="s">
        <v>74</v>
      </c>
      <c r="M816" t="s">
        <v>78</v>
      </c>
      <c r="N816" t="s">
        <v>79</v>
      </c>
      <c r="O816" t="s">
        <v>74</v>
      </c>
      <c r="P816" t="s">
        <v>74</v>
      </c>
      <c r="Q816" t="s">
        <v>74</v>
      </c>
      <c r="R816" t="s">
        <v>74</v>
      </c>
      <c r="S816" t="s">
        <v>74</v>
      </c>
      <c r="T816" t="s">
        <v>15662</v>
      </c>
      <c r="U816" t="s">
        <v>15663</v>
      </c>
      <c r="V816" t="s">
        <v>15664</v>
      </c>
      <c r="W816" t="s">
        <v>15665</v>
      </c>
      <c r="X816" t="s">
        <v>15666</v>
      </c>
      <c r="Y816" t="s">
        <v>15667</v>
      </c>
      <c r="Z816" t="s">
        <v>15668</v>
      </c>
      <c r="AA816" t="s">
        <v>15669</v>
      </c>
      <c r="AB816" t="s">
        <v>15670</v>
      </c>
      <c r="AC816" t="s">
        <v>15671</v>
      </c>
      <c r="AD816" t="s">
        <v>15672</v>
      </c>
      <c r="AE816" t="s">
        <v>15673</v>
      </c>
      <c r="AF816" t="s">
        <v>74</v>
      </c>
      <c r="AG816">
        <v>41</v>
      </c>
      <c r="AH816">
        <v>2</v>
      </c>
      <c r="AI816">
        <v>2</v>
      </c>
      <c r="AJ816">
        <v>0</v>
      </c>
      <c r="AK816">
        <v>6</v>
      </c>
      <c r="AL816" t="s">
        <v>9590</v>
      </c>
      <c r="AM816" t="s">
        <v>9591</v>
      </c>
      <c r="AN816" t="s">
        <v>9592</v>
      </c>
      <c r="AO816" t="s">
        <v>15283</v>
      </c>
      <c r="AP816" t="s">
        <v>15284</v>
      </c>
      <c r="AQ816" t="s">
        <v>74</v>
      </c>
      <c r="AR816" t="s">
        <v>15285</v>
      </c>
      <c r="AS816" t="s">
        <v>15286</v>
      </c>
      <c r="AT816" t="s">
        <v>74</v>
      </c>
      <c r="AU816">
        <v>2020</v>
      </c>
      <c r="AV816">
        <v>13</v>
      </c>
      <c r="AW816" t="s">
        <v>74</v>
      </c>
      <c r="AX816" t="s">
        <v>74</v>
      </c>
      <c r="AY816" t="s">
        <v>74</v>
      </c>
      <c r="AZ816" t="s">
        <v>74</v>
      </c>
      <c r="BA816" t="s">
        <v>74</v>
      </c>
      <c r="BB816">
        <v>4085</v>
      </c>
      <c r="BC816">
        <v>4094</v>
      </c>
      <c r="BD816" t="s">
        <v>74</v>
      </c>
      <c r="BE816" t="s">
        <v>15674</v>
      </c>
      <c r="BF816" t="str">
        <f>HYPERLINK("http://dx.doi.org/10.1109/JSTARS.2020.3008497","http://dx.doi.org/10.1109/JSTARS.2020.3008497")</f>
        <v>http://dx.doi.org/10.1109/JSTARS.2020.3008497</v>
      </c>
      <c r="BG816" t="s">
        <v>74</v>
      </c>
      <c r="BH816" t="s">
        <v>74</v>
      </c>
      <c r="BI816">
        <v>10</v>
      </c>
      <c r="BJ816" t="s">
        <v>15288</v>
      </c>
      <c r="BK816" t="s">
        <v>103</v>
      </c>
      <c r="BL816" t="s">
        <v>15289</v>
      </c>
      <c r="BM816" t="s">
        <v>15675</v>
      </c>
      <c r="BN816" t="s">
        <v>74</v>
      </c>
      <c r="BO816" t="s">
        <v>1257</v>
      </c>
      <c r="BP816" t="s">
        <v>74</v>
      </c>
      <c r="BQ816" t="s">
        <v>74</v>
      </c>
      <c r="BR816" t="s">
        <v>106</v>
      </c>
      <c r="BS816" t="s">
        <v>15676</v>
      </c>
      <c r="BT816" t="str">
        <f>HYPERLINK("https%3A%2F%2Fwww.webofscience.com%2Fwos%2Fwoscc%2Ffull-record%2FWOS:000554889400004","View Full Record in Web of Science")</f>
        <v>View Full Record in Web of Science</v>
      </c>
    </row>
    <row r="817" spans="1:72" x14ac:dyDescent="0.15">
      <c r="A817" t="s">
        <v>72</v>
      </c>
      <c r="B817" t="s">
        <v>15677</v>
      </c>
      <c r="C817" t="s">
        <v>74</v>
      </c>
      <c r="D817" t="s">
        <v>74</v>
      </c>
      <c r="E817" t="s">
        <v>74</v>
      </c>
      <c r="F817" t="s">
        <v>15678</v>
      </c>
      <c r="G817" t="s">
        <v>74</v>
      </c>
      <c r="H817" t="s">
        <v>74</v>
      </c>
      <c r="I817" t="s">
        <v>15679</v>
      </c>
      <c r="J817" t="s">
        <v>13911</v>
      </c>
      <c r="K817" t="s">
        <v>74</v>
      </c>
      <c r="L817" t="s">
        <v>74</v>
      </c>
      <c r="M817" t="s">
        <v>78</v>
      </c>
      <c r="N817" t="s">
        <v>79</v>
      </c>
      <c r="O817" t="s">
        <v>74</v>
      </c>
      <c r="P817" t="s">
        <v>74</v>
      </c>
      <c r="Q817" t="s">
        <v>74</v>
      </c>
      <c r="R817" t="s">
        <v>74</v>
      </c>
      <c r="S817" t="s">
        <v>74</v>
      </c>
      <c r="T817" t="s">
        <v>15680</v>
      </c>
      <c r="U817" t="s">
        <v>15681</v>
      </c>
      <c r="V817" t="s">
        <v>15682</v>
      </c>
      <c r="W817" t="s">
        <v>15683</v>
      </c>
      <c r="X817" t="s">
        <v>74</v>
      </c>
      <c r="Y817" t="s">
        <v>15684</v>
      </c>
      <c r="Z817" t="s">
        <v>15685</v>
      </c>
      <c r="AA817" t="s">
        <v>74</v>
      </c>
      <c r="AB817" t="s">
        <v>74</v>
      </c>
      <c r="AC817" t="s">
        <v>15686</v>
      </c>
      <c r="AD817" t="s">
        <v>15686</v>
      </c>
      <c r="AE817" t="s">
        <v>15687</v>
      </c>
      <c r="AF817" t="s">
        <v>74</v>
      </c>
      <c r="AG817">
        <v>124</v>
      </c>
      <c r="AH817">
        <v>12</v>
      </c>
      <c r="AI817">
        <v>12</v>
      </c>
      <c r="AJ817">
        <v>2</v>
      </c>
      <c r="AK817">
        <v>20</v>
      </c>
      <c r="AL817" t="s">
        <v>2627</v>
      </c>
      <c r="AM817" t="s">
        <v>2628</v>
      </c>
      <c r="AN817" t="s">
        <v>2629</v>
      </c>
      <c r="AO817" t="s">
        <v>13924</v>
      </c>
      <c r="AP817" t="s">
        <v>13925</v>
      </c>
      <c r="AQ817" t="s">
        <v>74</v>
      </c>
      <c r="AR817" t="s">
        <v>13926</v>
      </c>
      <c r="AS817" t="s">
        <v>13927</v>
      </c>
      <c r="AT817" t="s">
        <v>12161</v>
      </c>
      <c r="AU817">
        <v>2020</v>
      </c>
      <c r="AV817">
        <v>52</v>
      </c>
      <c r="AW817">
        <v>1</v>
      </c>
      <c r="AX817" t="s">
        <v>74</v>
      </c>
      <c r="AY817" t="s">
        <v>74</v>
      </c>
      <c r="AZ817" t="s">
        <v>74</v>
      </c>
      <c r="BA817" t="s">
        <v>74</v>
      </c>
      <c r="BB817">
        <v>361</v>
      </c>
      <c r="BC817">
        <v>389</v>
      </c>
      <c r="BD817" t="s">
        <v>74</v>
      </c>
      <c r="BE817" t="s">
        <v>15688</v>
      </c>
      <c r="BF817" t="str">
        <f>HYPERLINK("http://dx.doi.org/10.1080/15230430.2020.1773033","http://dx.doi.org/10.1080/15230430.2020.1773033")</f>
        <v>http://dx.doi.org/10.1080/15230430.2020.1773033</v>
      </c>
      <c r="BG817" t="s">
        <v>74</v>
      </c>
      <c r="BH817" t="s">
        <v>74</v>
      </c>
      <c r="BI817">
        <v>29</v>
      </c>
      <c r="BJ817" t="s">
        <v>13929</v>
      </c>
      <c r="BK817" t="s">
        <v>103</v>
      </c>
      <c r="BL817" t="s">
        <v>1828</v>
      </c>
      <c r="BM817" t="s">
        <v>15689</v>
      </c>
      <c r="BN817" t="s">
        <v>74</v>
      </c>
      <c r="BO817" t="s">
        <v>2592</v>
      </c>
      <c r="BP817" t="s">
        <v>74</v>
      </c>
      <c r="BQ817" t="s">
        <v>74</v>
      </c>
      <c r="BR817" t="s">
        <v>106</v>
      </c>
      <c r="BS817" t="s">
        <v>15690</v>
      </c>
      <c r="BT817" t="str">
        <f>HYPERLINK("https%3A%2F%2Fwww.webofscience.com%2Fwos%2Fwoscc%2Ffull-record%2FWOS:000553797000001","View Full Record in Web of Science")</f>
        <v>View Full Record in Web of Science</v>
      </c>
    </row>
    <row r="818" spans="1:72" x14ac:dyDescent="0.15">
      <c r="A818" t="s">
        <v>72</v>
      </c>
      <c r="B818" t="s">
        <v>15691</v>
      </c>
      <c r="C818" t="s">
        <v>74</v>
      </c>
      <c r="D818" t="s">
        <v>74</v>
      </c>
      <c r="E818" t="s">
        <v>74</v>
      </c>
      <c r="F818" t="s">
        <v>15692</v>
      </c>
      <c r="G818" t="s">
        <v>74</v>
      </c>
      <c r="H818" t="s">
        <v>74</v>
      </c>
      <c r="I818" t="s">
        <v>15693</v>
      </c>
      <c r="J818" t="s">
        <v>13911</v>
      </c>
      <c r="K818" t="s">
        <v>74</v>
      </c>
      <c r="L818" t="s">
        <v>74</v>
      </c>
      <c r="M818" t="s">
        <v>78</v>
      </c>
      <c r="N818" t="s">
        <v>79</v>
      </c>
      <c r="O818" t="s">
        <v>74</v>
      </c>
      <c r="P818" t="s">
        <v>74</v>
      </c>
      <c r="Q818" t="s">
        <v>74</v>
      </c>
      <c r="R818" t="s">
        <v>74</v>
      </c>
      <c r="S818" t="s">
        <v>74</v>
      </c>
      <c r="T818" t="s">
        <v>15694</v>
      </c>
      <c r="U818" t="s">
        <v>15695</v>
      </c>
      <c r="V818" t="s">
        <v>15696</v>
      </c>
      <c r="W818" t="s">
        <v>15697</v>
      </c>
      <c r="X818" t="s">
        <v>15698</v>
      </c>
      <c r="Y818" t="s">
        <v>15699</v>
      </c>
      <c r="Z818" t="s">
        <v>15700</v>
      </c>
      <c r="AA818" t="s">
        <v>15701</v>
      </c>
      <c r="AB818" t="s">
        <v>15702</v>
      </c>
      <c r="AC818" t="s">
        <v>15703</v>
      </c>
      <c r="AD818" t="s">
        <v>15704</v>
      </c>
      <c r="AE818" t="s">
        <v>15705</v>
      </c>
      <c r="AF818" t="s">
        <v>74</v>
      </c>
      <c r="AG818">
        <v>66</v>
      </c>
      <c r="AH818">
        <v>5</v>
      </c>
      <c r="AI818">
        <v>7</v>
      </c>
      <c r="AJ818">
        <v>3</v>
      </c>
      <c r="AK818">
        <v>11</v>
      </c>
      <c r="AL818" t="s">
        <v>2627</v>
      </c>
      <c r="AM818" t="s">
        <v>2628</v>
      </c>
      <c r="AN818" t="s">
        <v>2629</v>
      </c>
      <c r="AO818" t="s">
        <v>13924</v>
      </c>
      <c r="AP818" t="s">
        <v>13925</v>
      </c>
      <c r="AQ818" t="s">
        <v>74</v>
      </c>
      <c r="AR818" t="s">
        <v>13926</v>
      </c>
      <c r="AS818" t="s">
        <v>13927</v>
      </c>
      <c r="AT818" t="s">
        <v>12161</v>
      </c>
      <c r="AU818">
        <v>2020</v>
      </c>
      <c r="AV818">
        <v>52</v>
      </c>
      <c r="AW818">
        <v>1</v>
      </c>
      <c r="AX818" t="s">
        <v>74</v>
      </c>
      <c r="AY818" t="s">
        <v>74</v>
      </c>
      <c r="AZ818" t="s">
        <v>74</v>
      </c>
      <c r="BA818" t="s">
        <v>74</v>
      </c>
      <c r="BB818">
        <v>248</v>
      </c>
      <c r="BC818">
        <v>263</v>
      </c>
      <c r="BD818" t="s">
        <v>74</v>
      </c>
      <c r="BE818" t="s">
        <v>15706</v>
      </c>
      <c r="BF818" t="str">
        <f>HYPERLINK("http://dx.doi.org/10.1080/15230430.2020.1750805","http://dx.doi.org/10.1080/15230430.2020.1750805")</f>
        <v>http://dx.doi.org/10.1080/15230430.2020.1750805</v>
      </c>
      <c r="BG818" t="s">
        <v>74</v>
      </c>
      <c r="BH818" t="s">
        <v>74</v>
      </c>
      <c r="BI818">
        <v>16</v>
      </c>
      <c r="BJ818" t="s">
        <v>13929</v>
      </c>
      <c r="BK818" t="s">
        <v>103</v>
      </c>
      <c r="BL818" t="s">
        <v>1828</v>
      </c>
      <c r="BM818" t="s">
        <v>15707</v>
      </c>
      <c r="BN818" t="s">
        <v>74</v>
      </c>
      <c r="BO818" t="s">
        <v>2592</v>
      </c>
      <c r="BP818" t="s">
        <v>74</v>
      </c>
      <c r="BQ818" t="s">
        <v>74</v>
      </c>
      <c r="BR818" t="s">
        <v>106</v>
      </c>
      <c r="BS818" t="s">
        <v>15708</v>
      </c>
      <c r="BT818" t="str">
        <f>HYPERLINK("https%3A%2F%2Fwww.webofscience.com%2Fwos%2Fwoscc%2Ffull-record%2FWOS:000551642300001","View Full Record in Web of Science")</f>
        <v>View Full Record in Web of Science</v>
      </c>
    </row>
    <row r="819" spans="1:72" x14ac:dyDescent="0.15">
      <c r="A819" t="s">
        <v>72</v>
      </c>
      <c r="B819" t="s">
        <v>15709</v>
      </c>
      <c r="C819" t="s">
        <v>74</v>
      </c>
      <c r="D819" t="s">
        <v>74</v>
      </c>
      <c r="E819" t="s">
        <v>74</v>
      </c>
      <c r="F819" t="s">
        <v>15710</v>
      </c>
      <c r="G819" t="s">
        <v>74</v>
      </c>
      <c r="H819" t="s">
        <v>74</v>
      </c>
      <c r="I819" t="s">
        <v>15711</v>
      </c>
      <c r="J819" t="s">
        <v>13911</v>
      </c>
      <c r="K819" t="s">
        <v>74</v>
      </c>
      <c r="L819" t="s">
        <v>74</v>
      </c>
      <c r="M819" t="s">
        <v>78</v>
      </c>
      <c r="N819" t="s">
        <v>79</v>
      </c>
      <c r="O819" t="s">
        <v>74</v>
      </c>
      <c r="P819" t="s">
        <v>74</v>
      </c>
      <c r="Q819" t="s">
        <v>74</v>
      </c>
      <c r="R819" t="s">
        <v>74</v>
      </c>
      <c r="S819" t="s">
        <v>74</v>
      </c>
      <c r="T819" t="s">
        <v>15712</v>
      </c>
      <c r="U819" t="s">
        <v>15713</v>
      </c>
      <c r="V819" t="s">
        <v>15714</v>
      </c>
      <c r="W819" t="s">
        <v>15715</v>
      </c>
      <c r="X819" t="s">
        <v>15716</v>
      </c>
      <c r="Y819" t="s">
        <v>15717</v>
      </c>
      <c r="Z819" t="s">
        <v>15718</v>
      </c>
      <c r="AA819" t="s">
        <v>15719</v>
      </c>
      <c r="AB819" t="s">
        <v>15720</v>
      </c>
      <c r="AC819" t="s">
        <v>15721</v>
      </c>
      <c r="AD819" t="s">
        <v>15722</v>
      </c>
      <c r="AE819" t="s">
        <v>15723</v>
      </c>
      <c r="AF819" t="s">
        <v>74</v>
      </c>
      <c r="AG819">
        <v>118</v>
      </c>
      <c r="AH819">
        <v>5</v>
      </c>
      <c r="AI819">
        <v>5</v>
      </c>
      <c r="AJ819">
        <v>0</v>
      </c>
      <c r="AK819">
        <v>2</v>
      </c>
      <c r="AL819" t="s">
        <v>2627</v>
      </c>
      <c r="AM819" t="s">
        <v>2628</v>
      </c>
      <c r="AN819" t="s">
        <v>2629</v>
      </c>
      <c r="AO819" t="s">
        <v>13924</v>
      </c>
      <c r="AP819" t="s">
        <v>13925</v>
      </c>
      <c r="AQ819" t="s">
        <v>74</v>
      </c>
      <c r="AR819" t="s">
        <v>13926</v>
      </c>
      <c r="AS819" t="s">
        <v>13927</v>
      </c>
      <c r="AT819" t="s">
        <v>12161</v>
      </c>
      <c r="AU819">
        <v>2020</v>
      </c>
      <c r="AV819">
        <v>52</v>
      </c>
      <c r="AW819">
        <v>1</v>
      </c>
      <c r="AX819" t="s">
        <v>74</v>
      </c>
      <c r="AY819" t="s">
        <v>74</v>
      </c>
      <c r="AZ819" t="s">
        <v>74</v>
      </c>
      <c r="BA819" t="s">
        <v>74</v>
      </c>
      <c r="BB819">
        <v>281</v>
      </c>
      <c r="BC819">
        <v>311</v>
      </c>
      <c r="BD819" t="s">
        <v>74</v>
      </c>
      <c r="BE819" t="s">
        <v>15724</v>
      </c>
      <c r="BF819" t="str">
        <f>HYPERLINK("http://dx.doi.org/10.1080/15230430.2020.1765520","http://dx.doi.org/10.1080/15230430.2020.1765520")</f>
        <v>http://dx.doi.org/10.1080/15230430.2020.1765520</v>
      </c>
      <c r="BG819" t="s">
        <v>74</v>
      </c>
      <c r="BH819" t="s">
        <v>74</v>
      </c>
      <c r="BI819">
        <v>31</v>
      </c>
      <c r="BJ819" t="s">
        <v>13929</v>
      </c>
      <c r="BK819" t="s">
        <v>103</v>
      </c>
      <c r="BL819" t="s">
        <v>1828</v>
      </c>
      <c r="BM819" t="s">
        <v>15725</v>
      </c>
      <c r="BN819" t="s">
        <v>74</v>
      </c>
      <c r="BO819" t="s">
        <v>6028</v>
      </c>
      <c r="BP819" t="s">
        <v>74</v>
      </c>
      <c r="BQ819" t="s">
        <v>74</v>
      </c>
      <c r="BR819" t="s">
        <v>106</v>
      </c>
      <c r="BS819" t="s">
        <v>15726</v>
      </c>
      <c r="BT819" t="str">
        <f>HYPERLINK("https%3A%2F%2Fwww.webofscience.com%2Fwos%2Fwoscc%2Ffull-record%2FWOS:000551641600001","View Full Record in Web of Science")</f>
        <v>View Full Record in Web of Science</v>
      </c>
    </row>
    <row r="820" spans="1:72" x14ac:dyDescent="0.15">
      <c r="A820" t="s">
        <v>72</v>
      </c>
      <c r="B820" t="s">
        <v>15727</v>
      </c>
      <c r="C820" t="s">
        <v>74</v>
      </c>
      <c r="D820" t="s">
        <v>74</v>
      </c>
      <c r="E820" t="s">
        <v>74</v>
      </c>
      <c r="F820" t="s">
        <v>15728</v>
      </c>
      <c r="G820" t="s">
        <v>74</v>
      </c>
      <c r="H820" t="s">
        <v>74</v>
      </c>
      <c r="I820" t="s">
        <v>15729</v>
      </c>
      <c r="J820" t="s">
        <v>13911</v>
      </c>
      <c r="K820" t="s">
        <v>74</v>
      </c>
      <c r="L820" t="s">
        <v>74</v>
      </c>
      <c r="M820" t="s">
        <v>78</v>
      </c>
      <c r="N820" t="s">
        <v>79</v>
      </c>
      <c r="O820" t="s">
        <v>74</v>
      </c>
      <c r="P820" t="s">
        <v>74</v>
      </c>
      <c r="Q820" t="s">
        <v>74</v>
      </c>
      <c r="R820" t="s">
        <v>74</v>
      </c>
      <c r="S820" t="s">
        <v>74</v>
      </c>
      <c r="T820" t="s">
        <v>15730</v>
      </c>
      <c r="U820" t="s">
        <v>15731</v>
      </c>
      <c r="V820" t="s">
        <v>15732</v>
      </c>
      <c r="W820" t="s">
        <v>15733</v>
      </c>
      <c r="X820" t="s">
        <v>15734</v>
      </c>
      <c r="Y820" t="s">
        <v>15735</v>
      </c>
      <c r="Z820" t="s">
        <v>15736</v>
      </c>
      <c r="AA820" t="s">
        <v>74</v>
      </c>
      <c r="AB820" t="s">
        <v>15737</v>
      </c>
      <c r="AC820" t="s">
        <v>15738</v>
      </c>
      <c r="AD820" t="s">
        <v>15739</v>
      </c>
      <c r="AE820" t="s">
        <v>15740</v>
      </c>
      <c r="AF820" t="s">
        <v>74</v>
      </c>
      <c r="AG820">
        <v>59</v>
      </c>
      <c r="AH820">
        <v>20</v>
      </c>
      <c r="AI820">
        <v>20</v>
      </c>
      <c r="AJ820">
        <v>1</v>
      </c>
      <c r="AK820">
        <v>25</v>
      </c>
      <c r="AL820" t="s">
        <v>2627</v>
      </c>
      <c r="AM820" t="s">
        <v>2628</v>
      </c>
      <c r="AN820" t="s">
        <v>2629</v>
      </c>
      <c r="AO820" t="s">
        <v>13924</v>
      </c>
      <c r="AP820" t="s">
        <v>13925</v>
      </c>
      <c r="AQ820" t="s">
        <v>74</v>
      </c>
      <c r="AR820" t="s">
        <v>13926</v>
      </c>
      <c r="AS820" t="s">
        <v>13927</v>
      </c>
      <c r="AT820" t="s">
        <v>12161</v>
      </c>
      <c r="AU820">
        <v>2020</v>
      </c>
      <c r="AV820">
        <v>52</v>
      </c>
      <c r="AW820">
        <v>1</v>
      </c>
      <c r="AX820" t="s">
        <v>74</v>
      </c>
      <c r="AY820" t="s">
        <v>74</v>
      </c>
      <c r="AZ820" t="s">
        <v>74</v>
      </c>
      <c r="BA820" t="s">
        <v>74</v>
      </c>
      <c r="BB820">
        <v>312</v>
      </c>
      <c r="BC820">
        <v>322</v>
      </c>
      <c r="BD820" t="s">
        <v>74</v>
      </c>
      <c r="BE820" t="s">
        <v>15741</v>
      </c>
      <c r="BF820" t="str">
        <f>HYPERLINK("http://dx.doi.org/10.1080/15230430.2020.1778890","http://dx.doi.org/10.1080/15230430.2020.1778890")</f>
        <v>http://dx.doi.org/10.1080/15230430.2020.1778890</v>
      </c>
      <c r="BG820" t="s">
        <v>74</v>
      </c>
      <c r="BH820" t="s">
        <v>74</v>
      </c>
      <c r="BI820">
        <v>11</v>
      </c>
      <c r="BJ820" t="s">
        <v>13929</v>
      </c>
      <c r="BK820" t="s">
        <v>103</v>
      </c>
      <c r="BL820" t="s">
        <v>1828</v>
      </c>
      <c r="BM820" t="s">
        <v>15742</v>
      </c>
      <c r="BN820" t="s">
        <v>74</v>
      </c>
      <c r="BO820" t="s">
        <v>2592</v>
      </c>
      <c r="BP820" t="s">
        <v>74</v>
      </c>
      <c r="BQ820" t="s">
        <v>74</v>
      </c>
      <c r="BR820" t="s">
        <v>106</v>
      </c>
      <c r="BS820" t="s">
        <v>15743</v>
      </c>
      <c r="BT820" t="str">
        <f>HYPERLINK("https%3A%2F%2Fwww.webofscience.com%2Fwos%2Fwoscc%2Ffull-record%2FWOS:000551641200001","View Full Record in Web of Science")</f>
        <v>View Full Record in Web of Science</v>
      </c>
    </row>
    <row r="821" spans="1:72" x14ac:dyDescent="0.15">
      <c r="A821" t="s">
        <v>72</v>
      </c>
      <c r="B821" t="s">
        <v>15744</v>
      </c>
      <c r="C821" t="s">
        <v>74</v>
      </c>
      <c r="D821" t="s">
        <v>74</v>
      </c>
      <c r="E821" t="s">
        <v>74</v>
      </c>
      <c r="F821" t="s">
        <v>15745</v>
      </c>
      <c r="G821" t="s">
        <v>74</v>
      </c>
      <c r="H821" t="s">
        <v>74</v>
      </c>
      <c r="I821" t="s">
        <v>15746</v>
      </c>
      <c r="J821" t="s">
        <v>13911</v>
      </c>
      <c r="K821" t="s">
        <v>74</v>
      </c>
      <c r="L821" t="s">
        <v>74</v>
      </c>
      <c r="M821" t="s">
        <v>78</v>
      </c>
      <c r="N821" t="s">
        <v>79</v>
      </c>
      <c r="O821" t="s">
        <v>74</v>
      </c>
      <c r="P821" t="s">
        <v>74</v>
      </c>
      <c r="Q821" t="s">
        <v>74</v>
      </c>
      <c r="R821" t="s">
        <v>74</v>
      </c>
      <c r="S821" t="s">
        <v>74</v>
      </c>
      <c r="T821" t="s">
        <v>15747</v>
      </c>
      <c r="U821" t="s">
        <v>15748</v>
      </c>
      <c r="V821" t="s">
        <v>15749</v>
      </c>
      <c r="W821" t="s">
        <v>15750</v>
      </c>
      <c r="X821" t="s">
        <v>15751</v>
      </c>
      <c r="Y821" t="s">
        <v>15752</v>
      </c>
      <c r="Z821" t="s">
        <v>15753</v>
      </c>
      <c r="AA821" t="s">
        <v>74</v>
      </c>
      <c r="AB821" t="s">
        <v>74</v>
      </c>
      <c r="AC821" t="s">
        <v>15754</v>
      </c>
      <c r="AD821" t="s">
        <v>15755</v>
      </c>
      <c r="AE821" t="s">
        <v>15756</v>
      </c>
      <c r="AF821" t="s">
        <v>74</v>
      </c>
      <c r="AG821">
        <v>188</v>
      </c>
      <c r="AH821">
        <v>3</v>
      </c>
      <c r="AI821">
        <v>5</v>
      </c>
      <c r="AJ821">
        <v>0</v>
      </c>
      <c r="AK821">
        <v>4</v>
      </c>
      <c r="AL821" t="s">
        <v>2627</v>
      </c>
      <c r="AM821" t="s">
        <v>2628</v>
      </c>
      <c r="AN821" t="s">
        <v>2629</v>
      </c>
      <c r="AO821" t="s">
        <v>13924</v>
      </c>
      <c r="AP821" t="s">
        <v>13925</v>
      </c>
      <c r="AQ821" t="s">
        <v>74</v>
      </c>
      <c r="AR821" t="s">
        <v>13926</v>
      </c>
      <c r="AS821" t="s">
        <v>13927</v>
      </c>
      <c r="AT821" t="s">
        <v>12161</v>
      </c>
      <c r="AU821">
        <v>2020</v>
      </c>
      <c r="AV821">
        <v>52</v>
      </c>
      <c r="AW821">
        <v>1</v>
      </c>
      <c r="AX821" t="s">
        <v>74</v>
      </c>
      <c r="AY821" t="s">
        <v>74</v>
      </c>
      <c r="AZ821" t="s">
        <v>74</v>
      </c>
      <c r="BA821" t="s">
        <v>74</v>
      </c>
      <c r="BB821">
        <v>323</v>
      </c>
      <c r="BC821">
        <v>340</v>
      </c>
      <c r="BD821" t="s">
        <v>74</v>
      </c>
      <c r="BE821" t="s">
        <v>15757</v>
      </c>
      <c r="BF821" t="str">
        <f>HYPERLINK("http://dx.doi.org/10.1080/15230430.2020.1771869","http://dx.doi.org/10.1080/15230430.2020.1771869")</f>
        <v>http://dx.doi.org/10.1080/15230430.2020.1771869</v>
      </c>
      <c r="BG821" t="s">
        <v>74</v>
      </c>
      <c r="BH821" t="s">
        <v>74</v>
      </c>
      <c r="BI821">
        <v>18</v>
      </c>
      <c r="BJ821" t="s">
        <v>13929</v>
      </c>
      <c r="BK821" t="s">
        <v>103</v>
      </c>
      <c r="BL821" t="s">
        <v>1828</v>
      </c>
      <c r="BM821" t="s">
        <v>15758</v>
      </c>
      <c r="BN821" t="s">
        <v>74</v>
      </c>
      <c r="BO821" t="s">
        <v>1359</v>
      </c>
      <c r="BP821" t="s">
        <v>74</v>
      </c>
      <c r="BQ821" t="s">
        <v>74</v>
      </c>
      <c r="BR821" t="s">
        <v>106</v>
      </c>
      <c r="BS821" t="s">
        <v>15759</v>
      </c>
      <c r="BT821" t="str">
        <f>HYPERLINK("https%3A%2F%2Fwww.webofscience.com%2Fwos%2Fwoscc%2Ffull-record%2FWOS:000551640700001","View Full Record in Web of Science")</f>
        <v>View Full Record in Web of Science</v>
      </c>
    </row>
    <row r="822" spans="1:72" x14ac:dyDescent="0.15">
      <c r="A822" t="s">
        <v>72</v>
      </c>
      <c r="B822" t="s">
        <v>15760</v>
      </c>
      <c r="C822" t="s">
        <v>74</v>
      </c>
      <c r="D822" t="s">
        <v>74</v>
      </c>
      <c r="E822" t="s">
        <v>74</v>
      </c>
      <c r="F822" t="s">
        <v>15761</v>
      </c>
      <c r="G822" t="s">
        <v>74</v>
      </c>
      <c r="H822" t="s">
        <v>74</v>
      </c>
      <c r="I822" t="s">
        <v>15762</v>
      </c>
      <c r="J822" t="s">
        <v>13911</v>
      </c>
      <c r="K822" t="s">
        <v>74</v>
      </c>
      <c r="L822" t="s">
        <v>74</v>
      </c>
      <c r="M822" t="s">
        <v>78</v>
      </c>
      <c r="N822" t="s">
        <v>79</v>
      </c>
      <c r="O822" t="s">
        <v>74</v>
      </c>
      <c r="P822" t="s">
        <v>74</v>
      </c>
      <c r="Q822" t="s">
        <v>74</v>
      </c>
      <c r="R822" t="s">
        <v>74</v>
      </c>
      <c r="S822" t="s">
        <v>74</v>
      </c>
      <c r="T822" t="s">
        <v>15763</v>
      </c>
      <c r="U822" t="s">
        <v>15764</v>
      </c>
      <c r="V822" t="s">
        <v>15765</v>
      </c>
      <c r="W822" t="s">
        <v>15766</v>
      </c>
      <c r="X822" t="s">
        <v>15767</v>
      </c>
      <c r="Y822" t="s">
        <v>15768</v>
      </c>
      <c r="Z822" t="s">
        <v>15769</v>
      </c>
      <c r="AA822" t="s">
        <v>74</v>
      </c>
      <c r="AB822" t="s">
        <v>74</v>
      </c>
      <c r="AC822" t="s">
        <v>74</v>
      </c>
      <c r="AD822" t="s">
        <v>74</v>
      </c>
      <c r="AE822" t="s">
        <v>74</v>
      </c>
      <c r="AF822" t="s">
        <v>74</v>
      </c>
      <c r="AG822">
        <v>49</v>
      </c>
      <c r="AH822">
        <v>4</v>
      </c>
      <c r="AI822">
        <v>5</v>
      </c>
      <c r="AJ822">
        <v>1</v>
      </c>
      <c r="AK822">
        <v>8</v>
      </c>
      <c r="AL822" t="s">
        <v>2627</v>
      </c>
      <c r="AM822" t="s">
        <v>2628</v>
      </c>
      <c r="AN822" t="s">
        <v>2629</v>
      </c>
      <c r="AO822" t="s">
        <v>13924</v>
      </c>
      <c r="AP822" t="s">
        <v>13925</v>
      </c>
      <c r="AQ822" t="s">
        <v>74</v>
      </c>
      <c r="AR822" t="s">
        <v>13926</v>
      </c>
      <c r="AS822" t="s">
        <v>13927</v>
      </c>
      <c r="AT822" t="s">
        <v>12161</v>
      </c>
      <c r="AU822">
        <v>2020</v>
      </c>
      <c r="AV822">
        <v>52</v>
      </c>
      <c r="AW822">
        <v>1</v>
      </c>
      <c r="AX822" t="s">
        <v>74</v>
      </c>
      <c r="AY822" t="s">
        <v>74</v>
      </c>
      <c r="AZ822" t="s">
        <v>74</v>
      </c>
      <c r="BA822" t="s">
        <v>74</v>
      </c>
      <c r="BB822">
        <v>341</v>
      </c>
      <c r="BC822">
        <v>360</v>
      </c>
      <c r="BD822" t="s">
        <v>74</v>
      </c>
      <c r="BE822" t="s">
        <v>15770</v>
      </c>
      <c r="BF822" t="str">
        <f>HYPERLINK("http://dx.doi.org/10.1080/15230430.2020.1742022","http://dx.doi.org/10.1080/15230430.2020.1742022")</f>
        <v>http://dx.doi.org/10.1080/15230430.2020.1742022</v>
      </c>
      <c r="BG822" t="s">
        <v>74</v>
      </c>
      <c r="BH822" t="s">
        <v>74</v>
      </c>
      <c r="BI822">
        <v>20</v>
      </c>
      <c r="BJ822" t="s">
        <v>13929</v>
      </c>
      <c r="BK822" t="s">
        <v>103</v>
      </c>
      <c r="BL822" t="s">
        <v>1828</v>
      </c>
      <c r="BM822" t="s">
        <v>15771</v>
      </c>
      <c r="BN822" t="s">
        <v>74</v>
      </c>
      <c r="BO822" t="s">
        <v>1359</v>
      </c>
      <c r="BP822" t="s">
        <v>74</v>
      </c>
      <c r="BQ822" t="s">
        <v>74</v>
      </c>
      <c r="BR822" t="s">
        <v>106</v>
      </c>
      <c r="BS822" t="s">
        <v>15772</v>
      </c>
      <c r="BT822" t="str">
        <f>HYPERLINK("https%3A%2F%2Fwww.webofscience.com%2Fwos%2Fwoscc%2Ffull-record%2FWOS:000551640000001","View Full Record in Web of Science")</f>
        <v>View Full Record in Web of Science</v>
      </c>
    </row>
    <row r="823" spans="1:72" x14ac:dyDescent="0.15">
      <c r="A823" t="s">
        <v>72</v>
      </c>
      <c r="B823" t="s">
        <v>15773</v>
      </c>
      <c r="C823" t="s">
        <v>74</v>
      </c>
      <c r="D823" t="s">
        <v>74</v>
      </c>
      <c r="E823" t="s">
        <v>74</v>
      </c>
      <c r="F823" t="s">
        <v>15774</v>
      </c>
      <c r="G823" t="s">
        <v>74</v>
      </c>
      <c r="H823" t="s">
        <v>74</v>
      </c>
      <c r="I823" t="s">
        <v>15775</v>
      </c>
      <c r="J823" t="s">
        <v>15776</v>
      </c>
      <c r="K823" t="s">
        <v>74</v>
      </c>
      <c r="L823" t="s">
        <v>74</v>
      </c>
      <c r="M823" t="s">
        <v>78</v>
      </c>
      <c r="N823" t="s">
        <v>79</v>
      </c>
      <c r="O823" t="s">
        <v>74</v>
      </c>
      <c r="P823" t="s">
        <v>74</v>
      </c>
      <c r="Q823" t="s">
        <v>74</v>
      </c>
      <c r="R823" t="s">
        <v>74</v>
      </c>
      <c r="S823" t="s">
        <v>74</v>
      </c>
      <c r="T823" t="s">
        <v>15777</v>
      </c>
      <c r="U823" t="s">
        <v>15778</v>
      </c>
      <c r="V823" t="s">
        <v>15779</v>
      </c>
      <c r="W823" t="s">
        <v>15780</v>
      </c>
      <c r="X823" t="s">
        <v>15781</v>
      </c>
      <c r="Y823" t="s">
        <v>15782</v>
      </c>
      <c r="Z823" t="s">
        <v>15783</v>
      </c>
      <c r="AA823" t="s">
        <v>15784</v>
      </c>
      <c r="AB823" t="s">
        <v>15785</v>
      </c>
      <c r="AC823" t="s">
        <v>15786</v>
      </c>
      <c r="AD823" t="s">
        <v>15786</v>
      </c>
      <c r="AE823" t="s">
        <v>15787</v>
      </c>
      <c r="AF823" t="s">
        <v>74</v>
      </c>
      <c r="AG823">
        <v>45</v>
      </c>
      <c r="AH823">
        <v>3</v>
      </c>
      <c r="AI823">
        <v>4</v>
      </c>
      <c r="AJ823">
        <v>1</v>
      </c>
      <c r="AK823">
        <v>8</v>
      </c>
      <c r="AL823" t="s">
        <v>15788</v>
      </c>
      <c r="AM823" t="s">
        <v>14555</v>
      </c>
      <c r="AN823" t="s">
        <v>15789</v>
      </c>
      <c r="AO823" t="s">
        <v>15790</v>
      </c>
      <c r="AP823" t="s">
        <v>15791</v>
      </c>
      <c r="AQ823" t="s">
        <v>74</v>
      </c>
      <c r="AR823" t="s">
        <v>15792</v>
      </c>
      <c r="AS823" t="s">
        <v>15793</v>
      </c>
      <c r="AT823" t="s">
        <v>74</v>
      </c>
      <c r="AU823">
        <v>2020</v>
      </c>
      <c r="AV823">
        <v>62</v>
      </c>
      <c r="AW823">
        <v>1</v>
      </c>
      <c r="AX823" t="s">
        <v>74</v>
      </c>
      <c r="AY823" t="s">
        <v>74</v>
      </c>
      <c r="AZ823" t="s">
        <v>74</v>
      </c>
      <c r="BA823" t="s">
        <v>74</v>
      </c>
      <c r="BB823">
        <v>51</v>
      </c>
      <c r="BC823" t="s">
        <v>759</v>
      </c>
      <c r="BD823" t="s">
        <v>74</v>
      </c>
      <c r="BE823" t="s">
        <v>15794</v>
      </c>
      <c r="BF823" t="str">
        <f>HYPERLINK("http://dx.doi.org/10.24425/abcsb.2020.131665","http://dx.doi.org/10.24425/abcsb.2020.131665")</f>
        <v>http://dx.doi.org/10.24425/abcsb.2020.131665</v>
      </c>
      <c r="BG823" t="s">
        <v>74</v>
      </c>
      <c r="BH823" t="s">
        <v>74</v>
      </c>
      <c r="BI823">
        <v>12</v>
      </c>
      <c r="BJ823" t="s">
        <v>6008</v>
      </c>
      <c r="BK823" t="s">
        <v>103</v>
      </c>
      <c r="BL823" t="s">
        <v>6008</v>
      </c>
      <c r="BM823" t="s">
        <v>15795</v>
      </c>
      <c r="BN823" t="s">
        <v>74</v>
      </c>
      <c r="BO823" t="s">
        <v>2592</v>
      </c>
      <c r="BP823" t="s">
        <v>74</v>
      </c>
      <c r="BQ823" t="s">
        <v>74</v>
      </c>
      <c r="BR823" t="s">
        <v>106</v>
      </c>
      <c r="BS823" t="s">
        <v>15796</v>
      </c>
      <c r="BT823" t="str">
        <f>HYPERLINK("https%3A%2F%2Fwww.webofscience.com%2Fwos%2Fwoscc%2Ffull-record%2FWOS:000551090100005","View Full Record in Web of Science")</f>
        <v>View Full Record in Web of Science</v>
      </c>
    </row>
    <row r="824" spans="1:72" x14ac:dyDescent="0.15">
      <c r="A824" t="s">
        <v>72</v>
      </c>
      <c r="B824" t="s">
        <v>15797</v>
      </c>
      <c r="C824" t="s">
        <v>74</v>
      </c>
      <c r="D824" t="s">
        <v>74</v>
      </c>
      <c r="E824" t="s">
        <v>74</v>
      </c>
      <c r="F824" t="s">
        <v>15798</v>
      </c>
      <c r="G824" t="s">
        <v>74</v>
      </c>
      <c r="H824" t="s">
        <v>74</v>
      </c>
      <c r="I824" t="s">
        <v>15799</v>
      </c>
      <c r="J824" t="s">
        <v>15800</v>
      </c>
      <c r="K824" t="s">
        <v>74</v>
      </c>
      <c r="L824" t="s">
        <v>74</v>
      </c>
      <c r="M824" t="s">
        <v>78</v>
      </c>
      <c r="N824" t="s">
        <v>79</v>
      </c>
      <c r="O824" t="s">
        <v>74</v>
      </c>
      <c r="P824" t="s">
        <v>74</v>
      </c>
      <c r="Q824" t="s">
        <v>74</v>
      </c>
      <c r="R824" t="s">
        <v>74</v>
      </c>
      <c r="S824" t="s">
        <v>74</v>
      </c>
      <c r="T824" t="s">
        <v>15801</v>
      </c>
      <c r="U824" t="s">
        <v>15802</v>
      </c>
      <c r="V824" t="s">
        <v>15803</v>
      </c>
      <c r="W824" t="s">
        <v>15804</v>
      </c>
      <c r="X824" t="s">
        <v>15805</v>
      </c>
      <c r="Y824" t="s">
        <v>15806</v>
      </c>
      <c r="Z824" t="s">
        <v>15807</v>
      </c>
      <c r="AA824" t="s">
        <v>15808</v>
      </c>
      <c r="AB824" t="s">
        <v>15809</v>
      </c>
      <c r="AC824" t="s">
        <v>15810</v>
      </c>
      <c r="AD824" t="s">
        <v>15811</v>
      </c>
      <c r="AE824" t="s">
        <v>15812</v>
      </c>
      <c r="AF824" t="s">
        <v>74</v>
      </c>
      <c r="AG824">
        <v>61</v>
      </c>
      <c r="AH824">
        <v>15</v>
      </c>
      <c r="AI824">
        <v>15</v>
      </c>
      <c r="AJ824">
        <v>0</v>
      </c>
      <c r="AK824">
        <v>2</v>
      </c>
      <c r="AL824" t="s">
        <v>15813</v>
      </c>
      <c r="AM824" t="s">
        <v>15814</v>
      </c>
      <c r="AN824" t="s">
        <v>15815</v>
      </c>
      <c r="AO824" t="s">
        <v>15816</v>
      </c>
      <c r="AP824" t="s">
        <v>15817</v>
      </c>
      <c r="AQ824" t="s">
        <v>74</v>
      </c>
      <c r="AR824" t="s">
        <v>15818</v>
      </c>
      <c r="AS824" t="s">
        <v>15819</v>
      </c>
      <c r="AT824" t="s">
        <v>74</v>
      </c>
      <c r="AU824">
        <v>2020</v>
      </c>
      <c r="AV824">
        <v>46</v>
      </c>
      <c r="AW824">
        <v>1</v>
      </c>
      <c r="AX824" t="s">
        <v>74</v>
      </c>
      <c r="AY824" t="s">
        <v>74</v>
      </c>
      <c r="AZ824" t="s">
        <v>74</v>
      </c>
      <c r="BA824" t="s">
        <v>74</v>
      </c>
      <c r="BB824">
        <v>7</v>
      </c>
      <c r="BC824">
        <v>31</v>
      </c>
      <c r="BD824" t="s">
        <v>74</v>
      </c>
      <c r="BE824" t="s">
        <v>15820</v>
      </c>
      <c r="BF824" t="str">
        <f>HYPERLINK("http://dx.doi.org/10.18172/cig.3800","http://dx.doi.org/10.18172/cig.3800")</f>
        <v>http://dx.doi.org/10.18172/cig.3800</v>
      </c>
      <c r="BG824" t="s">
        <v>74</v>
      </c>
      <c r="BH824" t="s">
        <v>74</v>
      </c>
      <c r="BI824">
        <v>25</v>
      </c>
      <c r="BJ824" t="s">
        <v>12264</v>
      </c>
      <c r="BK824" t="s">
        <v>274</v>
      </c>
      <c r="BL824" t="s">
        <v>12265</v>
      </c>
      <c r="BM824" t="s">
        <v>15821</v>
      </c>
      <c r="BN824" t="s">
        <v>74</v>
      </c>
      <c r="BO824" t="s">
        <v>1310</v>
      </c>
      <c r="BP824" t="s">
        <v>74</v>
      </c>
      <c r="BQ824" t="s">
        <v>74</v>
      </c>
      <c r="BR824" t="s">
        <v>106</v>
      </c>
      <c r="BS824" t="s">
        <v>15822</v>
      </c>
      <c r="BT824" t="str">
        <f>HYPERLINK("https%3A%2F%2Fwww.webofscience.com%2Fwos%2Fwoscc%2Ffull-record%2FWOS:000551185100001","View Full Record in Web of Science")</f>
        <v>View Full Record in Web of Science</v>
      </c>
    </row>
    <row r="825" spans="1:72" x14ac:dyDescent="0.15">
      <c r="A825" t="s">
        <v>72</v>
      </c>
      <c r="B825" t="s">
        <v>15823</v>
      </c>
      <c r="C825" t="s">
        <v>74</v>
      </c>
      <c r="D825" t="s">
        <v>74</v>
      </c>
      <c r="E825" t="s">
        <v>74</v>
      </c>
      <c r="F825" t="s">
        <v>15824</v>
      </c>
      <c r="G825" t="s">
        <v>74</v>
      </c>
      <c r="H825" t="s">
        <v>74</v>
      </c>
      <c r="I825" t="s">
        <v>15825</v>
      </c>
      <c r="J825" t="s">
        <v>15800</v>
      </c>
      <c r="K825" t="s">
        <v>74</v>
      </c>
      <c r="L825" t="s">
        <v>74</v>
      </c>
      <c r="M825" t="s">
        <v>78</v>
      </c>
      <c r="N825" t="s">
        <v>79</v>
      </c>
      <c r="O825" t="s">
        <v>74</v>
      </c>
      <c r="P825" t="s">
        <v>74</v>
      </c>
      <c r="Q825" t="s">
        <v>74</v>
      </c>
      <c r="R825" t="s">
        <v>74</v>
      </c>
      <c r="S825" t="s">
        <v>74</v>
      </c>
      <c r="T825" t="s">
        <v>15826</v>
      </c>
      <c r="U825" t="s">
        <v>15827</v>
      </c>
      <c r="V825" t="s">
        <v>15828</v>
      </c>
      <c r="W825" t="s">
        <v>15829</v>
      </c>
      <c r="X825" t="s">
        <v>15830</v>
      </c>
      <c r="Y825" t="s">
        <v>15831</v>
      </c>
      <c r="Z825" t="s">
        <v>15832</v>
      </c>
      <c r="AA825" t="s">
        <v>15833</v>
      </c>
      <c r="AB825" t="s">
        <v>15834</v>
      </c>
      <c r="AC825" t="s">
        <v>15835</v>
      </c>
      <c r="AD825" t="s">
        <v>15836</v>
      </c>
      <c r="AE825" t="s">
        <v>15837</v>
      </c>
      <c r="AF825" t="s">
        <v>74</v>
      </c>
      <c r="AG825">
        <v>94</v>
      </c>
      <c r="AH825">
        <v>9</v>
      </c>
      <c r="AI825">
        <v>9</v>
      </c>
      <c r="AJ825">
        <v>0</v>
      </c>
      <c r="AK825">
        <v>10</v>
      </c>
      <c r="AL825" t="s">
        <v>15813</v>
      </c>
      <c r="AM825" t="s">
        <v>15814</v>
      </c>
      <c r="AN825" t="s">
        <v>15815</v>
      </c>
      <c r="AO825" t="s">
        <v>15816</v>
      </c>
      <c r="AP825" t="s">
        <v>15817</v>
      </c>
      <c r="AQ825" t="s">
        <v>74</v>
      </c>
      <c r="AR825" t="s">
        <v>15818</v>
      </c>
      <c r="AS825" t="s">
        <v>15819</v>
      </c>
      <c r="AT825" t="s">
        <v>74</v>
      </c>
      <c r="AU825">
        <v>2020</v>
      </c>
      <c r="AV825">
        <v>46</v>
      </c>
      <c r="AW825">
        <v>1</v>
      </c>
      <c r="AX825" t="s">
        <v>74</v>
      </c>
      <c r="AY825" t="s">
        <v>74</v>
      </c>
      <c r="AZ825" t="s">
        <v>74</v>
      </c>
      <c r="BA825" t="s">
        <v>74</v>
      </c>
      <c r="BB825">
        <v>187</v>
      </c>
      <c r="BC825">
        <v>222</v>
      </c>
      <c r="BD825" t="s">
        <v>74</v>
      </c>
      <c r="BE825" t="s">
        <v>15838</v>
      </c>
      <c r="BF825" t="str">
        <f>HYPERLINK("http://dx.doi.org/10.18172/cig.4381","http://dx.doi.org/10.18172/cig.4381")</f>
        <v>http://dx.doi.org/10.18172/cig.4381</v>
      </c>
      <c r="BG825" t="s">
        <v>74</v>
      </c>
      <c r="BH825" t="s">
        <v>74</v>
      </c>
      <c r="BI825">
        <v>36</v>
      </c>
      <c r="BJ825" t="s">
        <v>12264</v>
      </c>
      <c r="BK825" t="s">
        <v>274</v>
      </c>
      <c r="BL825" t="s">
        <v>12265</v>
      </c>
      <c r="BM825" t="s">
        <v>15821</v>
      </c>
      <c r="BN825" t="s">
        <v>74</v>
      </c>
      <c r="BO825" t="s">
        <v>1310</v>
      </c>
      <c r="BP825" t="s">
        <v>74</v>
      </c>
      <c r="BQ825" t="s">
        <v>74</v>
      </c>
      <c r="BR825" t="s">
        <v>106</v>
      </c>
      <c r="BS825" t="s">
        <v>15839</v>
      </c>
      <c r="BT825" t="str">
        <f>HYPERLINK("https%3A%2F%2Fwww.webofscience.com%2Fwos%2Fwoscc%2Ffull-record%2FWOS:000551185100009","View Full Record in Web of Science")</f>
        <v>View Full Record in Web of Science</v>
      </c>
    </row>
    <row r="826" spans="1:72" x14ac:dyDescent="0.15">
      <c r="A826" t="s">
        <v>72</v>
      </c>
      <c r="B826" t="s">
        <v>15840</v>
      </c>
      <c r="C826" t="s">
        <v>74</v>
      </c>
      <c r="D826" t="s">
        <v>74</v>
      </c>
      <c r="E826" t="s">
        <v>74</v>
      </c>
      <c r="F826" t="s">
        <v>15841</v>
      </c>
      <c r="G826" t="s">
        <v>74</v>
      </c>
      <c r="H826" t="s">
        <v>74</v>
      </c>
      <c r="I826" t="s">
        <v>15842</v>
      </c>
      <c r="J826" t="s">
        <v>14248</v>
      </c>
      <c r="K826" t="s">
        <v>74</v>
      </c>
      <c r="L826" t="s">
        <v>74</v>
      </c>
      <c r="M826" t="s">
        <v>14249</v>
      </c>
      <c r="N826" t="s">
        <v>79</v>
      </c>
      <c r="O826" t="s">
        <v>74</v>
      </c>
      <c r="P826" t="s">
        <v>74</v>
      </c>
      <c r="Q826" t="s">
        <v>74</v>
      </c>
      <c r="R826" t="s">
        <v>74</v>
      </c>
      <c r="S826" t="s">
        <v>74</v>
      </c>
      <c r="T826" t="s">
        <v>15843</v>
      </c>
      <c r="U826" t="s">
        <v>15844</v>
      </c>
      <c r="V826" t="s">
        <v>15845</v>
      </c>
      <c r="W826" t="s">
        <v>15846</v>
      </c>
      <c r="X826" t="s">
        <v>15847</v>
      </c>
      <c r="Y826" t="s">
        <v>15848</v>
      </c>
      <c r="Z826" t="s">
        <v>74</v>
      </c>
      <c r="AA826" t="s">
        <v>15849</v>
      </c>
      <c r="AB826" t="s">
        <v>15850</v>
      </c>
      <c r="AC826" t="s">
        <v>74</v>
      </c>
      <c r="AD826" t="s">
        <v>74</v>
      </c>
      <c r="AE826" t="s">
        <v>74</v>
      </c>
      <c r="AF826" t="s">
        <v>74</v>
      </c>
      <c r="AG826">
        <v>66</v>
      </c>
      <c r="AH826">
        <v>2</v>
      </c>
      <c r="AI826">
        <v>2</v>
      </c>
      <c r="AJ826">
        <v>0</v>
      </c>
      <c r="AK826">
        <v>1</v>
      </c>
      <c r="AL826" t="s">
        <v>14260</v>
      </c>
      <c r="AM826" t="s">
        <v>4825</v>
      </c>
      <c r="AN826" t="s">
        <v>14261</v>
      </c>
      <c r="AO826" t="s">
        <v>14262</v>
      </c>
      <c r="AP826" t="s">
        <v>14263</v>
      </c>
      <c r="AQ826" t="s">
        <v>74</v>
      </c>
      <c r="AR826" t="s">
        <v>14264</v>
      </c>
      <c r="AS826" t="s">
        <v>14265</v>
      </c>
      <c r="AT826" t="s">
        <v>74</v>
      </c>
      <c r="AU826">
        <v>2020</v>
      </c>
      <c r="AV826">
        <v>129</v>
      </c>
      <c r="AW826">
        <v>3</v>
      </c>
      <c r="AX826" t="s">
        <v>74</v>
      </c>
      <c r="AY826" t="s">
        <v>74</v>
      </c>
      <c r="AZ826" t="s">
        <v>74</v>
      </c>
      <c r="BA826" t="s">
        <v>74</v>
      </c>
      <c r="BB826">
        <v>315</v>
      </c>
      <c r="BC826">
        <v>336</v>
      </c>
      <c r="BD826" t="s">
        <v>74</v>
      </c>
      <c r="BE826" t="s">
        <v>15851</v>
      </c>
      <c r="BF826" t="str">
        <f>HYPERLINK("http://dx.doi.org/10.5026/jgeography.129.315","http://dx.doi.org/10.5026/jgeography.129.315")</f>
        <v>http://dx.doi.org/10.5026/jgeography.129.315</v>
      </c>
      <c r="BG826" t="s">
        <v>74</v>
      </c>
      <c r="BH826" t="s">
        <v>74</v>
      </c>
      <c r="BI826">
        <v>22</v>
      </c>
      <c r="BJ826" t="s">
        <v>12264</v>
      </c>
      <c r="BK826" t="s">
        <v>274</v>
      </c>
      <c r="BL826" t="s">
        <v>12265</v>
      </c>
      <c r="BM826" t="s">
        <v>15852</v>
      </c>
      <c r="BN826" t="s">
        <v>74</v>
      </c>
      <c r="BO826" t="s">
        <v>2592</v>
      </c>
      <c r="BP826" t="s">
        <v>74</v>
      </c>
      <c r="BQ826" t="s">
        <v>74</v>
      </c>
      <c r="BR826" t="s">
        <v>106</v>
      </c>
      <c r="BS826" t="s">
        <v>15853</v>
      </c>
      <c r="BT826" t="str">
        <f>HYPERLINK("https%3A%2F%2Fwww.webofscience.com%2Fwos%2Fwoscc%2Ffull-record%2FWOS:000551520200001","View Full Record in Web of Science")</f>
        <v>View Full Record in Web of Science</v>
      </c>
    </row>
    <row r="827" spans="1:72" x14ac:dyDescent="0.15">
      <c r="A827" t="s">
        <v>72</v>
      </c>
      <c r="B827" t="s">
        <v>15854</v>
      </c>
      <c r="C827" t="s">
        <v>74</v>
      </c>
      <c r="D827" t="s">
        <v>74</v>
      </c>
      <c r="E827" t="s">
        <v>74</v>
      </c>
      <c r="F827" t="s">
        <v>15855</v>
      </c>
      <c r="G827" t="s">
        <v>74</v>
      </c>
      <c r="H827" t="s">
        <v>74</v>
      </c>
      <c r="I827" t="s">
        <v>15856</v>
      </c>
      <c r="J827" t="s">
        <v>15857</v>
      </c>
      <c r="K827" t="s">
        <v>74</v>
      </c>
      <c r="L827" t="s">
        <v>74</v>
      </c>
      <c r="M827" t="s">
        <v>78</v>
      </c>
      <c r="N827" t="s">
        <v>79</v>
      </c>
      <c r="O827" t="s">
        <v>74</v>
      </c>
      <c r="P827" t="s">
        <v>74</v>
      </c>
      <c r="Q827" t="s">
        <v>74</v>
      </c>
      <c r="R827" t="s">
        <v>74</v>
      </c>
      <c r="S827" t="s">
        <v>74</v>
      </c>
      <c r="T827" t="s">
        <v>15858</v>
      </c>
      <c r="U827" t="s">
        <v>15859</v>
      </c>
      <c r="V827" t="s">
        <v>15860</v>
      </c>
      <c r="W827" t="s">
        <v>15861</v>
      </c>
      <c r="X827" t="s">
        <v>8532</v>
      </c>
      <c r="Y827" t="s">
        <v>15862</v>
      </c>
      <c r="Z827" t="s">
        <v>15251</v>
      </c>
      <c r="AA827" t="s">
        <v>15863</v>
      </c>
      <c r="AB827" t="s">
        <v>15864</v>
      </c>
      <c r="AC827" t="s">
        <v>15865</v>
      </c>
      <c r="AD827" t="s">
        <v>15866</v>
      </c>
      <c r="AE827" t="s">
        <v>15867</v>
      </c>
      <c r="AF827" t="s">
        <v>74</v>
      </c>
      <c r="AG827">
        <v>50</v>
      </c>
      <c r="AH827">
        <v>8</v>
      </c>
      <c r="AI827">
        <v>8</v>
      </c>
      <c r="AJ827">
        <v>0</v>
      </c>
      <c r="AK827">
        <v>8</v>
      </c>
      <c r="AL827" t="s">
        <v>15868</v>
      </c>
      <c r="AM827" t="s">
        <v>15869</v>
      </c>
      <c r="AN827" t="s">
        <v>15870</v>
      </c>
      <c r="AO827" t="s">
        <v>15871</v>
      </c>
      <c r="AP827" t="s">
        <v>74</v>
      </c>
      <c r="AQ827" t="s">
        <v>74</v>
      </c>
      <c r="AR827" t="s">
        <v>15872</v>
      </c>
      <c r="AS827" t="s">
        <v>15873</v>
      </c>
      <c r="AT827" t="s">
        <v>74</v>
      </c>
      <c r="AU827">
        <v>2020</v>
      </c>
      <c r="AV827">
        <v>10</v>
      </c>
      <c r="AW827">
        <v>2</v>
      </c>
      <c r="AX827" t="s">
        <v>74</v>
      </c>
      <c r="AY827" t="s">
        <v>74</v>
      </c>
      <c r="AZ827" t="s">
        <v>74</v>
      </c>
      <c r="BA827" t="s">
        <v>74</v>
      </c>
      <c r="BB827">
        <v>170</v>
      </c>
      <c r="BC827">
        <v>190</v>
      </c>
      <c r="BD827" t="s">
        <v>74</v>
      </c>
      <c r="BE827" t="s">
        <v>15874</v>
      </c>
      <c r="BF827" t="str">
        <f>HYPERLINK("http://dx.doi.org/10.3232/SJSS.2020.V10.N2.05","http://dx.doi.org/10.3232/SJSS.2020.V10.N2.05")</f>
        <v>http://dx.doi.org/10.3232/SJSS.2020.V10.N2.05</v>
      </c>
      <c r="BG827" t="s">
        <v>74</v>
      </c>
      <c r="BH827" t="s">
        <v>74</v>
      </c>
      <c r="BI827">
        <v>21</v>
      </c>
      <c r="BJ827" t="s">
        <v>1035</v>
      </c>
      <c r="BK827" t="s">
        <v>274</v>
      </c>
      <c r="BL827" t="s">
        <v>1036</v>
      </c>
      <c r="BM827" t="s">
        <v>15875</v>
      </c>
      <c r="BN827" t="s">
        <v>74</v>
      </c>
      <c r="BO827" t="s">
        <v>148</v>
      </c>
      <c r="BP827" t="s">
        <v>74</v>
      </c>
      <c r="BQ827" t="s">
        <v>74</v>
      </c>
      <c r="BR827" t="s">
        <v>106</v>
      </c>
      <c r="BS827" t="s">
        <v>15876</v>
      </c>
      <c r="BT827" t="str">
        <f>HYPERLINK("https%3A%2F%2Fwww.webofscience.com%2Fwos%2Fwoscc%2Ffull-record%2FWOS:000551371500005","View Full Record in Web of Science")</f>
        <v>View Full Record in Web of Science</v>
      </c>
    </row>
    <row r="828" spans="1:72" x14ac:dyDescent="0.15">
      <c r="A828" t="s">
        <v>72</v>
      </c>
      <c r="B828" t="s">
        <v>15877</v>
      </c>
      <c r="C828" t="s">
        <v>74</v>
      </c>
      <c r="D828" t="s">
        <v>74</v>
      </c>
      <c r="E828" t="s">
        <v>74</v>
      </c>
      <c r="F828" t="s">
        <v>15878</v>
      </c>
      <c r="G828" t="s">
        <v>74</v>
      </c>
      <c r="H828" t="s">
        <v>74</v>
      </c>
      <c r="I828" t="s">
        <v>15879</v>
      </c>
      <c r="J828" t="s">
        <v>15880</v>
      </c>
      <c r="K828" t="s">
        <v>74</v>
      </c>
      <c r="L828" t="s">
        <v>74</v>
      </c>
      <c r="M828" t="s">
        <v>78</v>
      </c>
      <c r="N828" t="s">
        <v>1434</v>
      </c>
      <c r="O828" t="s">
        <v>74</v>
      </c>
      <c r="P828" t="s">
        <v>74</v>
      </c>
      <c r="Q828" t="s">
        <v>74</v>
      </c>
      <c r="R828" t="s">
        <v>74</v>
      </c>
      <c r="S828" t="s">
        <v>74</v>
      </c>
      <c r="T828" t="s">
        <v>74</v>
      </c>
      <c r="U828" t="s">
        <v>15881</v>
      </c>
      <c r="V828" t="s">
        <v>15882</v>
      </c>
      <c r="W828" t="s">
        <v>15883</v>
      </c>
      <c r="X828" t="s">
        <v>15884</v>
      </c>
      <c r="Y828" t="s">
        <v>15885</v>
      </c>
      <c r="Z828" t="s">
        <v>15886</v>
      </c>
      <c r="AA828" t="s">
        <v>15887</v>
      </c>
      <c r="AB828" t="s">
        <v>15888</v>
      </c>
      <c r="AC828" t="s">
        <v>15889</v>
      </c>
      <c r="AD828" t="s">
        <v>15890</v>
      </c>
      <c r="AE828" t="s">
        <v>15891</v>
      </c>
      <c r="AF828" t="s">
        <v>74</v>
      </c>
      <c r="AG828">
        <v>32</v>
      </c>
      <c r="AH828">
        <v>3</v>
      </c>
      <c r="AI828">
        <v>5</v>
      </c>
      <c r="AJ828">
        <v>1</v>
      </c>
      <c r="AK828">
        <v>8</v>
      </c>
      <c r="AL828" t="s">
        <v>14008</v>
      </c>
      <c r="AM828" t="s">
        <v>14009</v>
      </c>
      <c r="AN828" t="s">
        <v>14010</v>
      </c>
      <c r="AO828" t="s">
        <v>15892</v>
      </c>
      <c r="AP828" t="s">
        <v>15893</v>
      </c>
      <c r="AQ828" t="s">
        <v>74</v>
      </c>
      <c r="AR828" t="s">
        <v>15894</v>
      </c>
      <c r="AS828" t="s">
        <v>15895</v>
      </c>
      <c r="AT828" t="s">
        <v>74</v>
      </c>
      <c r="AU828">
        <v>2020</v>
      </c>
      <c r="AV828">
        <v>33</v>
      </c>
      <c r="AW828">
        <v>4</v>
      </c>
      <c r="AX828" t="s">
        <v>74</v>
      </c>
      <c r="AY828" t="s">
        <v>74</v>
      </c>
      <c r="AZ828" t="s">
        <v>74</v>
      </c>
      <c r="BA828" t="s">
        <v>74</v>
      </c>
      <c r="BB828">
        <v>392</v>
      </c>
      <c r="BC828">
        <v>411</v>
      </c>
      <c r="BD828" t="s">
        <v>74</v>
      </c>
      <c r="BE828" t="s">
        <v>15896</v>
      </c>
      <c r="BF828" t="str">
        <f>HYPERLINK("http://dx.doi.org/10.1071/SB19043","http://dx.doi.org/10.1071/SB19043")</f>
        <v>http://dx.doi.org/10.1071/SB19043</v>
      </c>
      <c r="BG828" t="s">
        <v>74</v>
      </c>
      <c r="BH828" t="s">
        <v>74</v>
      </c>
      <c r="BI828">
        <v>20</v>
      </c>
      <c r="BJ828" t="s">
        <v>805</v>
      </c>
      <c r="BK828" t="s">
        <v>103</v>
      </c>
      <c r="BL828" t="s">
        <v>805</v>
      </c>
      <c r="BM828" t="s">
        <v>15897</v>
      </c>
      <c r="BN828" t="s">
        <v>74</v>
      </c>
      <c r="BO828" t="s">
        <v>74</v>
      </c>
      <c r="BP828" t="s">
        <v>74</v>
      </c>
      <c r="BQ828" t="s">
        <v>74</v>
      </c>
      <c r="BR828" t="s">
        <v>106</v>
      </c>
      <c r="BS828" t="s">
        <v>15898</v>
      </c>
      <c r="BT828" t="str">
        <f>HYPERLINK("https%3A%2F%2Fwww.webofscience.com%2Fwos%2Fwoscc%2Ffull-record%2FWOS:000548434100004","View Full Record in Web of Science")</f>
        <v>View Full Record in Web of Science</v>
      </c>
    </row>
    <row r="829" spans="1:72" x14ac:dyDescent="0.15">
      <c r="A829" t="s">
        <v>72</v>
      </c>
      <c r="B829" t="s">
        <v>15899</v>
      </c>
      <c r="C829" t="s">
        <v>74</v>
      </c>
      <c r="D829" t="s">
        <v>74</v>
      </c>
      <c r="E829" t="s">
        <v>74</v>
      </c>
      <c r="F829" t="s">
        <v>15900</v>
      </c>
      <c r="G829" t="s">
        <v>74</v>
      </c>
      <c r="H829" t="s">
        <v>74</v>
      </c>
      <c r="I829" t="s">
        <v>15901</v>
      </c>
      <c r="J829" t="s">
        <v>15902</v>
      </c>
      <c r="K829" t="s">
        <v>74</v>
      </c>
      <c r="L829" t="s">
        <v>74</v>
      </c>
      <c r="M829" t="s">
        <v>78</v>
      </c>
      <c r="N829" t="s">
        <v>79</v>
      </c>
      <c r="O829" t="s">
        <v>74</v>
      </c>
      <c r="P829" t="s">
        <v>74</v>
      </c>
      <c r="Q829" t="s">
        <v>74</v>
      </c>
      <c r="R829" t="s">
        <v>74</v>
      </c>
      <c r="S829" t="s">
        <v>74</v>
      </c>
      <c r="T829" t="s">
        <v>15903</v>
      </c>
      <c r="U829" t="s">
        <v>15904</v>
      </c>
      <c r="V829" t="s">
        <v>15905</v>
      </c>
      <c r="W829" t="s">
        <v>15906</v>
      </c>
      <c r="X829" t="s">
        <v>15907</v>
      </c>
      <c r="Y829" t="s">
        <v>15908</v>
      </c>
      <c r="Z829" t="s">
        <v>15909</v>
      </c>
      <c r="AA829" t="s">
        <v>15910</v>
      </c>
      <c r="AB829" t="s">
        <v>15911</v>
      </c>
      <c r="AC829" t="s">
        <v>15912</v>
      </c>
      <c r="AD829" t="s">
        <v>15913</v>
      </c>
      <c r="AE829" t="s">
        <v>15914</v>
      </c>
      <c r="AF829" t="s">
        <v>74</v>
      </c>
      <c r="AG829">
        <v>43</v>
      </c>
      <c r="AH829">
        <v>7</v>
      </c>
      <c r="AI829">
        <v>7</v>
      </c>
      <c r="AJ829">
        <v>0</v>
      </c>
      <c r="AK829">
        <v>14</v>
      </c>
      <c r="AL829" t="s">
        <v>9590</v>
      </c>
      <c r="AM829" t="s">
        <v>9591</v>
      </c>
      <c r="AN829" t="s">
        <v>9592</v>
      </c>
      <c r="AO829" t="s">
        <v>15915</v>
      </c>
      <c r="AP829" t="s">
        <v>74</v>
      </c>
      <c r="AQ829" t="s">
        <v>74</v>
      </c>
      <c r="AR829" t="s">
        <v>15902</v>
      </c>
      <c r="AS829" t="s">
        <v>15916</v>
      </c>
      <c r="AT829" t="s">
        <v>74</v>
      </c>
      <c r="AU829">
        <v>2020</v>
      </c>
      <c r="AV829">
        <v>8</v>
      </c>
      <c r="AW829" t="s">
        <v>74</v>
      </c>
      <c r="AX829" t="s">
        <v>74</v>
      </c>
      <c r="AY829" t="s">
        <v>74</v>
      </c>
      <c r="AZ829" t="s">
        <v>74</v>
      </c>
      <c r="BA829" t="s">
        <v>74</v>
      </c>
      <c r="BB829">
        <v>114541</v>
      </c>
      <c r="BC829">
        <v>114553</v>
      </c>
      <c r="BD829" t="s">
        <v>74</v>
      </c>
      <c r="BE829" t="s">
        <v>15917</v>
      </c>
      <c r="BF829" t="str">
        <f>HYPERLINK("http://dx.doi.org/10.1109/ACCESS.2020.3003990","http://dx.doi.org/10.1109/ACCESS.2020.3003990")</f>
        <v>http://dx.doi.org/10.1109/ACCESS.2020.3003990</v>
      </c>
      <c r="BG829" t="s">
        <v>74</v>
      </c>
      <c r="BH829" t="s">
        <v>74</v>
      </c>
      <c r="BI829">
        <v>13</v>
      </c>
      <c r="BJ829" t="s">
        <v>15918</v>
      </c>
      <c r="BK829" t="s">
        <v>103</v>
      </c>
      <c r="BL829" t="s">
        <v>15919</v>
      </c>
      <c r="BM829" t="s">
        <v>15920</v>
      </c>
      <c r="BN829" t="s">
        <v>74</v>
      </c>
      <c r="BO829" t="s">
        <v>1310</v>
      </c>
      <c r="BP829" t="s">
        <v>74</v>
      </c>
      <c r="BQ829" t="s">
        <v>74</v>
      </c>
      <c r="BR829" t="s">
        <v>106</v>
      </c>
      <c r="BS829" t="s">
        <v>15921</v>
      </c>
      <c r="BT829" t="str">
        <f>HYPERLINK("https%3A%2F%2Fwww.webofscience.com%2Fwos%2Fwoscc%2Ffull-record%2FWOS:000549177800001","View Full Record in Web of Science")</f>
        <v>View Full Record in Web of Science</v>
      </c>
    </row>
    <row r="830" spans="1:72" x14ac:dyDescent="0.15">
      <c r="A830" t="s">
        <v>72</v>
      </c>
      <c r="B830" t="s">
        <v>15922</v>
      </c>
      <c r="C830" t="s">
        <v>74</v>
      </c>
      <c r="D830" t="s">
        <v>74</v>
      </c>
      <c r="E830" t="s">
        <v>74</v>
      </c>
      <c r="F830" t="s">
        <v>15923</v>
      </c>
      <c r="G830" t="s">
        <v>74</v>
      </c>
      <c r="H830" t="s">
        <v>74</v>
      </c>
      <c r="I830" t="s">
        <v>15924</v>
      </c>
      <c r="J830" t="s">
        <v>15925</v>
      </c>
      <c r="K830" t="s">
        <v>74</v>
      </c>
      <c r="L830" t="s">
        <v>74</v>
      </c>
      <c r="M830" t="s">
        <v>78</v>
      </c>
      <c r="N830" t="s">
        <v>79</v>
      </c>
      <c r="O830" t="s">
        <v>74</v>
      </c>
      <c r="P830" t="s">
        <v>74</v>
      </c>
      <c r="Q830" t="s">
        <v>74</v>
      </c>
      <c r="R830" t="s">
        <v>74</v>
      </c>
      <c r="S830" t="s">
        <v>74</v>
      </c>
      <c r="T830" t="s">
        <v>15926</v>
      </c>
      <c r="U830" t="s">
        <v>15927</v>
      </c>
      <c r="V830" t="s">
        <v>15928</v>
      </c>
      <c r="W830" t="s">
        <v>15929</v>
      </c>
      <c r="X830" t="s">
        <v>4771</v>
      </c>
      <c r="Y830" t="s">
        <v>15930</v>
      </c>
      <c r="Z830" t="s">
        <v>15931</v>
      </c>
      <c r="AA830" t="s">
        <v>15932</v>
      </c>
      <c r="AB830" t="s">
        <v>15933</v>
      </c>
      <c r="AC830" t="s">
        <v>15934</v>
      </c>
      <c r="AD830" t="s">
        <v>15935</v>
      </c>
      <c r="AE830" t="s">
        <v>15936</v>
      </c>
      <c r="AF830" t="s">
        <v>74</v>
      </c>
      <c r="AG830">
        <v>60</v>
      </c>
      <c r="AH830">
        <v>2</v>
      </c>
      <c r="AI830">
        <v>2</v>
      </c>
      <c r="AJ830">
        <v>0</v>
      </c>
      <c r="AK830">
        <v>6</v>
      </c>
      <c r="AL830" t="s">
        <v>1055</v>
      </c>
      <c r="AM830" t="s">
        <v>435</v>
      </c>
      <c r="AN830" t="s">
        <v>1056</v>
      </c>
      <c r="AO830" t="s">
        <v>15937</v>
      </c>
      <c r="AP830" t="s">
        <v>15938</v>
      </c>
      <c r="AQ830" t="s">
        <v>74</v>
      </c>
      <c r="AR830" t="s">
        <v>15939</v>
      </c>
      <c r="AS830" t="s">
        <v>15940</v>
      </c>
      <c r="AT830" t="s">
        <v>1033</v>
      </c>
      <c r="AU830">
        <v>2020</v>
      </c>
      <c r="AV830">
        <v>40</v>
      </c>
      <c r="AW830">
        <v>1</v>
      </c>
      <c r="AX830" t="s">
        <v>74</v>
      </c>
      <c r="AY830" t="s">
        <v>74</v>
      </c>
      <c r="AZ830" t="s">
        <v>74</v>
      </c>
      <c r="BA830" t="s">
        <v>74</v>
      </c>
      <c r="BB830">
        <v>58</v>
      </c>
      <c r="BC830">
        <v>66</v>
      </c>
      <c r="BD830" t="s">
        <v>74</v>
      </c>
      <c r="BE830" t="s">
        <v>15941</v>
      </c>
      <c r="BF830" t="str">
        <f>HYPERLINK("http://dx.doi.org/10.1093/jcbiol/ruz077","http://dx.doi.org/10.1093/jcbiol/ruz077")</f>
        <v>http://dx.doi.org/10.1093/jcbiol/ruz077</v>
      </c>
      <c r="BG830" t="s">
        <v>74</v>
      </c>
      <c r="BH830" t="s">
        <v>74</v>
      </c>
      <c r="BI830">
        <v>9</v>
      </c>
      <c r="BJ830" t="s">
        <v>6161</v>
      </c>
      <c r="BK830" t="s">
        <v>103</v>
      </c>
      <c r="BL830" t="s">
        <v>6161</v>
      </c>
      <c r="BM830" t="s">
        <v>15942</v>
      </c>
      <c r="BN830" t="s">
        <v>74</v>
      </c>
      <c r="BO830" t="s">
        <v>517</v>
      </c>
      <c r="BP830" t="s">
        <v>74</v>
      </c>
      <c r="BQ830" t="s">
        <v>74</v>
      </c>
      <c r="BR830" t="s">
        <v>106</v>
      </c>
      <c r="BS830" t="s">
        <v>15943</v>
      </c>
      <c r="BT830" t="str">
        <f>HYPERLINK("https%3A%2F%2Fwww.webofscience.com%2Fwos%2Fwoscc%2Ffull-record%2FWOS:000549353300006","View Full Record in Web of Science")</f>
        <v>View Full Record in Web of Science</v>
      </c>
    </row>
    <row r="831" spans="1:72" x14ac:dyDescent="0.15">
      <c r="A831" t="s">
        <v>72</v>
      </c>
      <c r="B831" t="s">
        <v>15944</v>
      </c>
      <c r="C831" t="s">
        <v>74</v>
      </c>
      <c r="D831" t="s">
        <v>74</v>
      </c>
      <c r="E831" t="s">
        <v>74</v>
      </c>
      <c r="F831" t="s">
        <v>15945</v>
      </c>
      <c r="G831" t="s">
        <v>74</v>
      </c>
      <c r="H831" t="s">
        <v>74</v>
      </c>
      <c r="I831" t="s">
        <v>15946</v>
      </c>
      <c r="J831" t="s">
        <v>13869</v>
      </c>
      <c r="K831" t="s">
        <v>74</v>
      </c>
      <c r="L831" t="s">
        <v>74</v>
      </c>
      <c r="M831" t="s">
        <v>78</v>
      </c>
      <c r="N831" t="s">
        <v>79</v>
      </c>
      <c r="O831" t="s">
        <v>74</v>
      </c>
      <c r="P831" t="s">
        <v>74</v>
      </c>
      <c r="Q831" t="s">
        <v>74</v>
      </c>
      <c r="R831" t="s">
        <v>74</v>
      </c>
      <c r="S831" t="s">
        <v>74</v>
      </c>
      <c r="T831" t="s">
        <v>15947</v>
      </c>
      <c r="U831" t="s">
        <v>15948</v>
      </c>
      <c r="V831" t="s">
        <v>15949</v>
      </c>
      <c r="W831" t="s">
        <v>15950</v>
      </c>
      <c r="X831" t="s">
        <v>15951</v>
      </c>
      <c r="Y831" t="s">
        <v>15952</v>
      </c>
      <c r="Z831" t="s">
        <v>15953</v>
      </c>
      <c r="AA831" t="s">
        <v>74</v>
      </c>
      <c r="AB831" t="s">
        <v>74</v>
      </c>
      <c r="AC831" t="s">
        <v>74</v>
      </c>
      <c r="AD831" t="s">
        <v>74</v>
      </c>
      <c r="AE831" t="s">
        <v>74</v>
      </c>
      <c r="AF831" t="s">
        <v>74</v>
      </c>
      <c r="AG831">
        <v>43</v>
      </c>
      <c r="AH831">
        <v>4</v>
      </c>
      <c r="AI831">
        <v>4</v>
      </c>
      <c r="AJ831">
        <v>2</v>
      </c>
      <c r="AK831">
        <v>11</v>
      </c>
      <c r="AL831" t="s">
        <v>13881</v>
      </c>
      <c r="AM831" t="s">
        <v>13882</v>
      </c>
      <c r="AN831" t="s">
        <v>13883</v>
      </c>
      <c r="AO831" t="s">
        <v>13884</v>
      </c>
      <c r="AP831" t="s">
        <v>13885</v>
      </c>
      <c r="AQ831" t="s">
        <v>74</v>
      </c>
      <c r="AR831" t="s">
        <v>13886</v>
      </c>
      <c r="AS831" t="s">
        <v>13887</v>
      </c>
      <c r="AT831" t="s">
        <v>74</v>
      </c>
      <c r="AU831">
        <v>2020</v>
      </c>
      <c r="AV831">
        <v>48</v>
      </c>
      <c r="AW831">
        <v>3</v>
      </c>
      <c r="AX831" t="s">
        <v>74</v>
      </c>
      <c r="AY831" t="s">
        <v>74</v>
      </c>
      <c r="AZ831" t="s">
        <v>74</v>
      </c>
      <c r="BA831" t="s">
        <v>74</v>
      </c>
      <c r="BB831">
        <v>429</v>
      </c>
      <c r="BC831">
        <v>439</v>
      </c>
      <c r="BD831" t="s">
        <v>74</v>
      </c>
      <c r="BE831" t="s">
        <v>15954</v>
      </c>
      <c r="BF831" t="str">
        <f>HYPERLINK("http://dx.doi.org/10.3856/vol48-issue3-fulltext-2434","http://dx.doi.org/10.3856/vol48-issue3-fulltext-2434")</f>
        <v>http://dx.doi.org/10.3856/vol48-issue3-fulltext-2434</v>
      </c>
      <c r="BG831" t="s">
        <v>74</v>
      </c>
      <c r="BH831" t="s">
        <v>74</v>
      </c>
      <c r="BI831">
        <v>11</v>
      </c>
      <c r="BJ831" t="s">
        <v>735</v>
      </c>
      <c r="BK831" t="s">
        <v>103</v>
      </c>
      <c r="BL831" t="s">
        <v>735</v>
      </c>
      <c r="BM831" t="s">
        <v>15955</v>
      </c>
      <c r="BN831" t="s">
        <v>74</v>
      </c>
      <c r="BO831" t="s">
        <v>276</v>
      </c>
      <c r="BP831" t="s">
        <v>74</v>
      </c>
      <c r="BQ831" t="s">
        <v>74</v>
      </c>
      <c r="BR831" t="s">
        <v>106</v>
      </c>
      <c r="BS831" t="s">
        <v>15956</v>
      </c>
      <c r="BT831" t="str">
        <f>HYPERLINK("https%3A%2F%2Fwww.webofscience.com%2Fwos%2Fwoscc%2Ffull-record%2FWOS:000547330500008","View Full Record in Web of Science")</f>
        <v>View Full Record in Web of Science</v>
      </c>
    </row>
    <row r="832" spans="1:72" x14ac:dyDescent="0.15">
      <c r="A832" t="s">
        <v>72</v>
      </c>
      <c r="B832" t="s">
        <v>15957</v>
      </c>
      <c r="C832" t="s">
        <v>74</v>
      </c>
      <c r="D832" t="s">
        <v>74</v>
      </c>
      <c r="E832" t="s">
        <v>74</v>
      </c>
      <c r="F832" t="s">
        <v>15958</v>
      </c>
      <c r="G832" t="s">
        <v>74</v>
      </c>
      <c r="H832" t="s">
        <v>74</v>
      </c>
      <c r="I832" t="s">
        <v>15959</v>
      </c>
      <c r="J832" t="s">
        <v>15270</v>
      </c>
      <c r="K832" t="s">
        <v>74</v>
      </c>
      <c r="L832" t="s">
        <v>74</v>
      </c>
      <c r="M832" t="s">
        <v>78</v>
      </c>
      <c r="N832" t="s">
        <v>79</v>
      </c>
      <c r="O832" t="s">
        <v>74</v>
      </c>
      <c r="P832" t="s">
        <v>74</v>
      </c>
      <c r="Q832" t="s">
        <v>74</v>
      </c>
      <c r="R832" t="s">
        <v>74</v>
      </c>
      <c r="S832" t="s">
        <v>74</v>
      </c>
      <c r="T832" t="s">
        <v>15960</v>
      </c>
      <c r="U832" t="s">
        <v>15961</v>
      </c>
      <c r="V832" t="s">
        <v>15962</v>
      </c>
      <c r="W832" t="s">
        <v>15963</v>
      </c>
      <c r="X832" t="s">
        <v>15964</v>
      </c>
      <c r="Y832" t="s">
        <v>15965</v>
      </c>
      <c r="Z832" t="s">
        <v>15966</v>
      </c>
      <c r="AA832" t="s">
        <v>15967</v>
      </c>
      <c r="AB832" t="s">
        <v>15968</v>
      </c>
      <c r="AC832" t="s">
        <v>15969</v>
      </c>
      <c r="AD832" t="s">
        <v>15970</v>
      </c>
      <c r="AE832" t="s">
        <v>15971</v>
      </c>
      <c r="AF832" t="s">
        <v>74</v>
      </c>
      <c r="AG832">
        <v>29</v>
      </c>
      <c r="AH832">
        <v>4</v>
      </c>
      <c r="AI832">
        <v>4</v>
      </c>
      <c r="AJ832">
        <v>3</v>
      </c>
      <c r="AK832">
        <v>17</v>
      </c>
      <c r="AL832" t="s">
        <v>9590</v>
      </c>
      <c r="AM832" t="s">
        <v>9591</v>
      </c>
      <c r="AN832" t="s">
        <v>9592</v>
      </c>
      <c r="AO832" t="s">
        <v>15283</v>
      </c>
      <c r="AP832" t="s">
        <v>15284</v>
      </c>
      <c r="AQ832" t="s">
        <v>74</v>
      </c>
      <c r="AR832" t="s">
        <v>15285</v>
      </c>
      <c r="AS832" t="s">
        <v>15286</v>
      </c>
      <c r="AT832" t="s">
        <v>74</v>
      </c>
      <c r="AU832">
        <v>2020</v>
      </c>
      <c r="AV832">
        <v>13</v>
      </c>
      <c r="AW832" t="s">
        <v>74</v>
      </c>
      <c r="AX832" t="s">
        <v>74</v>
      </c>
      <c r="AY832" t="s">
        <v>74</v>
      </c>
      <c r="AZ832" t="s">
        <v>74</v>
      </c>
      <c r="BA832" t="s">
        <v>74</v>
      </c>
      <c r="BB832">
        <v>3633</v>
      </c>
      <c r="BC832">
        <v>3643</v>
      </c>
      <c r="BD832" t="s">
        <v>74</v>
      </c>
      <c r="BE832" t="s">
        <v>15972</v>
      </c>
      <c r="BF832" t="str">
        <f>HYPERLINK("http://dx.doi.org/10.1109/JSTARS.2020.3004357","http://dx.doi.org/10.1109/JSTARS.2020.3004357")</f>
        <v>http://dx.doi.org/10.1109/JSTARS.2020.3004357</v>
      </c>
      <c r="BG832" t="s">
        <v>74</v>
      </c>
      <c r="BH832" t="s">
        <v>74</v>
      </c>
      <c r="BI832">
        <v>11</v>
      </c>
      <c r="BJ832" t="s">
        <v>15288</v>
      </c>
      <c r="BK832" t="s">
        <v>103</v>
      </c>
      <c r="BL832" t="s">
        <v>15289</v>
      </c>
      <c r="BM832" t="s">
        <v>15973</v>
      </c>
      <c r="BN832" t="s">
        <v>74</v>
      </c>
      <c r="BO832" t="s">
        <v>2592</v>
      </c>
      <c r="BP832" t="s">
        <v>74</v>
      </c>
      <c r="BQ832" t="s">
        <v>74</v>
      </c>
      <c r="BR832" t="s">
        <v>106</v>
      </c>
      <c r="BS832" t="s">
        <v>15974</v>
      </c>
      <c r="BT832" t="str">
        <f>HYPERLINK("https%3A%2F%2Fwww.webofscience.com%2Fwos%2Fwoscc%2Ffull-record%2FWOS:000546890600009","View Full Record in Web of Science")</f>
        <v>View Full Record in Web of Science</v>
      </c>
    </row>
    <row r="833" spans="1:72" x14ac:dyDescent="0.15">
      <c r="A833" t="s">
        <v>72</v>
      </c>
      <c r="B833" t="s">
        <v>15975</v>
      </c>
      <c r="C833" t="s">
        <v>74</v>
      </c>
      <c r="D833" t="s">
        <v>74</v>
      </c>
      <c r="E833" t="s">
        <v>74</v>
      </c>
      <c r="F833" t="s">
        <v>15976</v>
      </c>
      <c r="G833" t="s">
        <v>74</v>
      </c>
      <c r="H833" t="s">
        <v>74</v>
      </c>
      <c r="I833" t="s">
        <v>15977</v>
      </c>
      <c r="J833" t="s">
        <v>13753</v>
      </c>
      <c r="K833" t="s">
        <v>74</v>
      </c>
      <c r="L833" t="s">
        <v>74</v>
      </c>
      <c r="M833" t="s">
        <v>78</v>
      </c>
      <c r="N833" t="s">
        <v>79</v>
      </c>
      <c r="O833" t="s">
        <v>74</v>
      </c>
      <c r="P833" t="s">
        <v>74</v>
      </c>
      <c r="Q833" t="s">
        <v>74</v>
      </c>
      <c r="R833" t="s">
        <v>74</v>
      </c>
      <c r="S833" t="s">
        <v>74</v>
      </c>
      <c r="T833" t="s">
        <v>15978</v>
      </c>
      <c r="U833" t="s">
        <v>15979</v>
      </c>
      <c r="V833" t="s">
        <v>15980</v>
      </c>
      <c r="W833" t="s">
        <v>15981</v>
      </c>
      <c r="X833" t="s">
        <v>15982</v>
      </c>
      <c r="Y833" t="s">
        <v>15983</v>
      </c>
      <c r="Z833" t="s">
        <v>15984</v>
      </c>
      <c r="AA833" t="s">
        <v>15985</v>
      </c>
      <c r="AB833" t="s">
        <v>15986</v>
      </c>
      <c r="AC833" t="s">
        <v>15987</v>
      </c>
      <c r="AD833" t="s">
        <v>15988</v>
      </c>
      <c r="AE833" t="s">
        <v>15989</v>
      </c>
      <c r="AF833" t="s">
        <v>74</v>
      </c>
      <c r="AG833">
        <v>30</v>
      </c>
      <c r="AH833">
        <v>4</v>
      </c>
      <c r="AI833">
        <v>4</v>
      </c>
      <c r="AJ833">
        <v>1</v>
      </c>
      <c r="AK833">
        <v>10</v>
      </c>
      <c r="AL833" t="s">
        <v>1709</v>
      </c>
      <c r="AM833" t="s">
        <v>1710</v>
      </c>
      <c r="AN833" t="s">
        <v>1711</v>
      </c>
      <c r="AO833" t="s">
        <v>13766</v>
      </c>
      <c r="AP833" t="s">
        <v>13767</v>
      </c>
      <c r="AQ833" t="s">
        <v>74</v>
      </c>
      <c r="AR833" t="s">
        <v>13768</v>
      </c>
      <c r="AS833" t="s">
        <v>13769</v>
      </c>
      <c r="AT833" t="s">
        <v>74</v>
      </c>
      <c r="AU833">
        <v>2020</v>
      </c>
      <c r="AV833">
        <v>139</v>
      </c>
      <c r="AW833" t="s">
        <v>74</v>
      </c>
      <c r="AX833" t="s">
        <v>74</v>
      </c>
      <c r="AY833" t="s">
        <v>74</v>
      </c>
      <c r="AZ833" t="s">
        <v>74</v>
      </c>
      <c r="BA833" t="s">
        <v>74</v>
      </c>
      <c r="BB833">
        <v>81</v>
      </c>
      <c r="BC833">
        <v>86</v>
      </c>
      <c r="BD833" t="s">
        <v>74</v>
      </c>
      <c r="BE833" t="s">
        <v>15990</v>
      </c>
      <c r="BF833" t="str">
        <f>HYPERLINK("http://dx.doi.org/10.3354/dao03473","http://dx.doi.org/10.3354/dao03473")</f>
        <v>http://dx.doi.org/10.3354/dao03473</v>
      </c>
      <c r="BG833" t="s">
        <v>74</v>
      </c>
      <c r="BH833" t="s">
        <v>74</v>
      </c>
      <c r="BI833">
        <v>6</v>
      </c>
      <c r="BJ833" t="s">
        <v>13771</v>
      </c>
      <c r="BK833" t="s">
        <v>103</v>
      </c>
      <c r="BL833" t="s">
        <v>13771</v>
      </c>
      <c r="BM833" t="s">
        <v>15991</v>
      </c>
      <c r="BN833">
        <v>32351238</v>
      </c>
      <c r="BO833" t="s">
        <v>74</v>
      </c>
      <c r="BP833" t="s">
        <v>74</v>
      </c>
      <c r="BQ833" t="s">
        <v>74</v>
      </c>
      <c r="BR833" t="s">
        <v>106</v>
      </c>
      <c r="BS833" t="s">
        <v>15992</v>
      </c>
      <c r="BT833" t="str">
        <f>HYPERLINK("https%3A%2F%2Fwww.webofscience.com%2Fwos%2Fwoscc%2Ffull-record%2FWOS:000545906200007","View Full Record in Web of Science")</f>
        <v>View Full Record in Web of Science</v>
      </c>
    </row>
    <row r="834" spans="1:72" x14ac:dyDescent="0.15">
      <c r="A834" t="s">
        <v>72</v>
      </c>
      <c r="B834" t="s">
        <v>15993</v>
      </c>
      <c r="C834" t="s">
        <v>74</v>
      </c>
      <c r="D834" t="s">
        <v>74</v>
      </c>
      <c r="E834" t="s">
        <v>74</v>
      </c>
      <c r="F834" t="s">
        <v>15994</v>
      </c>
      <c r="G834" t="s">
        <v>74</v>
      </c>
      <c r="H834" t="s">
        <v>74</v>
      </c>
      <c r="I834" t="s">
        <v>15995</v>
      </c>
      <c r="J834" t="s">
        <v>14542</v>
      </c>
      <c r="K834" t="s">
        <v>74</v>
      </c>
      <c r="L834" t="s">
        <v>74</v>
      </c>
      <c r="M834" t="s">
        <v>78</v>
      </c>
      <c r="N834" t="s">
        <v>79</v>
      </c>
      <c r="O834" t="s">
        <v>74</v>
      </c>
      <c r="P834" t="s">
        <v>74</v>
      </c>
      <c r="Q834" t="s">
        <v>74</v>
      </c>
      <c r="R834" t="s">
        <v>74</v>
      </c>
      <c r="S834" t="s">
        <v>74</v>
      </c>
      <c r="T834" t="s">
        <v>15996</v>
      </c>
      <c r="U834" t="s">
        <v>15997</v>
      </c>
      <c r="V834" t="s">
        <v>15998</v>
      </c>
      <c r="W834" t="s">
        <v>15999</v>
      </c>
      <c r="X834" t="s">
        <v>3637</v>
      </c>
      <c r="Y834" t="s">
        <v>16000</v>
      </c>
      <c r="Z834" t="s">
        <v>14065</v>
      </c>
      <c r="AA834" t="s">
        <v>14066</v>
      </c>
      <c r="AB834" t="s">
        <v>74</v>
      </c>
      <c r="AC834" t="s">
        <v>74</v>
      </c>
      <c r="AD834" t="s">
        <v>74</v>
      </c>
      <c r="AE834" t="s">
        <v>74</v>
      </c>
      <c r="AF834" t="s">
        <v>74</v>
      </c>
      <c r="AG834">
        <v>56</v>
      </c>
      <c r="AH834">
        <v>4</v>
      </c>
      <c r="AI834">
        <v>4</v>
      </c>
      <c r="AJ834">
        <v>0</v>
      </c>
      <c r="AK834">
        <v>5</v>
      </c>
      <c r="AL834" t="s">
        <v>14554</v>
      </c>
      <c r="AM834" t="s">
        <v>14555</v>
      </c>
      <c r="AN834" t="s">
        <v>14556</v>
      </c>
      <c r="AO834" t="s">
        <v>14557</v>
      </c>
      <c r="AP834" t="s">
        <v>14558</v>
      </c>
      <c r="AQ834" t="s">
        <v>74</v>
      </c>
      <c r="AR834" t="s">
        <v>14559</v>
      </c>
      <c r="AS834" t="s">
        <v>14560</v>
      </c>
      <c r="AT834" t="s">
        <v>74</v>
      </c>
      <c r="AU834">
        <v>2020</v>
      </c>
      <c r="AV834">
        <v>41</v>
      </c>
      <c r="AW834">
        <v>2</v>
      </c>
      <c r="AX834" t="s">
        <v>74</v>
      </c>
      <c r="AY834" t="s">
        <v>74</v>
      </c>
      <c r="AZ834" t="s">
        <v>74</v>
      </c>
      <c r="BA834" t="s">
        <v>74</v>
      </c>
      <c r="BB834">
        <v>23</v>
      </c>
      <c r="BC834">
        <v>36</v>
      </c>
      <c r="BD834" t="s">
        <v>74</v>
      </c>
      <c r="BE834" t="s">
        <v>16001</v>
      </c>
      <c r="BF834" t="str">
        <f>HYPERLINK("http://dx.doi.org/10.24425/ppr.2020.133010","http://dx.doi.org/10.24425/ppr.2020.133010")</f>
        <v>http://dx.doi.org/10.24425/ppr.2020.133010</v>
      </c>
      <c r="BG834" t="s">
        <v>74</v>
      </c>
      <c r="BH834" t="s">
        <v>74</v>
      </c>
      <c r="BI834">
        <v>14</v>
      </c>
      <c r="BJ834" t="s">
        <v>1404</v>
      </c>
      <c r="BK834" t="s">
        <v>103</v>
      </c>
      <c r="BL834" t="s">
        <v>1405</v>
      </c>
      <c r="BM834" t="s">
        <v>16002</v>
      </c>
      <c r="BN834" t="s">
        <v>74</v>
      </c>
      <c r="BO834" t="s">
        <v>2592</v>
      </c>
      <c r="BP834" t="s">
        <v>74</v>
      </c>
      <c r="BQ834" t="s">
        <v>74</v>
      </c>
      <c r="BR834" t="s">
        <v>106</v>
      </c>
      <c r="BS834" t="s">
        <v>16003</v>
      </c>
      <c r="BT834" t="str">
        <f>HYPERLINK("https%3A%2F%2Fwww.webofscience.com%2Fwos%2Fwoscc%2Ffull-record%2FWOS:000545783800002","View Full Record in Web of Science")</f>
        <v>View Full Record in Web of Science</v>
      </c>
    </row>
    <row r="835" spans="1:72" x14ac:dyDescent="0.15">
      <c r="A835" t="s">
        <v>72</v>
      </c>
      <c r="B835" t="s">
        <v>16004</v>
      </c>
      <c r="C835" t="s">
        <v>74</v>
      </c>
      <c r="D835" t="s">
        <v>74</v>
      </c>
      <c r="E835" t="s">
        <v>74</v>
      </c>
      <c r="F835" t="s">
        <v>16005</v>
      </c>
      <c r="G835" t="s">
        <v>74</v>
      </c>
      <c r="H835" t="s">
        <v>74</v>
      </c>
      <c r="I835" t="s">
        <v>16006</v>
      </c>
      <c r="J835" t="s">
        <v>14542</v>
      </c>
      <c r="K835" t="s">
        <v>74</v>
      </c>
      <c r="L835" t="s">
        <v>74</v>
      </c>
      <c r="M835" t="s">
        <v>78</v>
      </c>
      <c r="N835" t="s">
        <v>79</v>
      </c>
      <c r="O835" t="s">
        <v>74</v>
      </c>
      <c r="P835" t="s">
        <v>74</v>
      </c>
      <c r="Q835" t="s">
        <v>74</v>
      </c>
      <c r="R835" t="s">
        <v>74</v>
      </c>
      <c r="S835" t="s">
        <v>74</v>
      </c>
      <c r="T835" t="s">
        <v>16007</v>
      </c>
      <c r="U835" t="s">
        <v>16008</v>
      </c>
      <c r="V835" t="s">
        <v>16009</v>
      </c>
      <c r="W835" t="s">
        <v>16010</v>
      </c>
      <c r="X835" t="s">
        <v>16011</v>
      </c>
      <c r="Y835" t="s">
        <v>16012</v>
      </c>
      <c r="Z835" t="s">
        <v>16013</v>
      </c>
      <c r="AA835" t="s">
        <v>16014</v>
      </c>
      <c r="AB835" t="s">
        <v>16015</v>
      </c>
      <c r="AC835" t="s">
        <v>16016</v>
      </c>
      <c r="AD835" t="s">
        <v>16017</v>
      </c>
      <c r="AE835" t="s">
        <v>16018</v>
      </c>
      <c r="AF835" t="s">
        <v>74</v>
      </c>
      <c r="AG835">
        <v>64</v>
      </c>
      <c r="AH835">
        <v>8</v>
      </c>
      <c r="AI835">
        <v>8</v>
      </c>
      <c r="AJ835">
        <v>1</v>
      </c>
      <c r="AK835">
        <v>7</v>
      </c>
      <c r="AL835" t="s">
        <v>14554</v>
      </c>
      <c r="AM835" t="s">
        <v>14555</v>
      </c>
      <c r="AN835" t="s">
        <v>14556</v>
      </c>
      <c r="AO835" t="s">
        <v>14557</v>
      </c>
      <c r="AP835" t="s">
        <v>14558</v>
      </c>
      <c r="AQ835" t="s">
        <v>74</v>
      </c>
      <c r="AR835" t="s">
        <v>14559</v>
      </c>
      <c r="AS835" t="s">
        <v>14560</v>
      </c>
      <c r="AT835" t="s">
        <v>74</v>
      </c>
      <c r="AU835">
        <v>2020</v>
      </c>
      <c r="AV835">
        <v>41</v>
      </c>
      <c r="AW835">
        <v>2</v>
      </c>
      <c r="AX835" t="s">
        <v>74</v>
      </c>
      <c r="AY835" t="s">
        <v>74</v>
      </c>
      <c r="AZ835" t="s">
        <v>74</v>
      </c>
      <c r="BA835" t="s">
        <v>74</v>
      </c>
      <c r="BB835">
        <v>73</v>
      </c>
      <c r="BC835">
        <v>98</v>
      </c>
      <c r="BD835" t="s">
        <v>74</v>
      </c>
      <c r="BE835" t="s">
        <v>16019</v>
      </c>
      <c r="BF835" t="str">
        <f>HYPERLINK("http://dx.doi.org/10.24425/ppr.2020.133012","http://dx.doi.org/10.24425/ppr.2020.133012")</f>
        <v>http://dx.doi.org/10.24425/ppr.2020.133012</v>
      </c>
      <c r="BG835" t="s">
        <v>74</v>
      </c>
      <c r="BH835" t="s">
        <v>74</v>
      </c>
      <c r="BI835">
        <v>26</v>
      </c>
      <c r="BJ835" t="s">
        <v>1404</v>
      </c>
      <c r="BK835" t="s">
        <v>103</v>
      </c>
      <c r="BL835" t="s">
        <v>1405</v>
      </c>
      <c r="BM835" t="s">
        <v>16002</v>
      </c>
      <c r="BN835" t="s">
        <v>74</v>
      </c>
      <c r="BO835" t="s">
        <v>2592</v>
      </c>
      <c r="BP835" t="s">
        <v>74</v>
      </c>
      <c r="BQ835" t="s">
        <v>74</v>
      </c>
      <c r="BR835" t="s">
        <v>106</v>
      </c>
      <c r="BS835" t="s">
        <v>16020</v>
      </c>
      <c r="BT835" t="str">
        <f>HYPERLINK("https%3A%2F%2Fwww.webofscience.com%2Fwos%2Fwoscc%2Ffull-record%2FWOS:000545783800004","View Full Record in Web of Science")</f>
        <v>View Full Record in Web of Science</v>
      </c>
    </row>
    <row r="836" spans="1:72" x14ac:dyDescent="0.15">
      <c r="A836" t="s">
        <v>12416</v>
      </c>
      <c r="B836" t="s">
        <v>16021</v>
      </c>
      <c r="C836" t="s">
        <v>74</v>
      </c>
      <c r="D836" t="s">
        <v>16022</v>
      </c>
      <c r="E836" t="s">
        <v>74</v>
      </c>
      <c r="F836" t="s">
        <v>16023</v>
      </c>
      <c r="G836" t="s">
        <v>74</v>
      </c>
      <c r="H836" t="s">
        <v>74</v>
      </c>
      <c r="I836" t="s">
        <v>16024</v>
      </c>
      <c r="J836" t="s">
        <v>16025</v>
      </c>
      <c r="K836" t="s">
        <v>16026</v>
      </c>
      <c r="L836" t="s">
        <v>74</v>
      </c>
      <c r="M836" t="s">
        <v>78</v>
      </c>
      <c r="N836" t="s">
        <v>12422</v>
      </c>
      <c r="O836" t="s">
        <v>74</v>
      </c>
      <c r="P836" t="s">
        <v>74</v>
      </c>
      <c r="Q836" t="s">
        <v>74</v>
      </c>
      <c r="R836" t="s">
        <v>74</v>
      </c>
      <c r="S836" t="s">
        <v>74</v>
      </c>
      <c r="T836" t="s">
        <v>74</v>
      </c>
      <c r="U836" t="s">
        <v>74</v>
      </c>
      <c r="V836" t="s">
        <v>74</v>
      </c>
      <c r="W836" t="s">
        <v>16027</v>
      </c>
      <c r="X836" t="s">
        <v>16028</v>
      </c>
      <c r="Y836" t="s">
        <v>16029</v>
      </c>
      <c r="Z836" t="s">
        <v>74</v>
      </c>
      <c r="AA836" t="s">
        <v>16030</v>
      </c>
      <c r="AB836" t="s">
        <v>16031</v>
      </c>
      <c r="AC836" t="s">
        <v>74</v>
      </c>
      <c r="AD836" t="s">
        <v>74</v>
      </c>
      <c r="AE836" t="s">
        <v>74</v>
      </c>
      <c r="AF836" t="s">
        <v>74</v>
      </c>
      <c r="AG836">
        <v>0</v>
      </c>
      <c r="AH836">
        <v>0</v>
      </c>
      <c r="AI836">
        <v>0</v>
      </c>
      <c r="AJ836">
        <v>0</v>
      </c>
      <c r="AK836">
        <v>0</v>
      </c>
      <c r="AL836" t="s">
        <v>14324</v>
      </c>
      <c r="AM836" t="s">
        <v>2628</v>
      </c>
      <c r="AN836" t="s">
        <v>14325</v>
      </c>
      <c r="AO836" t="s">
        <v>74</v>
      </c>
      <c r="AP836" t="s">
        <v>74</v>
      </c>
      <c r="AQ836" t="s">
        <v>16032</v>
      </c>
      <c r="AR836" t="s">
        <v>16033</v>
      </c>
      <c r="AS836" t="s">
        <v>74</v>
      </c>
      <c r="AT836" t="s">
        <v>74</v>
      </c>
      <c r="AU836">
        <v>2020</v>
      </c>
      <c r="AV836" t="s">
        <v>74</v>
      </c>
      <c r="AW836" t="s">
        <v>74</v>
      </c>
      <c r="AX836" t="s">
        <v>74</v>
      </c>
      <c r="AY836" t="s">
        <v>74</v>
      </c>
      <c r="AZ836" t="s">
        <v>74</v>
      </c>
      <c r="BA836" t="s">
        <v>74</v>
      </c>
      <c r="BB836">
        <v>108</v>
      </c>
      <c r="BC836">
        <v>111</v>
      </c>
      <c r="BD836" t="s">
        <v>74</v>
      </c>
      <c r="BE836" t="s">
        <v>74</v>
      </c>
      <c r="BF836" t="s">
        <v>74</v>
      </c>
      <c r="BG836" t="s">
        <v>74</v>
      </c>
      <c r="BH836" t="s">
        <v>74</v>
      </c>
      <c r="BI836">
        <v>4</v>
      </c>
      <c r="BJ836" t="s">
        <v>16034</v>
      </c>
      <c r="BK836" t="s">
        <v>12552</v>
      </c>
      <c r="BL836" t="s">
        <v>16034</v>
      </c>
      <c r="BM836" t="s">
        <v>16035</v>
      </c>
      <c r="BN836" t="s">
        <v>74</v>
      </c>
      <c r="BO836" t="s">
        <v>74</v>
      </c>
      <c r="BP836" t="s">
        <v>74</v>
      </c>
      <c r="BQ836" t="s">
        <v>74</v>
      </c>
      <c r="BR836" t="s">
        <v>106</v>
      </c>
      <c r="BS836" t="s">
        <v>16036</v>
      </c>
      <c r="BT836" t="str">
        <f>HYPERLINK("https%3A%2F%2Fwww.webofscience.com%2Fwos%2Fwoscc%2Ffull-record%2FWOS:000533467700016","View Full Record in Web of Science")</f>
        <v>View Full Record in Web of Science</v>
      </c>
    </row>
    <row r="837" spans="1:72" x14ac:dyDescent="0.15">
      <c r="A837" t="s">
        <v>72</v>
      </c>
      <c r="B837" t="s">
        <v>16037</v>
      </c>
      <c r="C837" t="s">
        <v>74</v>
      </c>
      <c r="D837" t="s">
        <v>74</v>
      </c>
      <c r="E837" t="s">
        <v>74</v>
      </c>
      <c r="F837" t="s">
        <v>16038</v>
      </c>
      <c r="G837" t="s">
        <v>74</v>
      </c>
      <c r="H837" t="s">
        <v>74</v>
      </c>
      <c r="I837" t="s">
        <v>16039</v>
      </c>
      <c r="J837" t="s">
        <v>3220</v>
      </c>
      <c r="K837" t="s">
        <v>74</v>
      </c>
      <c r="L837" t="s">
        <v>74</v>
      </c>
      <c r="M837" t="s">
        <v>78</v>
      </c>
      <c r="N837" t="s">
        <v>79</v>
      </c>
      <c r="O837" t="s">
        <v>74</v>
      </c>
      <c r="P837" t="s">
        <v>74</v>
      </c>
      <c r="Q837" t="s">
        <v>74</v>
      </c>
      <c r="R837" t="s">
        <v>74</v>
      </c>
      <c r="S837" t="s">
        <v>74</v>
      </c>
      <c r="T837" t="s">
        <v>16040</v>
      </c>
      <c r="U837" t="s">
        <v>16041</v>
      </c>
      <c r="V837" t="s">
        <v>16042</v>
      </c>
      <c r="W837" t="s">
        <v>16043</v>
      </c>
      <c r="X837" t="s">
        <v>16044</v>
      </c>
      <c r="Y837" t="s">
        <v>16045</v>
      </c>
      <c r="Z837" t="s">
        <v>16046</v>
      </c>
      <c r="AA837" t="s">
        <v>16047</v>
      </c>
      <c r="AB837" t="s">
        <v>16048</v>
      </c>
      <c r="AC837" t="s">
        <v>16049</v>
      </c>
      <c r="AD837" t="s">
        <v>16050</v>
      </c>
      <c r="AE837" t="s">
        <v>16051</v>
      </c>
      <c r="AF837" t="s">
        <v>74</v>
      </c>
      <c r="AG837">
        <v>43</v>
      </c>
      <c r="AH837">
        <v>9</v>
      </c>
      <c r="AI837">
        <v>10</v>
      </c>
      <c r="AJ837">
        <v>0</v>
      </c>
      <c r="AK837">
        <v>17</v>
      </c>
      <c r="AL837" t="s">
        <v>3233</v>
      </c>
      <c r="AM837" t="s">
        <v>3234</v>
      </c>
      <c r="AN837" t="s">
        <v>3235</v>
      </c>
      <c r="AO837" t="s">
        <v>3236</v>
      </c>
      <c r="AP837" t="s">
        <v>3237</v>
      </c>
      <c r="AQ837" t="s">
        <v>74</v>
      </c>
      <c r="AR837" t="s">
        <v>3238</v>
      </c>
      <c r="AS837" t="s">
        <v>3239</v>
      </c>
      <c r="AT837" t="s">
        <v>1033</v>
      </c>
      <c r="AU837">
        <v>2020</v>
      </c>
      <c r="AV837">
        <v>223</v>
      </c>
      <c r="AW837">
        <v>2</v>
      </c>
      <c r="AX837" t="s">
        <v>74</v>
      </c>
      <c r="AY837" t="s">
        <v>74</v>
      </c>
      <c r="AZ837" t="s">
        <v>74</v>
      </c>
      <c r="BA837" t="s">
        <v>74</v>
      </c>
      <c r="BB837" t="s">
        <v>74</v>
      </c>
      <c r="BC837" t="s">
        <v>74</v>
      </c>
      <c r="BD837" t="s">
        <v>16052</v>
      </c>
      <c r="BE837" t="s">
        <v>16053</v>
      </c>
      <c r="BF837" t="str">
        <f>HYPERLINK("http://dx.doi.org/10.1242/jeb.218164","http://dx.doi.org/10.1242/jeb.218164")</f>
        <v>http://dx.doi.org/10.1242/jeb.218164</v>
      </c>
      <c r="BG837" t="s">
        <v>74</v>
      </c>
      <c r="BH837" t="s">
        <v>74</v>
      </c>
      <c r="BI837">
        <v>11</v>
      </c>
      <c r="BJ837" t="s">
        <v>1498</v>
      </c>
      <c r="BK837" t="s">
        <v>103</v>
      </c>
      <c r="BL837" t="s">
        <v>1499</v>
      </c>
      <c r="BM837" t="s">
        <v>14381</v>
      </c>
      <c r="BN837">
        <v>31871117</v>
      </c>
      <c r="BO837" t="s">
        <v>148</v>
      </c>
      <c r="BP837" t="s">
        <v>74</v>
      </c>
      <c r="BQ837" t="s">
        <v>74</v>
      </c>
      <c r="BR837" t="s">
        <v>106</v>
      </c>
      <c r="BS837" t="s">
        <v>16054</v>
      </c>
      <c r="BT837" t="str">
        <f>HYPERLINK("https%3A%2F%2Fwww.webofscience.com%2Fwos%2Fwoscc%2Ffull-record%2FWOS:000541780500021","View Full Record in Web of Science")</f>
        <v>View Full Record in Web of Science</v>
      </c>
    </row>
    <row r="838" spans="1:72" x14ac:dyDescent="0.15">
      <c r="A838" t="s">
        <v>12416</v>
      </c>
      <c r="B838" t="s">
        <v>16055</v>
      </c>
      <c r="C838" t="s">
        <v>74</v>
      </c>
      <c r="D838" t="s">
        <v>16056</v>
      </c>
      <c r="E838" t="s">
        <v>74</v>
      </c>
      <c r="F838" t="s">
        <v>16057</v>
      </c>
      <c r="G838" t="s">
        <v>74</v>
      </c>
      <c r="H838" t="s">
        <v>16058</v>
      </c>
      <c r="I838" t="s">
        <v>16059</v>
      </c>
      <c r="J838" t="s">
        <v>16060</v>
      </c>
      <c r="K838" t="s">
        <v>74</v>
      </c>
      <c r="L838" t="s">
        <v>74</v>
      </c>
      <c r="M838" t="s">
        <v>78</v>
      </c>
      <c r="N838" t="s">
        <v>12422</v>
      </c>
      <c r="O838" t="s">
        <v>74</v>
      </c>
      <c r="P838" t="s">
        <v>74</v>
      </c>
      <c r="Q838" t="s">
        <v>74</v>
      </c>
      <c r="R838" t="s">
        <v>74</v>
      </c>
      <c r="S838" t="s">
        <v>74</v>
      </c>
      <c r="T838" t="s">
        <v>16061</v>
      </c>
      <c r="U838" t="s">
        <v>16062</v>
      </c>
      <c r="V838" t="s">
        <v>16063</v>
      </c>
      <c r="W838" t="s">
        <v>16064</v>
      </c>
      <c r="X838" t="s">
        <v>16065</v>
      </c>
      <c r="Y838" t="s">
        <v>16066</v>
      </c>
      <c r="Z838" t="s">
        <v>74</v>
      </c>
      <c r="AA838" t="s">
        <v>16067</v>
      </c>
      <c r="AB838" t="s">
        <v>16068</v>
      </c>
      <c r="AC838" t="s">
        <v>16069</v>
      </c>
      <c r="AD838" t="s">
        <v>16070</v>
      </c>
      <c r="AE838" t="s">
        <v>16071</v>
      </c>
      <c r="AF838" t="s">
        <v>74</v>
      </c>
      <c r="AG838">
        <v>34</v>
      </c>
      <c r="AH838">
        <v>4</v>
      </c>
      <c r="AI838">
        <v>4</v>
      </c>
      <c r="AJ838">
        <v>0</v>
      </c>
      <c r="AK838">
        <v>4</v>
      </c>
      <c r="AL838" t="s">
        <v>289</v>
      </c>
      <c r="AM838" t="s">
        <v>290</v>
      </c>
      <c r="AN838" t="s">
        <v>12812</v>
      </c>
      <c r="AO838" t="s">
        <v>74</v>
      </c>
      <c r="AP838" t="s">
        <v>74</v>
      </c>
      <c r="AQ838" t="s">
        <v>16072</v>
      </c>
      <c r="AR838" t="s">
        <v>74</v>
      </c>
      <c r="AS838" t="s">
        <v>74</v>
      </c>
      <c r="AT838" t="s">
        <v>74</v>
      </c>
      <c r="AU838">
        <v>2020</v>
      </c>
      <c r="AV838" t="s">
        <v>74</v>
      </c>
      <c r="AW838" t="s">
        <v>74</v>
      </c>
      <c r="AX838" t="s">
        <v>74</v>
      </c>
      <c r="AY838" t="s">
        <v>74</v>
      </c>
      <c r="AZ838" t="s">
        <v>74</v>
      </c>
      <c r="BA838" t="s">
        <v>74</v>
      </c>
      <c r="BB838">
        <v>641</v>
      </c>
      <c r="BC838">
        <v>653</v>
      </c>
      <c r="BD838" t="s">
        <v>74</v>
      </c>
      <c r="BE838" t="s">
        <v>16073</v>
      </c>
      <c r="BF838" t="str">
        <f>HYPERLINK("http://dx.doi.org/10.1016/B978-0-12-814960-7.00038-5","http://dx.doi.org/10.1016/B978-0-12-814960-7.00038-5")</f>
        <v>http://dx.doi.org/10.1016/B978-0-12-814960-7.00038-5</v>
      </c>
      <c r="BG838" t="s">
        <v>16074</v>
      </c>
      <c r="BH838" t="s">
        <v>74</v>
      </c>
      <c r="BI838">
        <v>13</v>
      </c>
      <c r="BJ838" t="s">
        <v>1404</v>
      </c>
      <c r="BK838" t="s">
        <v>12436</v>
      </c>
      <c r="BL838" t="s">
        <v>1405</v>
      </c>
      <c r="BM838" t="s">
        <v>16075</v>
      </c>
      <c r="BN838" t="s">
        <v>74</v>
      </c>
      <c r="BO838" t="s">
        <v>74</v>
      </c>
      <c r="BP838" t="s">
        <v>74</v>
      </c>
      <c r="BQ838" t="s">
        <v>74</v>
      </c>
      <c r="BR838" t="s">
        <v>106</v>
      </c>
      <c r="BS838" t="s">
        <v>16076</v>
      </c>
      <c r="BT838" t="str">
        <f>HYPERLINK("https%3A%2F%2Fwww.webofscience.com%2Fwos%2Fwoscc%2Ffull-record%2FWOS:000540371300040","View Full Record in Web of Science")</f>
        <v>View Full Record in Web of Science</v>
      </c>
    </row>
    <row r="839" spans="1:72" x14ac:dyDescent="0.15">
      <c r="A839" t="s">
        <v>12416</v>
      </c>
      <c r="B839" t="s">
        <v>16077</v>
      </c>
      <c r="C839" t="s">
        <v>74</v>
      </c>
      <c r="D839" t="s">
        <v>16056</v>
      </c>
      <c r="E839" t="s">
        <v>74</v>
      </c>
      <c r="F839" t="s">
        <v>16078</v>
      </c>
      <c r="G839" t="s">
        <v>74</v>
      </c>
      <c r="H839" t="s">
        <v>74</v>
      </c>
      <c r="I839" t="s">
        <v>16079</v>
      </c>
      <c r="J839" t="s">
        <v>16060</v>
      </c>
      <c r="K839" t="s">
        <v>74</v>
      </c>
      <c r="L839" t="s">
        <v>74</v>
      </c>
      <c r="M839" t="s">
        <v>78</v>
      </c>
      <c r="N839" t="s">
        <v>12422</v>
      </c>
      <c r="O839" t="s">
        <v>74</v>
      </c>
      <c r="P839" t="s">
        <v>74</v>
      </c>
      <c r="Q839" t="s">
        <v>74</v>
      </c>
      <c r="R839" t="s">
        <v>74</v>
      </c>
      <c r="S839" t="s">
        <v>74</v>
      </c>
      <c r="T839" t="s">
        <v>16080</v>
      </c>
      <c r="U839" t="s">
        <v>16081</v>
      </c>
      <c r="V839" t="s">
        <v>16082</v>
      </c>
      <c r="W839" t="s">
        <v>16083</v>
      </c>
      <c r="X839" t="s">
        <v>16084</v>
      </c>
      <c r="Y839" t="s">
        <v>16085</v>
      </c>
      <c r="Z839" t="s">
        <v>74</v>
      </c>
      <c r="AA839" t="s">
        <v>3771</v>
      </c>
      <c r="AB839" t="s">
        <v>16086</v>
      </c>
      <c r="AC839" t="s">
        <v>16087</v>
      </c>
      <c r="AD839" t="s">
        <v>16088</v>
      </c>
      <c r="AE839" t="s">
        <v>16089</v>
      </c>
      <c r="AF839" t="s">
        <v>74</v>
      </c>
      <c r="AG839">
        <v>22</v>
      </c>
      <c r="AH839">
        <v>0</v>
      </c>
      <c r="AI839">
        <v>0</v>
      </c>
      <c r="AJ839">
        <v>0</v>
      </c>
      <c r="AK839">
        <v>6</v>
      </c>
      <c r="AL839" t="s">
        <v>289</v>
      </c>
      <c r="AM839" t="s">
        <v>290</v>
      </c>
      <c r="AN839" t="s">
        <v>12812</v>
      </c>
      <c r="AO839" t="s">
        <v>74</v>
      </c>
      <c r="AP839" t="s">
        <v>74</v>
      </c>
      <c r="AQ839" t="s">
        <v>16072</v>
      </c>
      <c r="AR839" t="s">
        <v>74</v>
      </c>
      <c r="AS839" t="s">
        <v>74</v>
      </c>
      <c r="AT839" t="s">
        <v>74</v>
      </c>
      <c r="AU839">
        <v>2020</v>
      </c>
      <c r="AV839" t="s">
        <v>74</v>
      </c>
      <c r="AW839" t="s">
        <v>74</v>
      </c>
      <c r="AX839" t="s">
        <v>74</v>
      </c>
      <c r="AY839" t="s">
        <v>74</v>
      </c>
      <c r="AZ839" t="s">
        <v>74</v>
      </c>
      <c r="BA839" t="s">
        <v>74</v>
      </c>
      <c r="BB839">
        <v>705</v>
      </c>
      <c r="BC839">
        <v>720</v>
      </c>
      <c r="BD839" t="s">
        <v>74</v>
      </c>
      <c r="BE839" t="s">
        <v>16090</v>
      </c>
      <c r="BF839" t="str">
        <f>HYPERLINK("http://dx.doi.org/10.1016/B978-0-12-814960-7.00042-7","http://dx.doi.org/10.1016/B978-0-12-814960-7.00042-7")</f>
        <v>http://dx.doi.org/10.1016/B978-0-12-814960-7.00042-7</v>
      </c>
      <c r="BG839" t="s">
        <v>16074</v>
      </c>
      <c r="BH839" t="s">
        <v>74</v>
      </c>
      <c r="BI839">
        <v>16</v>
      </c>
      <c r="BJ839" t="s">
        <v>1404</v>
      </c>
      <c r="BK839" t="s">
        <v>12436</v>
      </c>
      <c r="BL839" t="s">
        <v>1405</v>
      </c>
      <c r="BM839" t="s">
        <v>16075</v>
      </c>
      <c r="BN839" t="s">
        <v>74</v>
      </c>
      <c r="BO839" t="s">
        <v>74</v>
      </c>
      <c r="BP839" t="s">
        <v>74</v>
      </c>
      <c r="BQ839" t="s">
        <v>74</v>
      </c>
      <c r="BR839" t="s">
        <v>106</v>
      </c>
      <c r="BS839" t="s">
        <v>16091</v>
      </c>
      <c r="BT839" t="str">
        <f>HYPERLINK("https%3A%2F%2Fwww.webofscience.com%2Fwos%2Fwoscc%2Ffull-record%2FWOS:000540371300044","View Full Record in Web of Science")</f>
        <v>View Full Record in Web of Science</v>
      </c>
    </row>
    <row r="840" spans="1:72" x14ac:dyDescent="0.15">
      <c r="A840" t="s">
        <v>12416</v>
      </c>
      <c r="B840" t="s">
        <v>16092</v>
      </c>
      <c r="C840" t="s">
        <v>74</v>
      </c>
      <c r="D840" t="s">
        <v>16056</v>
      </c>
      <c r="E840" t="s">
        <v>74</v>
      </c>
      <c r="F840" t="s">
        <v>16093</v>
      </c>
      <c r="G840" t="s">
        <v>74</v>
      </c>
      <c r="H840" t="s">
        <v>74</v>
      </c>
      <c r="I840" t="s">
        <v>16094</v>
      </c>
      <c r="J840" t="s">
        <v>16060</v>
      </c>
      <c r="K840" t="s">
        <v>74</v>
      </c>
      <c r="L840" t="s">
        <v>74</v>
      </c>
      <c r="M840" t="s">
        <v>78</v>
      </c>
      <c r="N840" t="s">
        <v>12422</v>
      </c>
      <c r="O840" t="s">
        <v>74</v>
      </c>
      <c r="P840" t="s">
        <v>74</v>
      </c>
      <c r="Q840" t="s">
        <v>74</v>
      </c>
      <c r="R840" t="s">
        <v>74</v>
      </c>
      <c r="S840" t="s">
        <v>74</v>
      </c>
      <c r="T840" t="s">
        <v>16095</v>
      </c>
      <c r="U840" t="s">
        <v>16096</v>
      </c>
      <c r="V840" t="s">
        <v>16097</v>
      </c>
      <c r="W840" t="s">
        <v>16098</v>
      </c>
      <c r="X840" t="s">
        <v>16099</v>
      </c>
      <c r="Y840" t="s">
        <v>16100</v>
      </c>
      <c r="Z840" t="s">
        <v>74</v>
      </c>
      <c r="AA840" t="s">
        <v>74</v>
      </c>
      <c r="AB840" t="s">
        <v>74</v>
      </c>
      <c r="AC840" t="s">
        <v>74</v>
      </c>
      <c r="AD840" t="s">
        <v>74</v>
      </c>
      <c r="AE840" t="s">
        <v>74</v>
      </c>
      <c r="AF840" t="s">
        <v>74</v>
      </c>
      <c r="AG840">
        <v>39</v>
      </c>
      <c r="AH840">
        <v>1</v>
      </c>
      <c r="AI840">
        <v>1</v>
      </c>
      <c r="AJ840">
        <v>0</v>
      </c>
      <c r="AK840">
        <v>6</v>
      </c>
      <c r="AL840" t="s">
        <v>289</v>
      </c>
      <c r="AM840" t="s">
        <v>290</v>
      </c>
      <c r="AN840" t="s">
        <v>12812</v>
      </c>
      <c r="AO840" t="s">
        <v>74</v>
      </c>
      <c r="AP840" t="s">
        <v>74</v>
      </c>
      <c r="AQ840" t="s">
        <v>16072</v>
      </c>
      <c r="AR840" t="s">
        <v>74</v>
      </c>
      <c r="AS840" t="s">
        <v>74</v>
      </c>
      <c r="AT840" t="s">
        <v>74</v>
      </c>
      <c r="AU840">
        <v>2020</v>
      </c>
      <c r="AV840" t="s">
        <v>74</v>
      </c>
      <c r="AW840" t="s">
        <v>74</v>
      </c>
      <c r="AX840" t="s">
        <v>74</v>
      </c>
      <c r="AY840" t="s">
        <v>74</v>
      </c>
      <c r="AZ840" t="s">
        <v>74</v>
      </c>
      <c r="BA840" t="s">
        <v>74</v>
      </c>
      <c r="BB840">
        <v>863</v>
      </c>
      <c r="BC840">
        <v>874</v>
      </c>
      <c r="BD840" t="s">
        <v>74</v>
      </c>
      <c r="BE840" t="s">
        <v>16101</v>
      </c>
      <c r="BF840" t="str">
        <f>HYPERLINK("http://dx.doi.org/10.1016/B978-0-12-814960-7.00053-1","http://dx.doi.org/10.1016/B978-0-12-814960-7.00053-1")</f>
        <v>http://dx.doi.org/10.1016/B978-0-12-814960-7.00053-1</v>
      </c>
      <c r="BG840" t="s">
        <v>16074</v>
      </c>
      <c r="BH840" t="s">
        <v>74</v>
      </c>
      <c r="BI840">
        <v>12</v>
      </c>
      <c r="BJ840" t="s">
        <v>1404</v>
      </c>
      <c r="BK840" t="s">
        <v>12436</v>
      </c>
      <c r="BL840" t="s">
        <v>1405</v>
      </c>
      <c r="BM840" t="s">
        <v>16075</v>
      </c>
      <c r="BN840" t="s">
        <v>74</v>
      </c>
      <c r="BO840" t="s">
        <v>74</v>
      </c>
      <c r="BP840" t="s">
        <v>74</v>
      </c>
      <c r="BQ840" t="s">
        <v>74</v>
      </c>
      <c r="BR840" t="s">
        <v>106</v>
      </c>
      <c r="BS840" t="s">
        <v>16102</v>
      </c>
      <c r="BT840" t="str">
        <f>HYPERLINK("https%3A%2F%2Fwww.webofscience.com%2Fwos%2Fwoscc%2Ffull-record%2FWOS:000540371300055","View Full Record in Web of Science")</f>
        <v>View Full Record in Web of Science</v>
      </c>
    </row>
    <row r="841" spans="1:72" x14ac:dyDescent="0.15">
      <c r="A841" t="s">
        <v>12416</v>
      </c>
      <c r="B841" t="s">
        <v>16103</v>
      </c>
      <c r="C841" t="s">
        <v>74</v>
      </c>
      <c r="D841" t="s">
        <v>16104</v>
      </c>
      <c r="E841" t="s">
        <v>74</v>
      </c>
      <c r="F841" t="s">
        <v>16105</v>
      </c>
      <c r="G841" t="s">
        <v>74</v>
      </c>
      <c r="H841" t="s">
        <v>74</v>
      </c>
      <c r="I841" t="s">
        <v>16106</v>
      </c>
      <c r="J841" t="s">
        <v>16107</v>
      </c>
      <c r="K841" t="s">
        <v>74</v>
      </c>
      <c r="L841" t="s">
        <v>74</v>
      </c>
      <c r="M841" t="s">
        <v>78</v>
      </c>
      <c r="N841" t="s">
        <v>12422</v>
      </c>
      <c r="O841" t="s">
        <v>74</v>
      </c>
      <c r="P841" t="s">
        <v>74</v>
      </c>
      <c r="Q841" t="s">
        <v>74</v>
      </c>
      <c r="R841" t="s">
        <v>74</v>
      </c>
      <c r="S841" t="s">
        <v>74</v>
      </c>
      <c r="T841" t="s">
        <v>16108</v>
      </c>
      <c r="U841" t="s">
        <v>16109</v>
      </c>
      <c r="V841" t="s">
        <v>16110</v>
      </c>
      <c r="W841" t="s">
        <v>16111</v>
      </c>
      <c r="X841" t="s">
        <v>4274</v>
      </c>
      <c r="Y841" t="s">
        <v>16112</v>
      </c>
      <c r="Z841" t="s">
        <v>74</v>
      </c>
      <c r="AA841" t="s">
        <v>74</v>
      </c>
      <c r="AB841" t="s">
        <v>74</v>
      </c>
      <c r="AC841" t="s">
        <v>12828</v>
      </c>
      <c r="AD841" t="s">
        <v>1736</v>
      </c>
      <c r="AE841" t="s">
        <v>74</v>
      </c>
      <c r="AF841" t="s">
        <v>74</v>
      </c>
      <c r="AG841">
        <v>106</v>
      </c>
      <c r="AH841">
        <v>14</v>
      </c>
      <c r="AI841">
        <v>14</v>
      </c>
      <c r="AJ841">
        <v>0</v>
      </c>
      <c r="AK841">
        <v>7</v>
      </c>
      <c r="AL841" t="s">
        <v>289</v>
      </c>
      <c r="AM841" t="s">
        <v>290</v>
      </c>
      <c r="AN841" t="s">
        <v>12812</v>
      </c>
      <c r="AO841" t="s">
        <v>74</v>
      </c>
      <c r="AP841" t="s">
        <v>74</v>
      </c>
      <c r="AQ841" t="s">
        <v>16113</v>
      </c>
      <c r="AR841" t="s">
        <v>74</v>
      </c>
      <c r="AS841" t="s">
        <v>74</v>
      </c>
      <c r="AT841" t="s">
        <v>74</v>
      </c>
      <c r="AU841">
        <v>2020</v>
      </c>
      <c r="AV841" t="s">
        <v>74</v>
      </c>
      <c r="AW841" t="s">
        <v>74</v>
      </c>
      <c r="AX841" t="s">
        <v>74</v>
      </c>
      <c r="AY841" t="s">
        <v>74</v>
      </c>
      <c r="AZ841" t="s">
        <v>74</v>
      </c>
      <c r="BA841" t="s">
        <v>74</v>
      </c>
      <c r="BB841">
        <v>67</v>
      </c>
      <c r="BC841">
        <v>98</v>
      </c>
      <c r="BD841" t="s">
        <v>74</v>
      </c>
      <c r="BE841" t="s">
        <v>16114</v>
      </c>
      <c r="BF841" t="str">
        <f>HYPERLINK("http://dx.doi.org/10.1016/B978-0-08-102698-4.00004-6","http://dx.doi.org/10.1016/B978-0-08-102698-4.00004-6")</f>
        <v>http://dx.doi.org/10.1016/B978-0-08-102698-4.00004-6</v>
      </c>
      <c r="BG841" t="s">
        <v>16115</v>
      </c>
      <c r="BH841" t="s">
        <v>74</v>
      </c>
      <c r="BI841">
        <v>32</v>
      </c>
      <c r="BJ841" t="s">
        <v>16116</v>
      </c>
      <c r="BK841" t="s">
        <v>13302</v>
      </c>
      <c r="BL841" t="s">
        <v>16117</v>
      </c>
      <c r="BM841" t="s">
        <v>16118</v>
      </c>
      <c r="BN841" t="s">
        <v>74</v>
      </c>
      <c r="BO841" t="s">
        <v>74</v>
      </c>
      <c r="BP841" t="s">
        <v>74</v>
      </c>
      <c r="BQ841" t="s">
        <v>74</v>
      </c>
      <c r="BR841" t="s">
        <v>106</v>
      </c>
      <c r="BS841" t="s">
        <v>16119</v>
      </c>
      <c r="BT841" t="str">
        <f>HYPERLINK("https%3A%2F%2Fwww.webofscience.com%2Fwos%2Fwoscc%2Ffull-record%2FWOS:000540900300006","View Full Record in Web of Science")</f>
        <v>View Full Record in Web of Science</v>
      </c>
    </row>
    <row r="842" spans="1:72" x14ac:dyDescent="0.15">
      <c r="A842" t="s">
        <v>72</v>
      </c>
      <c r="B842" t="s">
        <v>16120</v>
      </c>
      <c r="C842" t="s">
        <v>74</v>
      </c>
      <c r="D842" t="s">
        <v>74</v>
      </c>
      <c r="E842" t="s">
        <v>74</v>
      </c>
      <c r="F842" t="s">
        <v>16121</v>
      </c>
      <c r="G842" t="s">
        <v>74</v>
      </c>
      <c r="H842" t="s">
        <v>74</v>
      </c>
      <c r="I842" t="s">
        <v>16122</v>
      </c>
      <c r="J842" t="s">
        <v>16123</v>
      </c>
      <c r="K842" t="s">
        <v>74</v>
      </c>
      <c r="L842" t="s">
        <v>74</v>
      </c>
      <c r="M842" t="s">
        <v>78</v>
      </c>
      <c r="N842" t="s">
        <v>79</v>
      </c>
      <c r="O842" t="s">
        <v>74</v>
      </c>
      <c r="P842" t="s">
        <v>74</v>
      </c>
      <c r="Q842" t="s">
        <v>74</v>
      </c>
      <c r="R842" t="s">
        <v>74</v>
      </c>
      <c r="S842" t="s">
        <v>74</v>
      </c>
      <c r="T842" t="s">
        <v>16124</v>
      </c>
      <c r="U842" t="s">
        <v>16125</v>
      </c>
      <c r="V842" t="s">
        <v>16126</v>
      </c>
      <c r="W842" t="s">
        <v>16127</v>
      </c>
      <c r="X842" t="s">
        <v>16128</v>
      </c>
      <c r="Y842" t="s">
        <v>16129</v>
      </c>
      <c r="Z842" t="s">
        <v>16130</v>
      </c>
      <c r="AA842" t="s">
        <v>74</v>
      </c>
      <c r="AB842" t="s">
        <v>74</v>
      </c>
      <c r="AC842" t="s">
        <v>16131</v>
      </c>
      <c r="AD842" t="s">
        <v>16132</v>
      </c>
      <c r="AE842" t="s">
        <v>16133</v>
      </c>
      <c r="AF842" t="s">
        <v>74</v>
      </c>
      <c r="AG842">
        <v>109</v>
      </c>
      <c r="AH842">
        <v>5</v>
      </c>
      <c r="AI842">
        <v>5</v>
      </c>
      <c r="AJ842">
        <v>0</v>
      </c>
      <c r="AK842">
        <v>2</v>
      </c>
      <c r="AL842" t="s">
        <v>16134</v>
      </c>
      <c r="AM842" t="s">
        <v>15258</v>
      </c>
      <c r="AN842" t="s">
        <v>16135</v>
      </c>
      <c r="AO842" t="s">
        <v>16136</v>
      </c>
      <c r="AP842" t="s">
        <v>16137</v>
      </c>
      <c r="AQ842" t="s">
        <v>74</v>
      </c>
      <c r="AR842" t="s">
        <v>16138</v>
      </c>
      <c r="AS842" t="s">
        <v>16139</v>
      </c>
      <c r="AT842" t="s">
        <v>74</v>
      </c>
      <c r="AU842">
        <v>2020</v>
      </c>
      <c r="AV842">
        <v>65</v>
      </c>
      <c r="AW842">
        <v>2</v>
      </c>
      <c r="AX842" t="s">
        <v>74</v>
      </c>
      <c r="AY842" t="s">
        <v>74</v>
      </c>
      <c r="AZ842" t="s">
        <v>74</v>
      </c>
      <c r="BA842" t="s">
        <v>74</v>
      </c>
      <c r="BB842">
        <v>261</v>
      </c>
      <c r="BC842">
        <v>272</v>
      </c>
      <c r="BD842" t="s">
        <v>74</v>
      </c>
      <c r="BE842" t="s">
        <v>16140</v>
      </c>
      <c r="BF842" t="str">
        <f>HYPERLINK("http://dx.doi.org/10.4202/app.00697.2019","http://dx.doi.org/10.4202/app.00697.2019")</f>
        <v>http://dx.doi.org/10.4202/app.00697.2019</v>
      </c>
      <c r="BG842" t="s">
        <v>74</v>
      </c>
      <c r="BH842" t="s">
        <v>74</v>
      </c>
      <c r="BI842">
        <v>12</v>
      </c>
      <c r="BJ842" t="s">
        <v>7592</v>
      </c>
      <c r="BK842" t="s">
        <v>103</v>
      </c>
      <c r="BL842" t="s">
        <v>7592</v>
      </c>
      <c r="BM842" t="s">
        <v>16141</v>
      </c>
      <c r="BN842" t="s">
        <v>74</v>
      </c>
      <c r="BO842" t="s">
        <v>276</v>
      </c>
      <c r="BP842" t="s">
        <v>74</v>
      </c>
      <c r="BQ842" t="s">
        <v>74</v>
      </c>
      <c r="BR842" t="s">
        <v>106</v>
      </c>
      <c r="BS842" t="s">
        <v>16142</v>
      </c>
      <c r="BT842" t="str">
        <f>HYPERLINK("https%3A%2F%2Fwww.webofscience.com%2Fwos%2Fwoscc%2Ffull-record%2FWOS:000539030100004","View Full Record in Web of Science")</f>
        <v>View Full Record in Web of Science</v>
      </c>
    </row>
    <row r="843" spans="1:72" x14ac:dyDescent="0.15">
      <c r="A843" t="s">
        <v>72</v>
      </c>
      <c r="B843" t="s">
        <v>16143</v>
      </c>
      <c r="C843" t="s">
        <v>74</v>
      </c>
      <c r="D843" t="s">
        <v>74</v>
      </c>
      <c r="E843" t="s">
        <v>74</v>
      </c>
      <c r="F843" t="s">
        <v>16144</v>
      </c>
      <c r="G843" t="s">
        <v>74</v>
      </c>
      <c r="H843" t="s">
        <v>74</v>
      </c>
      <c r="I843" t="s">
        <v>16145</v>
      </c>
      <c r="J843" t="s">
        <v>13911</v>
      </c>
      <c r="K843" t="s">
        <v>74</v>
      </c>
      <c r="L843" t="s">
        <v>74</v>
      </c>
      <c r="M843" t="s">
        <v>78</v>
      </c>
      <c r="N843" t="s">
        <v>79</v>
      </c>
      <c r="O843" t="s">
        <v>74</v>
      </c>
      <c r="P843" t="s">
        <v>74</v>
      </c>
      <c r="Q843" t="s">
        <v>74</v>
      </c>
      <c r="R843" t="s">
        <v>74</v>
      </c>
      <c r="S843" t="s">
        <v>74</v>
      </c>
      <c r="T843" t="s">
        <v>16146</v>
      </c>
      <c r="U843" t="s">
        <v>16147</v>
      </c>
      <c r="V843" t="s">
        <v>16148</v>
      </c>
      <c r="W843" t="s">
        <v>16149</v>
      </c>
      <c r="X843" t="s">
        <v>16150</v>
      </c>
      <c r="Y843" t="s">
        <v>16151</v>
      </c>
      <c r="Z843" t="s">
        <v>16152</v>
      </c>
      <c r="AA843" t="s">
        <v>74</v>
      </c>
      <c r="AB843" t="s">
        <v>16153</v>
      </c>
      <c r="AC843" t="s">
        <v>16154</v>
      </c>
      <c r="AD843" t="s">
        <v>16155</v>
      </c>
      <c r="AE843" t="s">
        <v>16156</v>
      </c>
      <c r="AF843" t="s">
        <v>74</v>
      </c>
      <c r="AG843">
        <v>55</v>
      </c>
      <c r="AH843">
        <v>1</v>
      </c>
      <c r="AI843">
        <v>2</v>
      </c>
      <c r="AJ843">
        <v>0</v>
      </c>
      <c r="AK843">
        <v>7</v>
      </c>
      <c r="AL843" t="s">
        <v>2627</v>
      </c>
      <c r="AM843" t="s">
        <v>2628</v>
      </c>
      <c r="AN843" t="s">
        <v>2629</v>
      </c>
      <c r="AO843" t="s">
        <v>13924</v>
      </c>
      <c r="AP843" t="s">
        <v>13925</v>
      </c>
      <c r="AQ843" t="s">
        <v>74</v>
      </c>
      <c r="AR843" t="s">
        <v>13926</v>
      </c>
      <c r="AS843" t="s">
        <v>13927</v>
      </c>
      <c r="AT843" t="s">
        <v>12161</v>
      </c>
      <c r="AU843">
        <v>2020</v>
      </c>
      <c r="AV843">
        <v>52</v>
      </c>
      <c r="AW843">
        <v>1</v>
      </c>
      <c r="AX843" t="s">
        <v>74</v>
      </c>
      <c r="AY843" t="s">
        <v>74</v>
      </c>
      <c r="AZ843" t="s">
        <v>74</v>
      </c>
      <c r="BA843" t="s">
        <v>74</v>
      </c>
      <c r="BB843">
        <v>236</v>
      </c>
      <c r="BC843">
        <v>247</v>
      </c>
      <c r="BD843" t="s">
        <v>74</v>
      </c>
      <c r="BE843" t="s">
        <v>16157</v>
      </c>
      <c r="BF843" t="str">
        <f>HYPERLINK("http://dx.doi.org/10.1080/15230430.2020.1760504","http://dx.doi.org/10.1080/15230430.2020.1760504")</f>
        <v>http://dx.doi.org/10.1080/15230430.2020.1760504</v>
      </c>
      <c r="BG843" t="s">
        <v>74</v>
      </c>
      <c r="BH843" t="s">
        <v>74</v>
      </c>
      <c r="BI843">
        <v>12</v>
      </c>
      <c r="BJ843" t="s">
        <v>13929</v>
      </c>
      <c r="BK843" t="s">
        <v>103</v>
      </c>
      <c r="BL843" t="s">
        <v>1828</v>
      </c>
      <c r="BM843" t="s">
        <v>16158</v>
      </c>
      <c r="BN843" t="s">
        <v>74</v>
      </c>
      <c r="BO843" t="s">
        <v>276</v>
      </c>
      <c r="BP843" t="s">
        <v>74</v>
      </c>
      <c r="BQ843" t="s">
        <v>74</v>
      </c>
      <c r="BR843" t="s">
        <v>106</v>
      </c>
      <c r="BS843" t="s">
        <v>16159</v>
      </c>
      <c r="BT843" t="str">
        <f>HYPERLINK("https%3A%2F%2Fwww.webofscience.com%2Fwos%2Fwoscc%2Ffull-record%2FWOS:000539273300001","View Full Record in Web of Science")</f>
        <v>View Full Record in Web of Science</v>
      </c>
    </row>
    <row r="844" spans="1:72" x14ac:dyDescent="0.15">
      <c r="A844" t="s">
        <v>72</v>
      </c>
      <c r="B844" t="s">
        <v>16160</v>
      </c>
      <c r="C844" t="s">
        <v>74</v>
      </c>
      <c r="D844" t="s">
        <v>74</v>
      </c>
      <c r="E844" t="s">
        <v>74</v>
      </c>
      <c r="F844" t="s">
        <v>16161</v>
      </c>
      <c r="G844" t="s">
        <v>74</v>
      </c>
      <c r="H844" t="s">
        <v>74</v>
      </c>
      <c r="I844" t="s">
        <v>16162</v>
      </c>
      <c r="J844" t="s">
        <v>15529</v>
      </c>
      <c r="K844" t="s">
        <v>74</v>
      </c>
      <c r="L844" t="s">
        <v>74</v>
      </c>
      <c r="M844" t="s">
        <v>78</v>
      </c>
      <c r="N844" t="s">
        <v>79</v>
      </c>
      <c r="O844" t="s">
        <v>74</v>
      </c>
      <c r="P844" t="s">
        <v>74</v>
      </c>
      <c r="Q844" t="s">
        <v>74</v>
      </c>
      <c r="R844" t="s">
        <v>74</v>
      </c>
      <c r="S844" t="s">
        <v>74</v>
      </c>
      <c r="T844" t="s">
        <v>16163</v>
      </c>
      <c r="U844" t="s">
        <v>16164</v>
      </c>
      <c r="V844" t="s">
        <v>16165</v>
      </c>
      <c r="W844" t="s">
        <v>16166</v>
      </c>
      <c r="X844" t="s">
        <v>16167</v>
      </c>
      <c r="Y844" t="s">
        <v>16168</v>
      </c>
      <c r="Z844" t="s">
        <v>16169</v>
      </c>
      <c r="AA844" t="s">
        <v>74</v>
      </c>
      <c r="AB844" t="s">
        <v>16170</v>
      </c>
      <c r="AC844" t="s">
        <v>16171</v>
      </c>
      <c r="AD844" t="s">
        <v>16172</v>
      </c>
      <c r="AE844" t="s">
        <v>16173</v>
      </c>
      <c r="AF844" t="s">
        <v>74</v>
      </c>
      <c r="AG844">
        <v>45</v>
      </c>
      <c r="AH844">
        <v>3</v>
      </c>
      <c r="AI844">
        <v>3</v>
      </c>
      <c r="AJ844">
        <v>0</v>
      </c>
      <c r="AK844">
        <v>16</v>
      </c>
      <c r="AL844" t="s">
        <v>238</v>
      </c>
      <c r="AM844" t="s">
        <v>3234</v>
      </c>
      <c r="AN844" t="s">
        <v>9665</v>
      </c>
      <c r="AO844" t="s">
        <v>15541</v>
      </c>
      <c r="AP844" t="s">
        <v>15542</v>
      </c>
      <c r="AQ844" t="s">
        <v>74</v>
      </c>
      <c r="AR844" t="s">
        <v>15543</v>
      </c>
      <c r="AS844" t="s">
        <v>15544</v>
      </c>
      <c r="AT844" t="s">
        <v>74</v>
      </c>
      <c r="AU844">
        <v>2020</v>
      </c>
      <c r="AV844">
        <v>94</v>
      </c>
      <c r="AW844" t="s">
        <v>74</v>
      </c>
      <c r="AX844" t="s">
        <v>74</v>
      </c>
      <c r="AY844" t="s">
        <v>74</v>
      </c>
      <c r="AZ844" t="s">
        <v>74</v>
      </c>
      <c r="BA844" t="s">
        <v>74</v>
      </c>
      <c r="BB844" t="s">
        <v>74</v>
      </c>
      <c r="BC844" t="s">
        <v>74</v>
      </c>
      <c r="BD844" t="s">
        <v>16174</v>
      </c>
      <c r="BE844" t="s">
        <v>16175</v>
      </c>
      <c r="BF844" t="str">
        <f>HYPERLINK("http://dx.doi.org/10.1017/S0022149X18001098","http://dx.doi.org/10.1017/S0022149X18001098")</f>
        <v>http://dx.doi.org/10.1017/S0022149X18001098</v>
      </c>
      <c r="BG844" t="s">
        <v>74</v>
      </c>
      <c r="BH844" t="s">
        <v>74</v>
      </c>
      <c r="BI844">
        <v>9</v>
      </c>
      <c r="BJ844" t="s">
        <v>15547</v>
      </c>
      <c r="BK844" t="s">
        <v>103</v>
      </c>
      <c r="BL844" t="s">
        <v>15547</v>
      </c>
      <c r="BM844" t="s">
        <v>16176</v>
      </c>
      <c r="BN844">
        <v>30520393</v>
      </c>
      <c r="BO844" t="s">
        <v>74</v>
      </c>
      <c r="BP844" t="s">
        <v>74</v>
      </c>
      <c r="BQ844" t="s">
        <v>74</v>
      </c>
      <c r="BR844" t="s">
        <v>106</v>
      </c>
      <c r="BS844" t="s">
        <v>16177</v>
      </c>
      <c r="BT844" t="str">
        <f>HYPERLINK("https%3A%2F%2Fwww.webofscience.com%2Fwos%2Fwoscc%2Ffull-record%2FWOS:000538469400001","View Full Record in Web of Science")</f>
        <v>View Full Record in Web of Science</v>
      </c>
    </row>
    <row r="845" spans="1:72" x14ac:dyDescent="0.15">
      <c r="A845" t="s">
        <v>72</v>
      </c>
      <c r="B845" t="s">
        <v>16178</v>
      </c>
      <c r="C845" t="s">
        <v>74</v>
      </c>
      <c r="D845" t="s">
        <v>74</v>
      </c>
      <c r="E845" t="s">
        <v>74</v>
      </c>
      <c r="F845" t="s">
        <v>16179</v>
      </c>
      <c r="G845" t="s">
        <v>74</v>
      </c>
      <c r="H845" t="s">
        <v>74</v>
      </c>
      <c r="I845" t="s">
        <v>16180</v>
      </c>
      <c r="J845" t="s">
        <v>16181</v>
      </c>
      <c r="K845" t="s">
        <v>74</v>
      </c>
      <c r="L845" t="s">
        <v>74</v>
      </c>
      <c r="M845" t="s">
        <v>78</v>
      </c>
      <c r="N845" t="s">
        <v>79</v>
      </c>
      <c r="O845" t="s">
        <v>74</v>
      </c>
      <c r="P845" t="s">
        <v>74</v>
      </c>
      <c r="Q845" t="s">
        <v>74</v>
      </c>
      <c r="R845" t="s">
        <v>74</v>
      </c>
      <c r="S845" t="s">
        <v>74</v>
      </c>
      <c r="T845" t="s">
        <v>74</v>
      </c>
      <c r="U845" t="s">
        <v>74</v>
      </c>
      <c r="V845" t="s">
        <v>16182</v>
      </c>
      <c r="W845" t="s">
        <v>16183</v>
      </c>
      <c r="X845" t="s">
        <v>16184</v>
      </c>
      <c r="Y845" t="s">
        <v>16185</v>
      </c>
      <c r="Z845" t="s">
        <v>16186</v>
      </c>
      <c r="AA845" t="s">
        <v>74</v>
      </c>
      <c r="AB845" t="s">
        <v>16187</v>
      </c>
      <c r="AC845" t="s">
        <v>16188</v>
      </c>
      <c r="AD845" t="s">
        <v>16188</v>
      </c>
      <c r="AE845" t="s">
        <v>16189</v>
      </c>
      <c r="AF845" t="s">
        <v>74</v>
      </c>
      <c r="AG845">
        <v>44</v>
      </c>
      <c r="AH845">
        <v>1</v>
      </c>
      <c r="AI845">
        <v>1</v>
      </c>
      <c r="AJ845">
        <v>0</v>
      </c>
      <c r="AK845">
        <v>1</v>
      </c>
      <c r="AL845" t="s">
        <v>16190</v>
      </c>
      <c r="AM845" t="s">
        <v>16191</v>
      </c>
      <c r="AN845" t="s">
        <v>16192</v>
      </c>
      <c r="AO845" t="s">
        <v>16193</v>
      </c>
      <c r="AP845" t="s">
        <v>16194</v>
      </c>
      <c r="AQ845" t="s">
        <v>74</v>
      </c>
      <c r="AR845" t="s">
        <v>16195</v>
      </c>
      <c r="AS845" t="s">
        <v>16196</v>
      </c>
      <c r="AT845" t="s">
        <v>74</v>
      </c>
      <c r="AU845">
        <v>2020</v>
      </c>
      <c r="AV845" t="s">
        <v>74</v>
      </c>
      <c r="AW845">
        <v>1</v>
      </c>
      <c r="AX845" t="s">
        <v>74</v>
      </c>
      <c r="AY845" t="s">
        <v>74</v>
      </c>
      <c r="AZ845" t="s">
        <v>74</v>
      </c>
      <c r="BA845" t="s">
        <v>74</v>
      </c>
      <c r="BB845">
        <v>75</v>
      </c>
      <c r="BC845">
        <v>89</v>
      </c>
      <c r="BD845" t="s">
        <v>74</v>
      </c>
      <c r="BE845" t="s">
        <v>16197</v>
      </c>
      <c r="BF845" t="str">
        <f>HYPERLINK("http://dx.doi.org/10.1353/imp.2020.0001","http://dx.doi.org/10.1353/imp.2020.0001")</f>
        <v>http://dx.doi.org/10.1353/imp.2020.0001</v>
      </c>
      <c r="BG845" t="s">
        <v>74</v>
      </c>
      <c r="BH845" t="s">
        <v>74</v>
      </c>
      <c r="BI845">
        <v>15</v>
      </c>
      <c r="BJ845" t="s">
        <v>12329</v>
      </c>
      <c r="BK845" t="s">
        <v>3088</v>
      </c>
      <c r="BL845" t="s">
        <v>12329</v>
      </c>
      <c r="BM845" t="s">
        <v>16198</v>
      </c>
      <c r="BN845" t="s">
        <v>74</v>
      </c>
      <c r="BO845" t="s">
        <v>193</v>
      </c>
      <c r="BP845" t="s">
        <v>74</v>
      </c>
      <c r="BQ845" t="s">
        <v>74</v>
      </c>
      <c r="BR845" t="s">
        <v>106</v>
      </c>
      <c r="BS845" t="s">
        <v>16199</v>
      </c>
      <c r="BT845" t="str">
        <f>HYPERLINK("https%3A%2F%2Fwww.webofscience.com%2Fwos%2Fwoscc%2Ffull-record%2FWOS:000538004600005","View Full Record in Web of Science")</f>
        <v>View Full Record in Web of Science</v>
      </c>
    </row>
    <row r="846" spans="1:72" x14ac:dyDescent="0.15">
      <c r="A846" t="s">
        <v>72</v>
      </c>
      <c r="B846" t="s">
        <v>16200</v>
      </c>
      <c r="C846" t="s">
        <v>74</v>
      </c>
      <c r="D846" t="s">
        <v>74</v>
      </c>
      <c r="E846" t="s">
        <v>74</v>
      </c>
      <c r="F846" t="s">
        <v>16201</v>
      </c>
      <c r="G846" t="s">
        <v>74</v>
      </c>
      <c r="H846" t="s">
        <v>74</v>
      </c>
      <c r="I846" t="s">
        <v>16202</v>
      </c>
      <c r="J846" t="s">
        <v>16203</v>
      </c>
      <c r="K846" t="s">
        <v>74</v>
      </c>
      <c r="L846" t="s">
        <v>74</v>
      </c>
      <c r="M846" t="s">
        <v>13514</v>
      </c>
      <c r="N846" t="s">
        <v>79</v>
      </c>
      <c r="O846" t="s">
        <v>74</v>
      </c>
      <c r="P846" t="s">
        <v>74</v>
      </c>
      <c r="Q846" t="s">
        <v>74</v>
      </c>
      <c r="R846" t="s">
        <v>74</v>
      </c>
      <c r="S846" t="s">
        <v>74</v>
      </c>
      <c r="T846" t="s">
        <v>16204</v>
      </c>
      <c r="U846" t="s">
        <v>74</v>
      </c>
      <c r="V846" t="s">
        <v>16205</v>
      </c>
      <c r="W846" t="s">
        <v>16206</v>
      </c>
      <c r="X846" t="s">
        <v>16207</v>
      </c>
      <c r="Y846" t="s">
        <v>16208</v>
      </c>
      <c r="Z846" t="s">
        <v>16209</v>
      </c>
      <c r="AA846" t="s">
        <v>16210</v>
      </c>
      <c r="AB846" t="s">
        <v>74</v>
      </c>
      <c r="AC846" t="s">
        <v>74</v>
      </c>
      <c r="AD846" t="s">
        <v>74</v>
      </c>
      <c r="AE846" t="s">
        <v>74</v>
      </c>
      <c r="AF846" t="s">
        <v>74</v>
      </c>
      <c r="AG846">
        <v>8</v>
      </c>
      <c r="AH846">
        <v>0</v>
      </c>
      <c r="AI846">
        <v>0</v>
      </c>
      <c r="AJ846">
        <v>0</v>
      </c>
      <c r="AK846">
        <v>7</v>
      </c>
      <c r="AL846" t="s">
        <v>16211</v>
      </c>
      <c r="AM846" t="s">
        <v>3623</v>
      </c>
      <c r="AN846" t="s">
        <v>16212</v>
      </c>
      <c r="AO846" t="s">
        <v>16213</v>
      </c>
      <c r="AP846" t="s">
        <v>16214</v>
      </c>
      <c r="AQ846" t="s">
        <v>74</v>
      </c>
      <c r="AR846" t="s">
        <v>16215</v>
      </c>
      <c r="AS846" t="s">
        <v>16216</v>
      </c>
      <c r="AT846" t="s">
        <v>74</v>
      </c>
      <c r="AU846">
        <v>2020</v>
      </c>
      <c r="AV846">
        <v>11</v>
      </c>
      <c r="AW846">
        <v>3</v>
      </c>
      <c r="AX846" t="s">
        <v>74</v>
      </c>
      <c r="AY846" t="s">
        <v>74</v>
      </c>
      <c r="AZ846" t="s">
        <v>74</v>
      </c>
      <c r="BA846" t="s">
        <v>74</v>
      </c>
      <c r="BB846">
        <v>130</v>
      </c>
      <c r="BC846">
        <v>140</v>
      </c>
      <c r="BD846" t="s">
        <v>74</v>
      </c>
      <c r="BE846" t="s">
        <v>16217</v>
      </c>
      <c r="BF846" t="str">
        <f>HYPERLINK("http://dx.doi.org/10.24411/2221-3279-2020-10041","http://dx.doi.org/10.24411/2221-3279-2020-10041")</f>
        <v>http://dx.doi.org/10.24411/2221-3279-2020-10041</v>
      </c>
      <c r="BG846" t="s">
        <v>74</v>
      </c>
      <c r="BH846" t="s">
        <v>74</v>
      </c>
      <c r="BI846">
        <v>11</v>
      </c>
      <c r="BJ846" t="s">
        <v>16218</v>
      </c>
      <c r="BK846" t="s">
        <v>274</v>
      </c>
      <c r="BL846" t="s">
        <v>9109</v>
      </c>
      <c r="BM846" t="s">
        <v>16219</v>
      </c>
      <c r="BN846" t="s">
        <v>74</v>
      </c>
      <c r="BO846" t="s">
        <v>74</v>
      </c>
      <c r="BP846" t="s">
        <v>74</v>
      </c>
      <c r="BQ846" t="s">
        <v>74</v>
      </c>
      <c r="BR846" t="s">
        <v>106</v>
      </c>
      <c r="BS846" t="s">
        <v>16220</v>
      </c>
      <c r="BT846" t="str">
        <f>HYPERLINK("https%3A%2F%2Fwww.webofscience.com%2Fwos%2Fwoscc%2Ffull-record%2FWOS:000538012100010","View Full Record in Web of Science")</f>
        <v>View Full Record in Web of Science</v>
      </c>
    </row>
    <row r="847" spans="1:72" x14ac:dyDescent="0.15">
      <c r="A847" t="s">
        <v>72</v>
      </c>
      <c r="B847" t="s">
        <v>16221</v>
      </c>
      <c r="C847" t="s">
        <v>74</v>
      </c>
      <c r="D847" t="s">
        <v>74</v>
      </c>
      <c r="E847" t="s">
        <v>74</v>
      </c>
      <c r="F847" t="s">
        <v>16222</v>
      </c>
      <c r="G847" t="s">
        <v>74</v>
      </c>
      <c r="H847" t="s">
        <v>74</v>
      </c>
      <c r="I847" t="s">
        <v>16223</v>
      </c>
      <c r="J847" t="s">
        <v>13973</v>
      </c>
      <c r="K847" t="s">
        <v>74</v>
      </c>
      <c r="L847" t="s">
        <v>74</v>
      </c>
      <c r="M847" t="s">
        <v>78</v>
      </c>
      <c r="N847" t="s">
        <v>79</v>
      </c>
      <c r="O847" t="s">
        <v>74</v>
      </c>
      <c r="P847" t="s">
        <v>74</v>
      </c>
      <c r="Q847" t="s">
        <v>74</v>
      </c>
      <c r="R847" t="s">
        <v>74</v>
      </c>
      <c r="S847" t="s">
        <v>74</v>
      </c>
      <c r="T847" t="s">
        <v>16224</v>
      </c>
      <c r="U847" t="s">
        <v>16225</v>
      </c>
      <c r="V847" t="s">
        <v>16226</v>
      </c>
      <c r="W847" t="s">
        <v>16227</v>
      </c>
      <c r="X847" t="s">
        <v>16228</v>
      </c>
      <c r="Y847" t="s">
        <v>16229</v>
      </c>
      <c r="Z847" t="s">
        <v>16230</v>
      </c>
      <c r="AA847" t="s">
        <v>16231</v>
      </c>
      <c r="AB847" t="s">
        <v>16232</v>
      </c>
      <c r="AC847" t="s">
        <v>16233</v>
      </c>
      <c r="AD847" t="s">
        <v>16234</v>
      </c>
      <c r="AE847" t="s">
        <v>16235</v>
      </c>
      <c r="AF847" t="s">
        <v>74</v>
      </c>
      <c r="AG847">
        <v>40</v>
      </c>
      <c r="AH847">
        <v>10</v>
      </c>
      <c r="AI847">
        <v>10</v>
      </c>
      <c r="AJ847">
        <v>2</v>
      </c>
      <c r="AK847">
        <v>14</v>
      </c>
      <c r="AL847" t="s">
        <v>13984</v>
      </c>
      <c r="AM847" t="s">
        <v>545</v>
      </c>
      <c r="AN847" t="s">
        <v>13985</v>
      </c>
      <c r="AO847" t="s">
        <v>13986</v>
      </c>
      <c r="AP847" t="s">
        <v>13987</v>
      </c>
      <c r="AQ847" t="s">
        <v>74</v>
      </c>
      <c r="AR847" t="s">
        <v>13988</v>
      </c>
      <c r="AS847" t="s">
        <v>13989</v>
      </c>
      <c r="AT847" t="s">
        <v>74</v>
      </c>
      <c r="AU847">
        <v>2020</v>
      </c>
      <c r="AV847">
        <v>70</v>
      </c>
      <c r="AW847">
        <v>5</v>
      </c>
      <c r="AX847" t="s">
        <v>74</v>
      </c>
      <c r="AY847" t="s">
        <v>74</v>
      </c>
      <c r="AZ847" t="s">
        <v>74</v>
      </c>
      <c r="BA847" t="s">
        <v>74</v>
      </c>
      <c r="BB847">
        <v>3255</v>
      </c>
      <c r="BC847">
        <v>3263</v>
      </c>
      <c r="BD847" t="s">
        <v>74</v>
      </c>
      <c r="BE847" t="s">
        <v>16236</v>
      </c>
      <c r="BF847" t="str">
        <f>HYPERLINK("http://dx.doi.org/10.1099/ijsem.0.004165","http://dx.doi.org/10.1099/ijsem.0.004165")</f>
        <v>http://dx.doi.org/10.1099/ijsem.0.004165</v>
      </c>
      <c r="BG847" t="s">
        <v>74</v>
      </c>
      <c r="BH847" t="s">
        <v>74</v>
      </c>
      <c r="BI847">
        <v>9</v>
      </c>
      <c r="BJ847" t="s">
        <v>273</v>
      </c>
      <c r="BK847" t="s">
        <v>103</v>
      </c>
      <c r="BL847" t="s">
        <v>273</v>
      </c>
      <c r="BM847" t="s">
        <v>16237</v>
      </c>
      <c r="BN847">
        <v>32375985</v>
      </c>
      <c r="BO847" t="s">
        <v>517</v>
      </c>
      <c r="BP847" t="s">
        <v>74</v>
      </c>
      <c r="BQ847" t="s">
        <v>74</v>
      </c>
      <c r="BR847" t="s">
        <v>106</v>
      </c>
      <c r="BS847" t="s">
        <v>16238</v>
      </c>
      <c r="BT847" t="str">
        <f>HYPERLINK("https%3A%2F%2Fwww.webofscience.com%2Fwos%2Fwoscc%2Ffull-record%2FWOS:000537392000038","View Full Record in Web of Science")</f>
        <v>View Full Record in Web of Science</v>
      </c>
    </row>
    <row r="848" spans="1:72" x14ac:dyDescent="0.15">
      <c r="A848" t="s">
        <v>72</v>
      </c>
      <c r="B848" t="s">
        <v>16239</v>
      </c>
      <c r="C848" t="s">
        <v>74</v>
      </c>
      <c r="D848" t="s">
        <v>74</v>
      </c>
      <c r="E848" t="s">
        <v>74</v>
      </c>
      <c r="F848" t="s">
        <v>16240</v>
      </c>
      <c r="G848" t="s">
        <v>74</v>
      </c>
      <c r="H848" t="s">
        <v>74</v>
      </c>
      <c r="I848" t="s">
        <v>16241</v>
      </c>
      <c r="J848" t="s">
        <v>14779</v>
      </c>
      <c r="K848" t="s">
        <v>74</v>
      </c>
      <c r="L848" t="s">
        <v>74</v>
      </c>
      <c r="M848" t="s">
        <v>13514</v>
      </c>
      <c r="N848" t="s">
        <v>79</v>
      </c>
      <c r="O848" t="s">
        <v>74</v>
      </c>
      <c r="P848" t="s">
        <v>74</v>
      </c>
      <c r="Q848" t="s">
        <v>74</v>
      </c>
      <c r="R848" t="s">
        <v>74</v>
      </c>
      <c r="S848" t="s">
        <v>74</v>
      </c>
      <c r="T848" t="s">
        <v>16242</v>
      </c>
      <c r="U848" t="s">
        <v>16243</v>
      </c>
      <c r="V848" t="s">
        <v>16244</v>
      </c>
      <c r="W848" t="s">
        <v>16245</v>
      </c>
      <c r="X848" t="s">
        <v>3637</v>
      </c>
      <c r="Y848" t="s">
        <v>16246</v>
      </c>
      <c r="Z848" t="s">
        <v>16247</v>
      </c>
      <c r="AA848" t="s">
        <v>16248</v>
      </c>
      <c r="AB848" t="s">
        <v>74</v>
      </c>
      <c r="AC848" t="s">
        <v>16249</v>
      </c>
      <c r="AD848" t="s">
        <v>3577</v>
      </c>
      <c r="AE848" t="s">
        <v>16250</v>
      </c>
      <c r="AF848" t="s">
        <v>74</v>
      </c>
      <c r="AG848">
        <v>19</v>
      </c>
      <c r="AH848">
        <v>6</v>
      </c>
      <c r="AI848">
        <v>7</v>
      </c>
      <c r="AJ848">
        <v>1</v>
      </c>
      <c r="AK848">
        <v>9</v>
      </c>
      <c r="AL848" t="s">
        <v>14787</v>
      </c>
      <c r="AM848" t="s">
        <v>3623</v>
      </c>
      <c r="AN848" t="s">
        <v>14788</v>
      </c>
      <c r="AO848" t="s">
        <v>14789</v>
      </c>
      <c r="AP848" t="s">
        <v>14790</v>
      </c>
      <c r="AQ848" t="s">
        <v>74</v>
      </c>
      <c r="AR848" t="s">
        <v>14791</v>
      </c>
      <c r="AS848" t="s">
        <v>14792</v>
      </c>
      <c r="AT848" t="s">
        <v>74</v>
      </c>
      <c r="AU848">
        <v>2020</v>
      </c>
      <c r="AV848">
        <v>60</v>
      </c>
      <c r="AW848">
        <v>2</v>
      </c>
      <c r="AX848" t="s">
        <v>74</v>
      </c>
      <c r="AY848" t="s">
        <v>74</v>
      </c>
      <c r="AZ848" t="s">
        <v>74</v>
      </c>
      <c r="BA848" t="s">
        <v>74</v>
      </c>
      <c r="BB848">
        <v>192</v>
      </c>
      <c r="BC848">
        <v>200</v>
      </c>
      <c r="BD848" t="s">
        <v>74</v>
      </c>
      <c r="BE848" t="s">
        <v>16251</v>
      </c>
      <c r="BF848" t="str">
        <f>HYPERLINK("http://dx.doi.org/10.31857/S2076673420020033","http://dx.doi.org/10.31857/S2076673420020033")</f>
        <v>http://dx.doi.org/10.31857/S2076673420020033</v>
      </c>
      <c r="BG848" t="s">
        <v>74</v>
      </c>
      <c r="BH848" t="s">
        <v>74</v>
      </c>
      <c r="BI848">
        <v>9</v>
      </c>
      <c r="BJ848" t="s">
        <v>246</v>
      </c>
      <c r="BK848" t="s">
        <v>274</v>
      </c>
      <c r="BL848" t="s">
        <v>247</v>
      </c>
      <c r="BM848" t="s">
        <v>16252</v>
      </c>
      <c r="BN848" t="s">
        <v>74</v>
      </c>
      <c r="BO848" t="s">
        <v>2592</v>
      </c>
      <c r="BP848" t="s">
        <v>74</v>
      </c>
      <c r="BQ848" t="s">
        <v>74</v>
      </c>
      <c r="BR848" t="s">
        <v>106</v>
      </c>
      <c r="BS848" t="s">
        <v>16253</v>
      </c>
      <c r="BT848" t="str">
        <f>HYPERLINK("https%3A%2F%2Fwww.webofscience.com%2Fwos%2Fwoscc%2Ffull-record%2FWOS:000536726800004","View Full Record in Web of Science")</f>
        <v>View Full Record in Web of Science</v>
      </c>
    </row>
    <row r="849" spans="1:72" x14ac:dyDescent="0.15">
      <c r="A849" t="s">
        <v>72</v>
      </c>
      <c r="B849" t="s">
        <v>16254</v>
      </c>
      <c r="C849" t="s">
        <v>74</v>
      </c>
      <c r="D849" t="s">
        <v>74</v>
      </c>
      <c r="E849" t="s">
        <v>74</v>
      </c>
      <c r="F849" t="s">
        <v>16255</v>
      </c>
      <c r="G849" t="s">
        <v>74</v>
      </c>
      <c r="H849" t="s">
        <v>74</v>
      </c>
      <c r="I849" t="s">
        <v>16256</v>
      </c>
      <c r="J849" t="s">
        <v>14779</v>
      </c>
      <c r="K849" t="s">
        <v>74</v>
      </c>
      <c r="L849" t="s">
        <v>74</v>
      </c>
      <c r="M849" t="s">
        <v>13514</v>
      </c>
      <c r="N849" t="s">
        <v>79</v>
      </c>
      <c r="O849" t="s">
        <v>74</v>
      </c>
      <c r="P849" t="s">
        <v>74</v>
      </c>
      <c r="Q849" t="s">
        <v>74</v>
      </c>
      <c r="R849" t="s">
        <v>74</v>
      </c>
      <c r="S849" t="s">
        <v>74</v>
      </c>
      <c r="T849" t="s">
        <v>16257</v>
      </c>
      <c r="U849" t="s">
        <v>16258</v>
      </c>
      <c r="V849" t="s">
        <v>16259</v>
      </c>
      <c r="W849" t="s">
        <v>16260</v>
      </c>
      <c r="X849" t="s">
        <v>16261</v>
      </c>
      <c r="Y849" t="s">
        <v>16262</v>
      </c>
      <c r="Z849" t="s">
        <v>16263</v>
      </c>
      <c r="AA849" t="s">
        <v>16264</v>
      </c>
      <c r="AB849" t="s">
        <v>74</v>
      </c>
      <c r="AC849" t="s">
        <v>16265</v>
      </c>
      <c r="AD849" t="s">
        <v>16266</v>
      </c>
      <c r="AE849" t="s">
        <v>16267</v>
      </c>
      <c r="AF849" t="s">
        <v>74</v>
      </c>
      <c r="AG849">
        <v>22</v>
      </c>
      <c r="AH849">
        <v>2</v>
      </c>
      <c r="AI849">
        <v>2</v>
      </c>
      <c r="AJ849">
        <v>0</v>
      </c>
      <c r="AK849">
        <v>2</v>
      </c>
      <c r="AL849" t="s">
        <v>14787</v>
      </c>
      <c r="AM849" t="s">
        <v>3623</v>
      </c>
      <c r="AN849" t="s">
        <v>14788</v>
      </c>
      <c r="AO849" t="s">
        <v>14789</v>
      </c>
      <c r="AP849" t="s">
        <v>14790</v>
      </c>
      <c r="AQ849" t="s">
        <v>74</v>
      </c>
      <c r="AR849" t="s">
        <v>14791</v>
      </c>
      <c r="AS849" t="s">
        <v>14792</v>
      </c>
      <c r="AT849" t="s">
        <v>74</v>
      </c>
      <c r="AU849">
        <v>2020</v>
      </c>
      <c r="AV849">
        <v>60</v>
      </c>
      <c r="AW849">
        <v>2</v>
      </c>
      <c r="AX849" t="s">
        <v>74</v>
      </c>
      <c r="AY849" t="s">
        <v>74</v>
      </c>
      <c r="AZ849" t="s">
        <v>74</v>
      </c>
      <c r="BA849" t="s">
        <v>74</v>
      </c>
      <c r="BB849">
        <v>201</v>
      </c>
      <c r="BC849">
        <v>212</v>
      </c>
      <c r="BD849" t="s">
        <v>74</v>
      </c>
      <c r="BE849" t="s">
        <v>16268</v>
      </c>
      <c r="BF849" t="str">
        <f>HYPERLINK("http://dx.doi.org/10.31857/S2076673420020034","http://dx.doi.org/10.31857/S2076673420020034")</f>
        <v>http://dx.doi.org/10.31857/S2076673420020034</v>
      </c>
      <c r="BG849" t="s">
        <v>74</v>
      </c>
      <c r="BH849" t="s">
        <v>74</v>
      </c>
      <c r="BI849">
        <v>12</v>
      </c>
      <c r="BJ849" t="s">
        <v>246</v>
      </c>
      <c r="BK849" t="s">
        <v>274</v>
      </c>
      <c r="BL849" t="s">
        <v>247</v>
      </c>
      <c r="BM849" t="s">
        <v>16252</v>
      </c>
      <c r="BN849" t="s">
        <v>74</v>
      </c>
      <c r="BO849" t="s">
        <v>2592</v>
      </c>
      <c r="BP849" t="s">
        <v>74</v>
      </c>
      <c r="BQ849" t="s">
        <v>74</v>
      </c>
      <c r="BR849" t="s">
        <v>106</v>
      </c>
      <c r="BS849" t="s">
        <v>16269</v>
      </c>
      <c r="BT849" t="str">
        <f>HYPERLINK("https%3A%2F%2Fwww.webofscience.com%2Fwos%2Fwoscc%2Ffull-record%2FWOS:000536726800005","View Full Record in Web of Science")</f>
        <v>View Full Record in Web of Science</v>
      </c>
    </row>
    <row r="850" spans="1:72" x14ac:dyDescent="0.15">
      <c r="A850" t="s">
        <v>72</v>
      </c>
      <c r="B850" t="s">
        <v>16270</v>
      </c>
      <c r="C850" t="s">
        <v>74</v>
      </c>
      <c r="D850" t="s">
        <v>74</v>
      </c>
      <c r="E850" t="s">
        <v>74</v>
      </c>
      <c r="F850" t="s">
        <v>16271</v>
      </c>
      <c r="G850" t="s">
        <v>74</v>
      </c>
      <c r="H850" t="s">
        <v>74</v>
      </c>
      <c r="I850" t="s">
        <v>16272</v>
      </c>
      <c r="J850" t="s">
        <v>16273</v>
      </c>
      <c r="K850" t="s">
        <v>74</v>
      </c>
      <c r="L850" t="s">
        <v>74</v>
      </c>
      <c r="M850" t="s">
        <v>78</v>
      </c>
      <c r="N850" t="s">
        <v>79</v>
      </c>
      <c r="O850" t="s">
        <v>74</v>
      </c>
      <c r="P850" t="s">
        <v>74</v>
      </c>
      <c r="Q850" t="s">
        <v>74</v>
      </c>
      <c r="R850" t="s">
        <v>74</v>
      </c>
      <c r="S850" t="s">
        <v>74</v>
      </c>
      <c r="T850" t="s">
        <v>16274</v>
      </c>
      <c r="U850" t="s">
        <v>16275</v>
      </c>
      <c r="V850" t="s">
        <v>16276</v>
      </c>
      <c r="W850" t="s">
        <v>16277</v>
      </c>
      <c r="X850" t="s">
        <v>16278</v>
      </c>
      <c r="Y850" t="s">
        <v>16279</v>
      </c>
      <c r="Z850" t="s">
        <v>16280</v>
      </c>
      <c r="AA850" t="s">
        <v>539</v>
      </c>
      <c r="AB850" t="s">
        <v>540</v>
      </c>
      <c r="AC850" t="s">
        <v>16281</v>
      </c>
      <c r="AD850" t="s">
        <v>16281</v>
      </c>
      <c r="AE850" t="s">
        <v>16282</v>
      </c>
      <c r="AF850" t="s">
        <v>74</v>
      </c>
      <c r="AG850">
        <v>28</v>
      </c>
      <c r="AH850">
        <v>3</v>
      </c>
      <c r="AI850">
        <v>4</v>
      </c>
      <c r="AJ850">
        <v>0</v>
      </c>
      <c r="AK850">
        <v>3</v>
      </c>
      <c r="AL850" t="s">
        <v>16283</v>
      </c>
      <c r="AM850" t="s">
        <v>16284</v>
      </c>
      <c r="AN850" t="s">
        <v>16285</v>
      </c>
      <c r="AO850" t="s">
        <v>16286</v>
      </c>
      <c r="AP850" t="s">
        <v>74</v>
      </c>
      <c r="AQ850" t="s">
        <v>74</v>
      </c>
      <c r="AR850" t="s">
        <v>16287</v>
      </c>
      <c r="AS850" t="s">
        <v>16288</v>
      </c>
      <c r="AT850" t="s">
        <v>74</v>
      </c>
      <c r="AU850">
        <v>2020</v>
      </c>
      <c r="AV850">
        <v>70</v>
      </c>
      <c r="AW850">
        <v>2</v>
      </c>
      <c r="AX850" t="s">
        <v>74</v>
      </c>
      <c r="AY850" t="s">
        <v>74</v>
      </c>
      <c r="AZ850" t="s">
        <v>74</v>
      </c>
      <c r="BA850" t="s">
        <v>74</v>
      </c>
      <c r="BB850">
        <v>125</v>
      </c>
      <c r="BC850">
        <v>139</v>
      </c>
      <c r="BD850" t="s">
        <v>74</v>
      </c>
      <c r="BE850" t="s">
        <v>16289</v>
      </c>
      <c r="BF850" t="str">
        <f>HYPERLINK("http://dx.doi.org/10.26049/VZ70-2-2020-03","http://dx.doi.org/10.26049/VZ70-2-2020-03")</f>
        <v>http://dx.doi.org/10.26049/VZ70-2-2020-03</v>
      </c>
      <c r="BG850" t="s">
        <v>74</v>
      </c>
      <c r="BH850" t="s">
        <v>74</v>
      </c>
      <c r="BI850">
        <v>15</v>
      </c>
      <c r="BJ850" t="s">
        <v>2510</v>
      </c>
      <c r="BK850" t="s">
        <v>103</v>
      </c>
      <c r="BL850" t="s">
        <v>2510</v>
      </c>
      <c r="BM850" t="s">
        <v>16290</v>
      </c>
      <c r="BN850" t="s">
        <v>74</v>
      </c>
      <c r="BO850" t="s">
        <v>74</v>
      </c>
      <c r="BP850" t="s">
        <v>74</v>
      </c>
      <c r="BQ850" t="s">
        <v>74</v>
      </c>
      <c r="BR850" t="s">
        <v>106</v>
      </c>
      <c r="BS850" t="s">
        <v>16291</v>
      </c>
      <c r="BT850" t="str">
        <f>HYPERLINK("https%3A%2F%2Fwww.webofscience.com%2Fwos%2Fwoscc%2Ffull-record%2FWOS:000536511000003","View Full Record in Web of Science")</f>
        <v>View Full Record in Web of Science</v>
      </c>
    </row>
    <row r="851" spans="1:72" x14ac:dyDescent="0.15">
      <c r="A851" t="s">
        <v>72</v>
      </c>
      <c r="B851" t="s">
        <v>16292</v>
      </c>
      <c r="C851" t="s">
        <v>74</v>
      </c>
      <c r="D851" t="s">
        <v>74</v>
      </c>
      <c r="E851" t="s">
        <v>74</v>
      </c>
      <c r="F851" t="s">
        <v>16293</v>
      </c>
      <c r="G851" t="s">
        <v>74</v>
      </c>
      <c r="H851" t="s">
        <v>74</v>
      </c>
      <c r="I851" t="s">
        <v>16294</v>
      </c>
      <c r="J851" t="s">
        <v>13911</v>
      </c>
      <c r="K851" t="s">
        <v>74</v>
      </c>
      <c r="L851" t="s">
        <v>74</v>
      </c>
      <c r="M851" t="s">
        <v>78</v>
      </c>
      <c r="N851" t="s">
        <v>79</v>
      </c>
      <c r="O851" t="s">
        <v>74</v>
      </c>
      <c r="P851" t="s">
        <v>74</v>
      </c>
      <c r="Q851" t="s">
        <v>74</v>
      </c>
      <c r="R851" t="s">
        <v>74</v>
      </c>
      <c r="S851" t="s">
        <v>74</v>
      </c>
      <c r="T851" t="s">
        <v>16295</v>
      </c>
      <c r="U851" t="s">
        <v>16296</v>
      </c>
      <c r="V851" t="s">
        <v>16297</v>
      </c>
      <c r="W851" t="s">
        <v>16298</v>
      </c>
      <c r="X851" t="s">
        <v>16299</v>
      </c>
      <c r="Y851" t="s">
        <v>16300</v>
      </c>
      <c r="Z851" t="s">
        <v>16301</v>
      </c>
      <c r="AA851" t="s">
        <v>16302</v>
      </c>
      <c r="AB851" t="s">
        <v>16303</v>
      </c>
      <c r="AC851" t="s">
        <v>16304</v>
      </c>
      <c r="AD851" t="s">
        <v>6428</v>
      </c>
      <c r="AE851" t="s">
        <v>16305</v>
      </c>
      <c r="AF851" t="s">
        <v>74</v>
      </c>
      <c r="AG851">
        <v>29</v>
      </c>
      <c r="AH851">
        <v>0</v>
      </c>
      <c r="AI851">
        <v>0</v>
      </c>
      <c r="AJ851">
        <v>1</v>
      </c>
      <c r="AK851">
        <v>2</v>
      </c>
      <c r="AL851" t="s">
        <v>2627</v>
      </c>
      <c r="AM851" t="s">
        <v>2628</v>
      </c>
      <c r="AN851" t="s">
        <v>2629</v>
      </c>
      <c r="AO851" t="s">
        <v>13924</v>
      </c>
      <c r="AP851" t="s">
        <v>13925</v>
      </c>
      <c r="AQ851" t="s">
        <v>74</v>
      </c>
      <c r="AR851" t="s">
        <v>13926</v>
      </c>
      <c r="AS851" t="s">
        <v>13927</v>
      </c>
      <c r="AT851" t="s">
        <v>12161</v>
      </c>
      <c r="AU851">
        <v>2020</v>
      </c>
      <c r="AV851">
        <v>52</v>
      </c>
      <c r="AW851">
        <v>1</v>
      </c>
      <c r="AX851" t="s">
        <v>74</v>
      </c>
      <c r="AY851" t="s">
        <v>74</v>
      </c>
      <c r="AZ851" t="s">
        <v>74</v>
      </c>
      <c r="BA851" t="s">
        <v>74</v>
      </c>
      <c r="BB851">
        <v>210</v>
      </c>
      <c r="BC851">
        <v>221</v>
      </c>
      <c r="BD851" t="s">
        <v>74</v>
      </c>
      <c r="BE851" t="s">
        <v>16306</v>
      </c>
      <c r="BF851" t="str">
        <f>HYPERLINK("http://dx.doi.org/10.1080/15230430.2020.1742062","http://dx.doi.org/10.1080/15230430.2020.1742062")</f>
        <v>http://dx.doi.org/10.1080/15230430.2020.1742062</v>
      </c>
      <c r="BG851" t="s">
        <v>74</v>
      </c>
      <c r="BH851" t="s">
        <v>74</v>
      </c>
      <c r="BI851">
        <v>12</v>
      </c>
      <c r="BJ851" t="s">
        <v>13929</v>
      </c>
      <c r="BK851" t="s">
        <v>103</v>
      </c>
      <c r="BL851" t="s">
        <v>1828</v>
      </c>
      <c r="BM851" t="s">
        <v>16307</v>
      </c>
      <c r="BN851" t="s">
        <v>74</v>
      </c>
      <c r="BO851" t="s">
        <v>2592</v>
      </c>
      <c r="BP851" t="s">
        <v>74</v>
      </c>
      <c r="BQ851" t="s">
        <v>74</v>
      </c>
      <c r="BR851" t="s">
        <v>106</v>
      </c>
      <c r="BS851" t="s">
        <v>16308</v>
      </c>
      <c r="BT851" t="str">
        <f>HYPERLINK("https%3A%2F%2Fwww.webofscience.com%2Fwos%2Fwoscc%2Ffull-record%2FWOS:000536574100001","View Full Record in Web of Science")</f>
        <v>View Full Record in Web of Science</v>
      </c>
    </row>
    <row r="852" spans="1:72" x14ac:dyDescent="0.15">
      <c r="A852" t="s">
        <v>72</v>
      </c>
      <c r="B852" t="s">
        <v>16309</v>
      </c>
      <c r="C852" t="s">
        <v>74</v>
      </c>
      <c r="D852" t="s">
        <v>74</v>
      </c>
      <c r="E852" t="s">
        <v>74</v>
      </c>
      <c r="F852" t="s">
        <v>16310</v>
      </c>
      <c r="G852" t="s">
        <v>74</v>
      </c>
      <c r="H852" t="s">
        <v>74</v>
      </c>
      <c r="I852" t="s">
        <v>16311</v>
      </c>
      <c r="J852" t="s">
        <v>13911</v>
      </c>
      <c r="K852" t="s">
        <v>74</v>
      </c>
      <c r="L852" t="s">
        <v>74</v>
      </c>
      <c r="M852" t="s">
        <v>78</v>
      </c>
      <c r="N852" t="s">
        <v>79</v>
      </c>
      <c r="O852" t="s">
        <v>74</v>
      </c>
      <c r="P852" t="s">
        <v>74</v>
      </c>
      <c r="Q852" t="s">
        <v>74</v>
      </c>
      <c r="R852" t="s">
        <v>74</v>
      </c>
      <c r="S852" t="s">
        <v>74</v>
      </c>
      <c r="T852" t="s">
        <v>16312</v>
      </c>
      <c r="U852" t="s">
        <v>16313</v>
      </c>
      <c r="V852" t="s">
        <v>16314</v>
      </c>
      <c r="W852" t="s">
        <v>16315</v>
      </c>
      <c r="X852" t="s">
        <v>16316</v>
      </c>
      <c r="Y852" t="s">
        <v>16317</v>
      </c>
      <c r="Z852" t="s">
        <v>16318</v>
      </c>
      <c r="AA852" t="s">
        <v>16319</v>
      </c>
      <c r="AB852" t="s">
        <v>16320</v>
      </c>
      <c r="AC852" t="s">
        <v>16321</v>
      </c>
      <c r="AD852" t="s">
        <v>16322</v>
      </c>
      <c r="AE852" t="s">
        <v>16323</v>
      </c>
      <c r="AF852" t="s">
        <v>74</v>
      </c>
      <c r="AG852">
        <v>72</v>
      </c>
      <c r="AH852">
        <v>6</v>
      </c>
      <c r="AI852">
        <v>8</v>
      </c>
      <c r="AJ852">
        <v>2</v>
      </c>
      <c r="AK852">
        <v>18</v>
      </c>
      <c r="AL852" t="s">
        <v>2627</v>
      </c>
      <c r="AM852" t="s">
        <v>2628</v>
      </c>
      <c r="AN852" t="s">
        <v>2629</v>
      </c>
      <c r="AO852" t="s">
        <v>13924</v>
      </c>
      <c r="AP852" t="s">
        <v>13925</v>
      </c>
      <c r="AQ852" t="s">
        <v>74</v>
      </c>
      <c r="AR852" t="s">
        <v>13926</v>
      </c>
      <c r="AS852" t="s">
        <v>13927</v>
      </c>
      <c r="AT852" t="s">
        <v>12161</v>
      </c>
      <c r="AU852">
        <v>2020</v>
      </c>
      <c r="AV852">
        <v>52</v>
      </c>
      <c r="AW852">
        <v>1</v>
      </c>
      <c r="AX852" t="s">
        <v>74</v>
      </c>
      <c r="AY852" t="s">
        <v>74</v>
      </c>
      <c r="AZ852" t="s">
        <v>74</v>
      </c>
      <c r="BA852" t="s">
        <v>74</v>
      </c>
      <c r="BB852">
        <v>191</v>
      </c>
      <c r="BC852">
        <v>209</v>
      </c>
      <c r="BD852" t="s">
        <v>74</v>
      </c>
      <c r="BE852" t="s">
        <v>16324</v>
      </c>
      <c r="BF852" t="str">
        <f>HYPERLINK("http://dx.doi.org/10.1080/15230430.2020.1743157","http://dx.doi.org/10.1080/15230430.2020.1743157")</f>
        <v>http://dx.doi.org/10.1080/15230430.2020.1743157</v>
      </c>
      <c r="BG852" t="s">
        <v>74</v>
      </c>
      <c r="BH852" t="s">
        <v>74</v>
      </c>
      <c r="BI852">
        <v>19</v>
      </c>
      <c r="BJ852" t="s">
        <v>13929</v>
      </c>
      <c r="BK852" t="s">
        <v>103</v>
      </c>
      <c r="BL852" t="s">
        <v>1828</v>
      </c>
      <c r="BM852" t="s">
        <v>16325</v>
      </c>
      <c r="BN852" t="s">
        <v>74</v>
      </c>
      <c r="BO852" t="s">
        <v>2592</v>
      </c>
      <c r="BP852" t="s">
        <v>74</v>
      </c>
      <c r="BQ852" t="s">
        <v>74</v>
      </c>
      <c r="BR852" t="s">
        <v>106</v>
      </c>
      <c r="BS852" t="s">
        <v>16326</v>
      </c>
      <c r="BT852" t="str">
        <f>HYPERLINK("https%3A%2F%2Fwww.webofscience.com%2Fwos%2Fwoscc%2Ffull-record%2FWOS:000535973000001","View Full Record in Web of Science")</f>
        <v>View Full Record in Web of Science</v>
      </c>
    </row>
    <row r="853" spans="1:72" x14ac:dyDescent="0.15">
      <c r="A853" t="s">
        <v>72</v>
      </c>
      <c r="B853" t="s">
        <v>16327</v>
      </c>
      <c r="C853" t="s">
        <v>74</v>
      </c>
      <c r="D853" t="s">
        <v>74</v>
      </c>
      <c r="E853" t="s">
        <v>74</v>
      </c>
      <c r="F853" t="s">
        <v>16328</v>
      </c>
      <c r="G853" t="s">
        <v>74</v>
      </c>
      <c r="H853" t="s">
        <v>74</v>
      </c>
      <c r="I853" t="s">
        <v>16329</v>
      </c>
      <c r="J853" t="s">
        <v>13911</v>
      </c>
      <c r="K853" t="s">
        <v>74</v>
      </c>
      <c r="L853" t="s">
        <v>74</v>
      </c>
      <c r="M853" t="s">
        <v>78</v>
      </c>
      <c r="N853" t="s">
        <v>79</v>
      </c>
      <c r="O853" t="s">
        <v>74</v>
      </c>
      <c r="P853" t="s">
        <v>74</v>
      </c>
      <c r="Q853" t="s">
        <v>74</v>
      </c>
      <c r="R853" t="s">
        <v>74</v>
      </c>
      <c r="S853" t="s">
        <v>74</v>
      </c>
      <c r="T853" t="s">
        <v>16330</v>
      </c>
      <c r="U853" t="s">
        <v>16331</v>
      </c>
      <c r="V853" t="s">
        <v>16332</v>
      </c>
      <c r="W853" t="s">
        <v>16333</v>
      </c>
      <c r="X853" t="s">
        <v>16334</v>
      </c>
      <c r="Y853" t="s">
        <v>16335</v>
      </c>
      <c r="Z853" t="s">
        <v>16336</v>
      </c>
      <c r="AA853" t="s">
        <v>74</v>
      </c>
      <c r="AB853" t="s">
        <v>16337</v>
      </c>
      <c r="AC853" t="s">
        <v>16338</v>
      </c>
      <c r="AD853" t="s">
        <v>16339</v>
      </c>
      <c r="AE853" t="s">
        <v>16340</v>
      </c>
      <c r="AF853" t="s">
        <v>74</v>
      </c>
      <c r="AG853">
        <v>74</v>
      </c>
      <c r="AH853">
        <v>7</v>
      </c>
      <c r="AI853">
        <v>7</v>
      </c>
      <c r="AJ853">
        <v>4</v>
      </c>
      <c r="AK853">
        <v>13</v>
      </c>
      <c r="AL853" t="s">
        <v>2627</v>
      </c>
      <c r="AM853" t="s">
        <v>2628</v>
      </c>
      <c r="AN853" t="s">
        <v>2629</v>
      </c>
      <c r="AO853" t="s">
        <v>13924</v>
      </c>
      <c r="AP853" t="s">
        <v>13925</v>
      </c>
      <c r="AQ853" t="s">
        <v>74</v>
      </c>
      <c r="AR853" t="s">
        <v>13926</v>
      </c>
      <c r="AS853" t="s">
        <v>13927</v>
      </c>
      <c r="AT853" t="s">
        <v>12161</v>
      </c>
      <c r="AU853">
        <v>2020</v>
      </c>
      <c r="AV853">
        <v>52</v>
      </c>
      <c r="AW853">
        <v>1</v>
      </c>
      <c r="AX853" t="s">
        <v>74</v>
      </c>
      <c r="AY853" t="s">
        <v>74</v>
      </c>
      <c r="AZ853" t="s">
        <v>74</v>
      </c>
      <c r="BA853" t="s">
        <v>74</v>
      </c>
      <c r="BB853">
        <v>177</v>
      </c>
      <c r="BC853">
        <v>190</v>
      </c>
      <c r="BD853" t="s">
        <v>74</v>
      </c>
      <c r="BE853" t="s">
        <v>16341</v>
      </c>
      <c r="BF853" t="str">
        <f>HYPERLINK("http://dx.doi.org/10.1080/15230430.2020.1753412","http://dx.doi.org/10.1080/15230430.2020.1753412")</f>
        <v>http://dx.doi.org/10.1080/15230430.2020.1753412</v>
      </c>
      <c r="BG853" t="s">
        <v>74</v>
      </c>
      <c r="BH853" t="s">
        <v>74</v>
      </c>
      <c r="BI853">
        <v>14</v>
      </c>
      <c r="BJ853" t="s">
        <v>13929</v>
      </c>
      <c r="BK853" t="s">
        <v>103</v>
      </c>
      <c r="BL853" t="s">
        <v>1828</v>
      </c>
      <c r="BM853" t="s">
        <v>16342</v>
      </c>
      <c r="BN853" t="s">
        <v>74</v>
      </c>
      <c r="BO853" t="s">
        <v>2592</v>
      </c>
      <c r="BP853" t="s">
        <v>74</v>
      </c>
      <c r="BQ853" t="s">
        <v>74</v>
      </c>
      <c r="BR853" t="s">
        <v>106</v>
      </c>
      <c r="BS853" t="s">
        <v>16343</v>
      </c>
      <c r="BT853" t="str">
        <f>HYPERLINK("https%3A%2F%2Fwww.webofscience.com%2Fwos%2Fwoscc%2Ffull-record%2FWOS:000534369100001","View Full Record in Web of Science")</f>
        <v>View Full Record in Web of Science</v>
      </c>
    </row>
    <row r="854" spans="1:72" x14ac:dyDescent="0.15">
      <c r="A854" t="s">
        <v>12556</v>
      </c>
      <c r="B854" t="s">
        <v>16344</v>
      </c>
      <c r="C854" t="s">
        <v>74</v>
      </c>
      <c r="D854" t="s">
        <v>16345</v>
      </c>
      <c r="E854" t="s">
        <v>74</v>
      </c>
      <c r="F854" t="s">
        <v>16346</v>
      </c>
      <c r="G854" t="s">
        <v>74</v>
      </c>
      <c r="H854" t="s">
        <v>74</v>
      </c>
      <c r="I854" t="s">
        <v>16347</v>
      </c>
      <c r="J854" t="s">
        <v>16348</v>
      </c>
      <c r="K854" t="s">
        <v>16349</v>
      </c>
      <c r="L854" t="s">
        <v>74</v>
      </c>
      <c r="M854" t="s">
        <v>78</v>
      </c>
      <c r="N854" t="s">
        <v>12422</v>
      </c>
      <c r="O854" t="s">
        <v>74</v>
      </c>
      <c r="P854" t="s">
        <v>74</v>
      </c>
      <c r="Q854" t="s">
        <v>74</v>
      </c>
      <c r="R854" t="s">
        <v>74</v>
      </c>
      <c r="S854" t="s">
        <v>74</v>
      </c>
      <c r="T854" t="s">
        <v>74</v>
      </c>
      <c r="U854" t="s">
        <v>16350</v>
      </c>
      <c r="V854" t="s">
        <v>74</v>
      </c>
      <c r="W854" t="s">
        <v>16351</v>
      </c>
      <c r="X854" t="s">
        <v>16352</v>
      </c>
      <c r="Y854" t="s">
        <v>16353</v>
      </c>
      <c r="Z854" t="s">
        <v>74</v>
      </c>
      <c r="AA854" t="s">
        <v>16354</v>
      </c>
      <c r="AB854" t="s">
        <v>16355</v>
      </c>
      <c r="AC854" t="s">
        <v>74</v>
      </c>
      <c r="AD854" t="s">
        <v>74</v>
      </c>
      <c r="AE854" t="s">
        <v>74</v>
      </c>
      <c r="AF854" t="s">
        <v>74</v>
      </c>
      <c r="AG854">
        <v>65</v>
      </c>
      <c r="AH854">
        <v>1</v>
      </c>
      <c r="AI854">
        <v>1</v>
      </c>
      <c r="AJ854">
        <v>0</v>
      </c>
      <c r="AK854">
        <v>0</v>
      </c>
      <c r="AL854" t="s">
        <v>92</v>
      </c>
      <c r="AM854" t="s">
        <v>93</v>
      </c>
      <c r="AN854" t="s">
        <v>12860</v>
      </c>
      <c r="AO854" t="s">
        <v>16356</v>
      </c>
      <c r="AP854" t="s">
        <v>16357</v>
      </c>
      <c r="AQ854" t="s">
        <v>16358</v>
      </c>
      <c r="AR854" t="s">
        <v>16359</v>
      </c>
      <c r="AS854" t="s">
        <v>74</v>
      </c>
      <c r="AT854" t="s">
        <v>74</v>
      </c>
      <c r="AU854">
        <v>2020</v>
      </c>
      <c r="AV854" t="s">
        <v>74</v>
      </c>
      <c r="AW854" t="s">
        <v>74</v>
      </c>
      <c r="AX854" t="s">
        <v>74</v>
      </c>
      <c r="AY854" t="s">
        <v>74</v>
      </c>
      <c r="AZ854" t="s">
        <v>74</v>
      </c>
      <c r="BA854" t="s">
        <v>74</v>
      </c>
      <c r="BB854" t="s">
        <v>74</v>
      </c>
      <c r="BC854" t="s">
        <v>74</v>
      </c>
      <c r="BD854" t="s">
        <v>74</v>
      </c>
      <c r="BE854" t="s">
        <v>16360</v>
      </c>
      <c r="BF854" t="str">
        <f>HYPERLINK("http://dx.doi.org/10.1088/2514-3433/ab404ach5","http://dx.doi.org/10.1088/2514-3433/ab404ach5")</f>
        <v>http://dx.doi.org/10.1088/2514-3433/ab404ach5</v>
      </c>
      <c r="BG854" t="s">
        <v>16361</v>
      </c>
      <c r="BH854" t="s">
        <v>74</v>
      </c>
      <c r="BI854">
        <v>14</v>
      </c>
      <c r="BJ854" t="s">
        <v>102</v>
      </c>
      <c r="BK854" t="s">
        <v>12436</v>
      </c>
      <c r="BL854" t="s">
        <v>102</v>
      </c>
      <c r="BM854" t="s">
        <v>16362</v>
      </c>
      <c r="BN854" t="s">
        <v>74</v>
      </c>
      <c r="BO854" t="s">
        <v>74</v>
      </c>
      <c r="BP854" t="s">
        <v>74</v>
      </c>
      <c r="BQ854" t="s">
        <v>74</v>
      </c>
      <c r="BR854" t="s">
        <v>106</v>
      </c>
      <c r="BS854" t="s">
        <v>16363</v>
      </c>
      <c r="BT854" t="str">
        <f>HYPERLINK("https%3A%2F%2Fwww.webofscience.com%2Fwos%2Fwoscc%2Ffull-record%2FWOS:000530695800006","View Full Record in Web of Science")</f>
        <v>View Full Record in Web of Science</v>
      </c>
    </row>
    <row r="855" spans="1:72" x14ac:dyDescent="0.15">
      <c r="A855" t="s">
        <v>72</v>
      </c>
      <c r="B855" t="s">
        <v>16364</v>
      </c>
      <c r="C855" t="s">
        <v>74</v>
      </c>
      <c r="D855" t="s">
        <v>74</v>
      </c>
      <c r="E855" t="s">
        <v>74</v>
      </c>
      <c r="F855" t="s">
        <v>16365</v>
      </c>
      <c r="G855" t="s">
        <v>74</v>
      </c>
      <c r="H855" t="s">
        <v>74</v>
      </c>
      <c r="I855" t="s">
        <v>16366</v>
      </c>
      <c r="J855" t="s">
        <v>13911</v>
      </c>
      <c r="K855" t="s">
        <v>74</v>
      </c>
      <c r="L855" t="s">
        <v>74</v>
      </c>
      <c r="M855" t="s">
        <v>78</v>
      </c>
      <c r="N855" t="s">
        <v>79</v>
      </c>
      <c r="O855" t="s">
        <v>74</v>
      </c>
      <c r="P855" t="s">
        <v>74</v>
      </c>
      <c r="Q855" t="s">
        <v>74</v>
      </c>
      <c r="R855" t="s">
        <v>74</v>
      </c>
      <c r="S855" t="s">
        <v>74</v>
      </c>
      <c r="T855" t="s">
        <v>16367</v>
      </c>
      <c r="U855" t="s">
        <v>16368</v>
      </c>
      <c r="V855" t="s">
        <v>16369</v>
      </c>
      <c r="W855" t="s">
        <v>16370</v>
      </c>
      <c r="X855" t="s">
        <v>16371</v>
      </c>
      <c r="Y855" t="s">
        <v>16372</v>
      </c>
      <c r="Z855" t="s">
        <v>16373</v>
      </c>
      <c r="AA855" t="s">
        <v>74</v>
      </c>
      <c r="AB855" t="s">
        <v>16374</v>
      </c>
      <c r="AC855" t="s">
        <v>16375</v>
      </c>
      <c r="AD855" t="s">
        <v>16376</v>
      </c>
      <c r="AE855" t="s">
        <v>16377</v>
      </c>
      <c r="AF855" t="s">
        <v>74</v>
      </c>
      <c r="AG855">
        <v>52</v>
      </c>
      <c r="AH855">
        <v>2</v>
      </c>
      <c r="AI855">
        <v>2</v>
      </c>
      <c r="AJ855">
        <v>0</v>
      </c>
      <c r="AK855">
        <v>7</v>
      </c>
      <c r="AL855" t="s">
        <v>2627</v>
      </c>
      <c r="AM855" t="s">
        <v>2628</v>
      </c>
      <c r="AN855" t="s">
        <v>2629</v>
      </c>
      <c r="AO855" t="s">
        <v>13924</v>
      </c>
      <c r="AP855" t="s">
        <v>13925</v>
      </c>
      <c r="AQ855" t="s">
        <v>74</v>
      </c>
      <c r="AR855" t="s">
        <v>13926</v>
      </c>
      <c r="AS855" t="s">
        <v>13927</v>
      </c>
      <c r="AT855" t="s">
        <v>12161</v>
      </c>
      <c r="AU855">
        <v>2020</v>
      </c>
      <c r="AV855">
        <v>52</v>
      </c>
      <c r="AW855">
        <v>1</v>
      </c>
      <c r="AX855" t="s">
        <v>74</v>
      </c>
      <c r="AY855" t="s">
        <v>74</v>
      </c>
      <c r="AZ855" t="s">
        <v>74</v>
      </c>
      <c r="BA855" t="s">
        <v>74</v>
      </c>
      <c r="BB855">
        <v>146</v>
      </c>
      <c r="BC855">
        <v>160</v>
      </c>
      <c r="BD855" t="s">
        <v>74</v>
      </c>
      <c r="BE855" t="s">
        <v>16378</v>
      </c>
      <c r="BF855" t="str">
        <f>HYPERLINK("http://dx.doi.org/10.1080/15230430.2020.1743148","http://dx.doi.org/10.1080/15230430.2020.1743148")</f>
        <v>http://dx.doi.org/10.1080/15230430.2020.1743148</v>
      </c>
      <c r="BG855" t="s">
        <v>74</v>
      </c>
      <c r="BH855" t="s">
        <v>74</v>
      </c>
      <c r="BI855">
        <v>15</v>
      </c>
      <c r="BJ855" t="s">
        <v>13929</v>
      </c>
      <c r="BK855" t="s">
        <v>103</v>
      </c>
      <c r="BL855" t="s">
        <v>1828</v>
      </c>
      <c r="BM855" t="s">
        <v>16379</v>
      </c>
      <c r="BN855" t="s">
        <v>74</v>
      </c>
      <c r="BO855" t="s">
        <v>2592</v>
      </c>
      <c r="BP855" t="s">
        <v>74</v>
      </c>
      <c r="BQ855" t="s">
        <v>74</v>
      </c>
      <c r="BR855" t="s">
        <v>106</v>
      </c>
      <c r="BS855" t="s">
        <v>16380</v>
      </c>
      <c r="BT855" t="str">
        <f>HYPERLINK("https%3A%2F%2Fwww.webofscience.com%2Fwos%2Fwoscc%2Ffull-record%2FWOS:000533636000001","View Full Record in Web of Science")</f>
        <v>View Full Record in Web of Science</v>
      </c>
    </row>
    <row r="856" spans="1:72" x14ac:dyDescent="0.15">
      <c r="A856" t="s">
        <v>72</v>
      </c>
      <c r="B856" t="s">
        <v>16381</v>
      </c>
      <c r="C856" t="s">
        <v>74</v>
      </c>
      <c r="D856" t="s">
        <v>74</v>
      </c>
      <c r="E856" t="s">
        <v>74</v>
      </c>
      <c r="F856" t="s">
        <v>16382</v>
      </c>
      <c r="G856" t="s">
        <v>74</v>
      </c>
      <c r="H856" t="s">
        <v>74</v>
      </c>
      <c r="I856" t="s">
        <v>16383</v>
      </c>
      <c r="J856" t="s">
        <v>13911</v>
      </c>
      <c r="K856" t="s">
        <v>74</v>
      </c>
      <c r="L856" t="s">
        <v>74</v>
      </c>
      <c r="M856" t="s">
        <v>78</v>
      </c>
      <c r="N856" t="s">
        <v>79</v>
      </c>
      <c r="O856" t="s">
        <v>74</v>
      </c>
      <c r="P856" t="s">
        <v>74</v>
      </c>
      <c r="Q856" t="s">
        <v>74</v>
      </c>
      <c r="R856" t="s">
        <v>74</v>
      </c>
      <c r="S856" t="s">
        <v>74</v>
      </c>
      <c r="T856" t="s">
        <v>16384</v>
      </c>
      <c r="U856" t="s">
        <v>16385</v>
      </c>
      <c r="V856" t="s">
        <v>16386</v>
      </c>
      <c r="W856" t="s">
        <v>16387</v>
      </c>
      <c r="X856" t="s">
        <v>16388</v>
      </c>
      <c r="Y856" t="s">
        <v>16389</v>
      </c>
      <c r="Z856" t="s">
        <v>16390</v>
      </c>
      <c r="AA856" t="s">
        <v>16391</v>
      </c>
      <c r="AB856" t="s">
        <v>16392</v>
      </c>
      <c r="AC856" t="s">
        <v>16393</v>
      </c>
      <c r="AD856" t="s">
        <v>16394</v>
      </c>
      <c r="AE856" t="s">
        <v>16395</v>
      </c>
      <c r="AF856" t="s">
        <v>74</v>
      </c>
      <c r="AG856">
        <v>55</v>
      </c>
      <c r="AH856">
        <v>2</v>
      </c>
      <c r="AI856">
        <v>3</v>
      </c>
      <c r="AJ856">
        <v>0</v>
      </c>
      <c r="AK856">
        <v>8</v>
      </c>
      <c r="AL856" t="s">
        <v>2627</v>
      </c>
      <c r="AM856" t="s">
        <v>2628</v>
      </c>
      <c r="AN856" t="s">
        <v>2629</v>
      </c>
      <c r="AO856" t="s">
        <v>13924</v>
      </c>
      <c r="AP856" t="s">
        <v>13925</v>
      </c>
      <c r="AQ856" t="s">
        <v>74</v>
      </c>
      <c r="AR856" t="s">
        <v>13926</v>
      </c>
      <c r="AS856" t="s">
        <v>13927</v>
      </c>
      <c r="AT856" t="s">
        <v>12161</v>
      </c>
      <c r="AU856">
        <v>2020</v>
      </c>
      <c r="AV856">
        <v>52</v>
      </c>
      <c r="AW856">
        <v>1</v>
      </c>
      <c r="AX856" t="s">
        <v>74</v>
      </c>
      <c r="AY856" t="s">
        <v>74</v>
      </c>
      <c r="AZ856" t="s">
        <v>74</v>
      </c>
      <c r="BA856" t="s">
        <v>74</v>
      </c>
      <c r="BB856">
        <v>161</v>
      </c>
      <c r="BC856">
        <v>176</v>
      </c>
      <c r="BD856" t="s">
        <v>74</v>
      </c>
      <c r="BE856" t="s">
        <v>16396</v>
      </c>
      <c r="BF856" t="str">
        <f>HYPERLINK("http://dx.doi.org/10.1080/15230430.2020.1746517","http://dx.doi.org/10.1080/15230430.2020.1746517")</f>
        <v>http://dx.doi.org/10.1080/15230430.2020.1746517</v>
      </c>
      <c r="BG856" t="s">
        <v>74</v>
      </c>
      <c r="BH856" t="s">
        <v>74</v>
      </c>
      <c r="BI856">
        <v>16</v>
      </c>
      <c r="BJ856" t="s">
        <v>13929</v>
      </c>
      <c r="BK856" t="s">
        <v>103</v>
      </c>
      <c r="BL856" t="s">
        <v>1828</v>
      </c>
      <c r="BM856" t="s">
        <v>16397</v>
      </c>
      <c r="BN856" t="s">
        <v>74</v>
      </c>
      <c r="BO856" t="s">
        <v>2592</v>
      </c>
      <c r="BP856" t="s">
        <v>74</v>
      </c>
      <c r="BQ856" t="s">
        <v>74</v>
      </c>
      <c r="BR856" t="s">
        <v>106</v>
      </c>
      <c r="BS856" t="s">
        <v>16398</v>
      </c>
      <c r="BT856" t="str">
        <f>HYPERLINK("https%3A%2F%2Fwww.webofscience.com%2Fwos%2Fwoscc%2Ffull-record%2FWOS:000533636800001","View Full Record in Web of Science")</f>
        <v>View Full Record in Web of Science</v>
      </c>
    </row>
    <row r="857" spans="1:72" x14ac:dyDescent="0.15">
      <c r="A857" t="s">
        <v>72</v>
      </c>
      <c r="B857" t="s">
        <v>16399</v>
      </c>
      <c r="C857" t="s">
        <v>74</v>
      </c>
      <c r="D857" t="s">
        <v>74</v>
      </c>
      <c r="E857" t="s">
        <v>74</v>
      </c>
      <c r="F857" t="s">
        <v>16400</v>
      </c>
      <c r="G857" t="s">
        <v>74</v>
      </c>
      <c r="H857" t="s">
        <v>74</v>
      </c>
      <c r="I857" t="s">
        <v>16401</v>
      </c>
      <c r="J857" t="s">
        <v>13869</v>
      </c>
      <c r="K857" t="s">
        <v>74</v>
      </c>
      <c r="L857" t="s">
        <v>74</v>
      </c>
      <c r="M857" t="s">
        <v>78</v>
      </c>
      <c r="N857" t="s">
        <v>1434</v>
      </c>
      <c r="O857" t="s">
        <v>74</v>
      </c>
      <c r="P857" t="s">
        <v>74</v>
      </c>
      <c r="Q857" t="s">
        <v>74</v>
      </c>
      <c r="R857" t="s">
        <v>74</v>
      </c>
      <c r="S857" t="s">
        <v>74</v>
      </c>
      <c r="T857" t="s">
        <v>16402</v>
      </c>
      <c r="U857" t="s">
        <v>16403</v>
      </c>
      <c r="V857" t="s">
        <v>16404</v>
      </c>
      <c r="W857" t="s">
        <v>16405</v>
      </c>
      <c r="X857" t="s">
        <v>15951</v>
      </c>
      <c r="Y857" t="s">
        <v>15952</v>
      </c>
      <c r="Z857" t="s">
        <v>15953</v>
      </c>
      <c r="AA857" t="s">
        <v>74</v>
      </c>
      <c r="AB857" t="s">
        <v>74</v>
      </c>
      <c r="AC857" t="s">
        <v>74</v>
      </c>
      <c r="AD857" t="s">
        <v>74</v>
      </c>
      <c r="AE857" t="s">
        <v>74</v>
      </c>
      <c r="AF857" t="s">
        <v>74</v>
      </c>
      <c r="AG857">
        <v>75</v>
      </c>
      <c r="AH857">
        <v>1</v>
      </c>
      <c r="AI857">
        <v>3</v>
      </c>
      <c r="AJ857">
        <v>4</v>
      </c>
      <c r="AK857">
        <v>32</v>
      </c>
      <c r="AL857" t="s">
        <v>13881</v>
      </c>
      <c r="AM857" t="s">
        <v>13882</v>
      </c>
      <c r="AN857" t="s">
        <v>13883</v>
      </c>
      <c r="AO857" t="s">
        <v>13884</v>
      </c>
      <c r="AP857" t="s">
        <v>13885</v>
      </c>
      <c r="AQ857" t="s">
        <v>74</v>
      </c>
      <c r="AR857" t="s">
        <v>13886</v>
      </c>
      <c r="AS857" t="s">
        <v>13887</v>
      </c>
      <c r="AT857" t="s">
        <v>74</v>
      </c>
      <c r="AU857">
        <v>2020</v>
      </c>
      <c r="AV857">
        <v>48</v>
      </c>
      <c r="AW857">
        <v>2</v>
      </c>
      <c r="AX857" t="s">
        <v>74</v>
      </c>
      <c r="AY857" t="s">
        <v>74</v>
      </c>
      <c r="AZ857" t="s">
        <v>74</v>
      </c>
      <c r="BA857" t="s">
        <v>74</v>
      </c>
      <c r="BB857">
        <v>179</v>
      </c>
      <c r="BC857">
        <v>196</v>
      </c>
      <c r="BD857" t="s">
        <v>74</v>
      </c>
      <c r="BE857" t="s">
        <v>16406</v>
      </c>
      <c r="BF857" t="str">
        <f>HYPERLINK("http://dx.doi.org/10.3856/vol48-issue2-fulltext-2408","http://dx.doi.org/10.3856/vol48-issue2-fulltext-2408")</f>
        <v>http://dx.doi.org/10.3856/vol48-issue2-fulltext-2408</v>
      </c>
      <c r="BG857" t="s">
        <v>74</v>
      </c>
      <c r="BH857" t="s">
        <v>74</v>
      </c>
      <c r="BI857">
        <v>18</v>
      </c>
      <c r="BJ857" t="s">
        <v>735</v>
      </c>
      <c r="BK857" t="s">
        <v>103</v>
      </c>
      <c r="BL857" t="s">
        <v>735</v>
      </c>
      <c r="BM857" t="s">
        <v>16407</v>
      </c>
      <c r="BN857" t="s">
        <v>74</v>
      </c>
      <c r="BO857" t="s">
        <v>276</v>
      </c>
      <c r="BP857" t="s">
        <v>74</v>
      </c>
      <c r="BQ857" t="s">
        <v>74</v>
      </c>
      <c r="BR857" t="s">
        <v>106</v>
      </c>
      <c r="BS857" t="s">
        <v>16408</v>
      </c>
      <c r="BT857" t="str">
        <f>HYPERLINK("https%3A%2F%2Fwww.webofscience.com%2Fwos%2Fwoscc%2Ffull-record%2FWOS:000532474500002","View Full Record in Web of Science")</f>
        <v>View Full Record in Web of Science</v>
      </c>
    </row>
    <row r="858" spans="1:72" x14ac:dyDescent="0.15">
      <c r="A858" t="s">
        <v>72</v>
      </c>
      <c r="B858" t="s">
        <v>16409</v>
      </c>
      <c r="C858" t="s">
        <v>74</v>
      </c>
      <c r="D858" t="s">
        <v>74</v>
      </c>
      <c r="E858" t="s">
        <v>74</v>
      </c>
      <c r="F858" t="s">
        <v>16410</v>
      </c>
      <c r="G858" t="s">
        <v>74</v>
      </c>
      <c r="H858" t="s">
        <v>74</v>
      </c>
      <c r="I858" t="s">
        <v>16411</v>
      </c>
      <c r="J858" t="s">
        <v>13869</v>
      </c>
      <c r="K858" t="s">
        <v>74</v>
      </c>
      <c r="L858" t="s">
        <v>74</v>
      </c>
      <c r="M858" t="s">
        <v>78</v>
      </c>
      <c r="N858" t="s">
        <v>79</v>
      </c>
      <c r="O858" t="s">
        <v>74</v>
      </c>
      <c r="P858" t="s">
        <v>74</v>
      </c>
      <c r="Q858" t="s">
        <v>74</v>
      </c>
      <c r="R858" t="s">
        <v>74</v>
      </c>
      <c r="S858" t="s">
        <v>74</v>
      </c>
      <c r="T858" t="s">
        <v>16412</v>
      </c>
      <c r="U858" t="s">
        <v>16413</v>
      </c>
      <c r="V858" t="s">
        <v>16414</v>
      </c>
      <c r="W858" t="s">
        <v>16415</v>
      </c>
      <c r="X858" t="s">
        <v>16416</v>
      </c>
      <c r="Y858" t="s">
        <v>15952</v>
      </c>
      <c r="Z858" t="s">
        <v>15953</v>
      </c>
      <c r="AA858" t="s">
        <v>74</v>
      </c>
      <c r="AB858" t="s">
        <v>74</v>
      </c>
      <c r="AC858" t="s">
        <v>74</v>
      </c>
      <c r="AD858" t="s">
        <v>74</v>
      </c>
      <c r="AE858" t="s">
        <v>74</v>
      </c>
      <c r="AF858" t="s">
        <v>74</v>
      </c>
      <c r="AG858">
        <v>53</v>
      </c>
      <c r="AH858">
        <v>4</v>
      </c>
      <c r="AI858">
        <v>5</v>
      </c>
      <c r="AJ858">
        <v>0</v>
      </c>
      <c r="AK858">
        <v>8</v>
      </c>
      <c r="AL858" t="s">
        <v>13881</v>
      </c>
      <c r="AM858" t="s">
        <v>13882</v>
      </c>
      <c r="AN858" t="s">
        <v>13883</v>
      </c>
      <c r="AO858" t="s">
        <v>13884</v>
      </c>
      <c r="AP858" t="s">
        <v>13885</v>
      </c>
      <c r="AQ858" t="s">
        <v>74</v>
      </c>
      <c r="AR858" t="s">
        <v>13886</v>
      </c>
      <c r="AS858" t="s">
        <v>13887</v>
      </c>
      <c r="AT858" t="s">
        <v>74</v>
      </c>
      <c r="AU858">
        <v>2020</v>
      </c>
      <c r="AV858">
        <v>48</v>
      </c>
      <c r="AW858">
        <v>2</v>
      </c>
      <c r="AX858" t="s">
        <v>74</v>
      </c>
      <c r="AY858" t="s">
        <v>74</v>
      </c>
      <c r="AZ858" t="s">
        <v>74</v>
      </c>
      <c r="BA858" t="s">
        <v>74</v>
      </c>
      <c r="BB858">
        <v>304</v>
      </c>
      <c r="BC858">
        <v>322</v>
      </c>
      <c r="BD858" t="s">
        <v>74</v>
      </c>
      <c r="BE858" t="s">
        <v>16417</v>
      </c>
      <c r="BF858" t="str">
        <f>HYPERLINK("http://dx.doi.org/10.3856/vol48-issue2-fulltext-2469","http://dx.doi.org/10.3856/vol48-issue2-fulltext-2469")</f>
        <v>http://dx.doi.org/10.3856/vol48-issue2-fulltext-2469</v>
      </c>
      <c r="BG858" t="s">
        <v>74</v>
      </c>
      <c r="BH858" t="s">
        <v>74</v>
      </c>
      <c r="BI858">
        <v>19</v>
      </c>
      <c r="BJ858" t="s">
        <v>735</v>
      </c>
      <c r="BK858" t="s">
        <v>103</v>
      </c>
      <c r="BL858" t="s">
        <v>735</v>
      </c>
      <c r="BM858" t="s">
        <v>16407</v>
      </c>
      <c r="BN858" t="s">
        <v>74</v>
      </c>
      <c r="BO858" t="s">
        <v>13375</v>
      </c>
      <c r="BP858" t="s">
        <v>74</v>
      </c>
      <c r="BQ858" t="s">
        <v>74</v>
      </c>
      <c r="BR858" t="s">
        <v>106</v>
      </c>
      <c r="BS858" t="s">
        <v>16418</v>
      </c>
      <c r="BT858" t="str">
        <f>HYPERLINK("https%3A%2F%2Fwww.webofscience.com%2Fwos%2Fwoscc%2Ffull-record%2FWOS:000532474500013","View Full Record in Web of Science")</f>
        <v>View Full Record in Web of Science</v>
      </c>
    </row>
    <row r="859" spans="1:72" x14ac:dyDescent="0.15">
      <c r="A859" t="s">
        <v>72</v>
      </c>
      <c r="B859" t="s">
        <v>16419</v>
      </c>
      <c r="C859" t="s">
        <v>74</v>
      </c>
      <c r="D859" t="s">
        <v>74</v>
      </c>
      <c r="E859" t="s">
        <v>74</v>
      </c>
      <c r="F859" t="s">
        <v>16420</v>
      </c>
      <c r="G859" t="s">
        <v>74</v>
      </c>
      <c r="H859" t="s">
        <v>74</v>
      </c>
      <c r="I859" t="s">
        <v>16421</v>
      </c>
      <c r="J859" t="s">
        <v>13869</v>
      </c>
      <c r="K859" t="s">
        <v>74</v>
      </c>
      <c r="L859" t="s">
        <v>74</v>
      </c>
      <c r="M859" t="s">
        <v>78</v>
      </c>
      <c r="N859" t="s">
        <v>79</v>
      </c>
      <c r="O859" t="s">
        <v>74</v>
      </c>
      <c r="P859" t="s">
        <v>74</v>
      </c>
      <c r="Q859" t="s">
        <v>74</v>
      </c>
      <c r="R859" t="s">
        <v>74</v>
      </c>
      <c r="S859" t="s">
        <v>74</v>
      </c>
      <c r="T859" t="s">
        <v>16422</v>
      </c>
      <c r="U859" t="s">
        <v>16423</v>
      </c>
      <c r="V859" t="s">
        <v>16424</v>
      </c>
      <c r="W859" t="s">
        <v>16425</v>
      </c>
      <c r="X859" t="s">
        <v>16426</v>
      </c>
      <c r="Y859" t="s">
        <v>16427</v>
      </c>
      <c r="Z859" t="s">
        <v>13900</v>
      </c>
      <c r="AA859" t="s">
        <v>16428</v>
      </c>
      <c r="AB859" t="s">
        <v>16429</v>
      </c>
      <c r="AC859" t="s">
        <v>16430</v>
      </c>
      <c r="AD859" t="s">
        <v>16431</v>
      </c>
      <c r="AE859" t="s">
        <v>16432</v>
      </c>
      <c r="AF859" t="s">
        <v>74</v>
      </c>
      <c r="AG859">
        <v>30</v>
      </c>
      <c r="AH859">
        <v>3</v>
      </c>
      <c r="AI859">
        <v>3</v>
      </c>
      <c r="AJ859">
        <v>0</v>
      </c>
      <c r="AK859">
        <v>7</v>
      </c>
      <c r="AL859" t="s">
        <v>13881</v>
      </c>
      <c r="AM859" t="s">
        <v>13882</v>
      </c>
      <c r="AN859" t="s">
        <v>13883</v>
      </c>
      <c r="AO859" t="s">
        <v>13884</v>
      </c>
      <c r="AP859" t="s">
        <v>13885</v>
      </c>
      <c r="AQ859" t="s">
        <v>74</v>
      </c>
      <c r="AR859" t="s">
        <v>13886</v>
      </c>
      <c r="AS859" t="s">
        <v>13887</v>
      </c>
      <c r="AT859" t="s">
        <v>74</v>
      </c>
      <c r="AU859">
        <v>2020</v>
      </c>
      <c r="AV859">
        <v>48</v>
      </c>
      <c r="AW859">
        <v>2</v>
      </c>
      <c r="AX859" t="s">
        <v>74</v>
      </c>
      <c r="AY859" t="s">
        <v>74</v>
      </c>
      <c r="AZ859" t="s">
        <v>74</v>
      </c>
      <c r="BA859" t="s">
        <v>74</v>
      </c>
      <c r="BB859">
        <v>336</v>
      </c>
      <c r="BC859">
        <v>341</v>
      </c>
      <c r="BD859" t="s">
        <v>74</v>
      </c>
      <c r="BE859" t="s">
        <v>16433</v>
      </c>
      <c r="BF859" t="str">
        <f>HYPERLINK("http://dx.doi.org/10.3856/vol48-issue2-fulltext-2416","http://dx.doi.org/10.3856/vol48-issue2-fulltext-2416")</f>
        <v>http://dx.doi.org/10.3856/vol48-issue2-fulltext-2416</v>
      </c>
      <c r="BG859" t="s">
        <v>74</v>
      </c>
      <c r="BH859" t="s">
        <v>74</v>
      </c>
      <c r="BI859">
        <v>6</v>
      </c>
      <c r="BJ859" t="s">
        <v>735</v>
      </c>
      <c r="BK859" t="s">
        <v>103</v>
      </c>
      <c r="BL859" t="s">
        <v>735</v>
      </c>
      <c r="BM859" t="s">
        <v>16407</v>
      </c>
      <c r="BN859" t="s">
        <v>74</v>
      </c>
      <c r="BO859" t="s">
        <v>276</v>
      </c>
      <c r="BP859" t="s">
        <v>74</v>
      </c>
      <c r="BQ859" t="s">
        <v>74</v>
      </c>
      <c r="BR859" t="s">
        <v>106</v>
      </c>
      <c r="BS859" t="s">
        <v>16434</v>
      </c>
      <c r="BT859" t="str">
        <f>HYPERLINK("https%3A%2F%2Fwww.webofscience.com%2Fwos%2Fwoscc%2Ffull-record%2FWOS:000532474500016","View Full Record in Web of Science")</f>
        <v>View Full Record in Web of Science</v>
      </c>
    </row>
    <row r="860" spans="1:72" x14ac:dyDescent="0.15">
      <c r="A860" t="s">
        <v>72</v>
      </c>
      <c r="B860" t="s">
        <v>16435</v>
      </c>
      <c r="C860" t="s">
        <v>74</v>
      </c>
      <c r="D860" t="s">
        <v>74</v>
      </c>
      <c r="E860" t="s">
        <v>74</v>
      </c>
      <c r="F860" t="s">
        <v>16436</v>
      </c>
      <c r="G860" t="s">
        <v>74</v>
      </c>
      <c r="H860" t="s">
        <v>74</v>
      </c>
      <c r="I860" t="s">
        <v>16437</v>
      </c>
      <c r="J860" t="s">
        <v>13911</v>
      </c>
      <c r="K860" t="s">
        <v>74</v>
      </c>
      <c r="L860" t="s">
        <v>74</v>
      </c>
      <c r="M860" t="s">
        <v>78</v>
      </c>
      <c r="N860" t="s">
        <v>79</v>
      </c>
      <c r="O860" t="s">
        <v>74</v>
      </c>
      <c r="P860" t="s">
        <v>74</v>
      </c>
      <c r="Q860" t="s">
        <v>74</v>
      </c>
      <c r="R860" t="s">
        <v>74</v>
      </c>
      <c r="S860" t="s">
        <v>74</v>
      </c>
      <c r="T860" t="s">
        <v>16438</v>
      </c>
      <c r="U860" t="s">
        <v>16439</v>
      </c>
      <c r="V860" t="s">
        <v>16440</v>
      </c>
      <c r="W860" t="s">
        <v>16441</v>
      </c>
      <c r="X860" t="s">
        <v>3572</v>
      </c>
      <c r="Y860" t="s">
        <v>16442</v>
      </c>
      <c r="Z860" t="s">
        <v>16443</v>
      </c>
      <c r="AA860" t="s">
        <v>74</v>
      </c>
      <c r="AB860" t="s">
        <v>74</v>
      </c>
      <c r="AC860" t="s">
        <v>16444</v>
      </c>
      <c r="AD860" t="s">
        <v>16445</v>
      </c>
      <c r="AE860" t="s">
        <v>16446</v>
      </c>
      <c r="AF860" t="s">
        <v>74</v>
      </c>
      <c r="AG860">
        <v>98</v>
      </c>
      <c r="AH860">
        <v>6</v>
      </c>
      <c r="AI860">
        <v>8</v>
      </c>
      <c r="AJ860">
        <v>0</v>
      </c>
      <c r="AK860">
        <v>10</v>
      </c>
      <c r="AL860" t="s">
        <v>2627</v>
      </c>
      <c r="AM860" t="s">
        <v>2628</v>
      </c>
      <c r="AN860" t="s">
        <v>2629</v>
      </c>
      <c r="AO860" t="s">
        <v>13924</v>
      </c>
      <c r="AP860" t="s">
        <v>13925</v>
      </c>
      <c r="AQ860" t="s">
        <v>74</v>
      </c>
      <c r="AR860" t="s">
        <v>13926</v>
      </c>
      <c r="AS860" t="s">
        <v>13927</v>
      </c>
      <c r="AT860" t="s">
        <v>12161</v>
      </c>
      <c r="AU860">
        <v>2020</v>
      </c>
      <c r="AV860">
        <v>52</v>
      </c>
      <c r="AW860">
        <v>1</v>
      </c>
      <c r="AX860" t="s">
        <v>74</v>
      </c>
      <c r="AY860" t="s">
        <v>74</v>
      </c>
      <c r="AZ860" t="s">
        <v>74</v>
      </c>
      <c r="BA860" t="s">
        <v>74</v>
      </c>
      <c r="BB860">
        <v>130</v>
      </c>
      <c r="BC860">
        <v>145</v>
      </c>
      <c r="BD860" t="s">
        <v>74</v>
      </c>
      <c r="BE860" t="s">
        <v>16447</v>
      </c>
      <c r="BF860" t="str">
        <f>HYPERLINK("http://dx.doi.org/10.1080/15230430.2020.1741199","http://dx.doi.org/10.1080/15230430.2020.1741199")</f>
        <v>http://dx.doi.org/10.1080/15230430.2020.1741199</v>
      </c>
      <c r="BG860" t="s">
        <v>74</v>
      </c>
      <c r="BH860" t="s">
        <v>74</v>
      </c>
      <c r="BI860">
        <v>16</v>
      </c>
      <c r="BJ860" t="s">
        <v>13929</v>
      </c>
      <c r="BK860" t="s">
        <v>103</v>
      </c>
      <c r="BL860" t="s">
        <v>1828</v>
      </c>
      <c r="BM860" t="s">
        <v>16448</v>
      </c>
      <c r="BN860" t="s">
        <v>74</v>
      </c>
      <c r="BO860" t="s">
        <v>2592</v>
      </c>
      <c r="BP860" t="s">
        <v>74</v>
      </c>
      <c r="BQ860" t="s">
        <v>74</v>
      </c>
      <c r="BR860" t="s">
        <v>106</v>
      </c>
      <c r="BS860" t="s">
        <v>16449</v>
      </c>
      <c r="BT860" t="str">
        <f>HYPERLINK("https%3A%2F%2Fwww.webofscience.com%2Fwos%2Fwoscc%2Ffull-record%2FWOS:000529452300001","View Full Record in Web of Science")</f>
        <v>View Full Record in Web of Science</v>
      </c>
    </row>
    <row r="861" spans="1:72" x14ac:dyDescent="0.15">
      <c r="A861" t="s">
        <v>72</v>
      </c>
      <c r="B861" t="s">
        <v>16450</v>
      </c>
      <c r="C861" t="s">
        <v>74</v>
      </c>
      <c r="D861" t="s">
        <v>74</v>
      </c>
      <c r="E861" t="s">
        <v>74</v>
      </c>
      <c r="F861" t="s">
        <v>16451</v>
      </c>
      <c r="G861" t="s">
        <v>74</v>
      </c>
      <c r="H861" t="s">
        <v>74</v>
      </c>
      <c r="I861" t="s">
        <v>16452</v>
      </c>
      <c r="J861" t="s">
        <v>13911</v>
      </c>
      <c r="K861" t="s">
        <v>74</v>
      </c>
      <c r="L861" t="s">
        <v>74</v>
      </c>
      <c r="M861" t="s">
        <v>78</v>
      </c>
      <c r="N861" t="s">
        <v>79</v>
      </c>
      <c r="O861" t="s">
        <v>74</v>
      </c>
      <c r="P861" t="s">
        <v>74</v>
      </c>
      <c r="Q861" t="s">
        <v>74</v>
      </c>
      <c r="R861" t="s">
        <v>74</v>
      </c>
      <c r="S861" t="s">
        <v>74</v>
      </c>
      <c r="T861" t="s">
        <v>16453</v>
      </c>
      <c r="U861" t="s">
        <v>16454</v>
      </c>
      <c r="V861" t="s">
        <v>16455</v>
      </c>
      <c r="W861" t="s">
        <v>16456</v>
      </c>
      <c r="X861" t="s">
        <v>16457</v>
      </c>
      <c r="Y861" t="s">
        <v>16458</v>
      </c>
      <c r="Z861" t="s">
        <v>16459</v>
      </c>
      <c r="AA861" t="s">
        <v>16460</v>
      </c>
      <c r="AB861" t="s">
        <v>16461</v>
      </c>
      <c r="AC861" t="s">
        <v>16462</v>
      </c>
      <c r="AD861" t="s">
        <v>16463</v>
      </c>
      <c r="AE861" t="s">
        <v>16464</v>
      </c>
      <c r="AF861" t="s">
        <v>74</v>
      </c>
      <c r="AG861">
        <v>53</v>
      </c>
      <c r="AH861">
        <v>4</v>
      </c>
      <c r="AI861">
        <v>5</v>
      </c>
      <c r="AJ861">
        <v>3</v>
      </c>
      <c r="AK861">
        <v>16</v>
      </c>
      <c r="AL861" t="s">
        <v>2627</v>
      </c>
      <c r="AM861" t="s">
        <v>2628</v>
      </c>
      <c r="AN861" t="s">
        <v>2629</v>
      </c>
      <c r="AO861" t="s">
        <v>13924</v>
      </c>
      <c r="AP861" t="s">
        <v>13925</v>
      </c>
      <c r="AQ861" t="s">
        <v>74</v>
      </c>
      <c r="AR861" t="s">
        <v>13926</v>
      </c>
      <c r="AS861" t="s">
        <v>13927</v>
      </c>
      <c r="AT861" t="s">
        <v>12161</v>
      </c>
      <c r="AU861">
        <v>2020</v>
      </c>
      <c r="AV861">
        <v>52</v>
      </c>
      <c r="AW861">
        <v>1</v>
      </c>
      <c r="AX861" t="s">
        <v>74</v>
      </c>
      <c r="AY861" t="s">
        <v>74</v>
      </c>
      <c r="AZ861" t="s">
        <v>74</v>
      </c>
      <c r="BA861" t="s">
        <v>74</v>
      </c>
      <c r="BB861">
        <v>120</v>
      </c>
      <c r="BC861">
        <v>129</v>
      </c>
      <c r="BD861" t="s">
        <v>74</v>
      </c>
      <c r="BE861" t="s">
        <v>16465</v>
      </c>
      <c r="BF861" t="str">
        <f>HYPERLINK("http://dx.doi.org/10.1080/15230430.2020.1738824","http://dx.doi.org/10.1080/15230430.2020.1738824")</f>
        <v>http://dx.doi.org/10.1080/15230430.2020.1738824</v>
      </c>
      <c r="BG861" t="s">
        <v>74</v>
      </c>
      <c r="BH861" t="s">
        <v>74</v>
      </c>
      <c r="BI861">
        <v>10</v>
      </c>
      <c r="BJ861" t="s">
        <v>13929</v>
      </c>
      <c r="BK861" t="s">
        <v>103</v>
      </c>
      <c r="BL861" t="s">
        <v>1828</v>
      </c>
      <c r="BM861" t="s">
        <v>16466</v>
      </c>
      <c r="BN861" t="s">
        <v>74</v>
      </c>
      <c r="BO861" t="s">
        <v>2592</v>
      </c>
      <c r="BP861" t="s">
        <v>74</v>
      </c>
      <c r="BQ861" t="s">
        <v>74</v>
      </c>
      <c r="BR861" t="s">
        <v>106</v>
      </c>
      <c r="BS861" t="s">
        <v>16467</v>
      </c>
      <c r="BT861" t="str">
        <f>HYPERLINK("https%3A%2F%2Fwww.webofscience.com%2Fwos%2Fwoscc%2Ffull-record%2FWOS:000529021200001","View Full Record in Web of Science")</f>
        <v>View Full Record in Web of Science</v>
      </c>
    </row>
    <row r="862" spans="1:72" x14ac:dyDescent="0.15">
      <c r="A862" t="s">
        <v>72</v>
      </c>
      <c r="B862" t="s">
        <v>16468</v>
      </c>
      <c r="C862" t="s">
        <v>74</v>
      </c>
      <c r="D862" t="s">
        <v>74</v>
      </c>
      <c r="E862" t="s">
        <v>74</v>
      </c>
      <c r="F862" t="s">
        <v>16469</v>
      </c>
      <c r="G862" t="s">
        <v>74</v>
      </c>
      <c r="H862" t="s">
        <v>74</v>
      </c>
      <c r="I862" t="s">
        <v>16470</v>
      </c>
      <c r="J862" t="s">
        <v>16471</v>
      </c>
      <c r="K862" t="s">
        <v>74</v>
      </c>
      <c r="L862" t="s">
        <v>74</v>
      </c>
      <c r="M862" t="s">
        <v>78</v>
      </c>
      <c r="N862" t="s">
        <v>79</v>
      </c>
      <c r="O862" t="s">
        <v>74</v>
      </c>
      <c r="P862" t="s">
        <v>74</v>
      </c>
      <c r="Q862" t="s">
        <v>74</v>
      </c>
      <c r="R862" t="s">
        <v>74</v>
      </c>
      <c r="S862" t="s">
        <v>74</v>
      </c>
      <c r="T862" t="s">
        <v>16472</v>
      </c>
      <c r="U862" t="s">
        <v>16473</v>
      </c>
      <c r="V862" t="s">
        <v>16474</v>
      </c>
      <c r="W862" t="s">
        <v>16475</v>
      </c>
      <c r="X862" t="s">
        <v>8518</v>
      </c>
      <c r="Y862" t="s">
        <v>16476</v>
      </c>
      <c r="Z862" t="s">
        <v>16477</v>
      </c>
      <c r="AA862" t="s">
        <v>16478</v>
      </c>
      <c r="AB862" t="s">
        <v>16479</v>
      </c>
      <c r="AC862" t="s">
        <v>16480</v>
      </c>
      <c r="AD862" t="s">
        <v>16481</v>
      </c>
      <c r="AE862" t="s">
        <v>16482</v>
      </c>
      <c r="AF862" t="s">
        <v>74</v>
      </c>
      <c r="AG862">
        <v>14</v>
      </c>
      <c r="AH862">
        <v>0</v>
      </c>
      <c r="AI862">
        <v>0</v>
      </c>
      <c r="AJ862">
        <v>1</v>
      </c>
      <c r="AK862">
        <v>4</v>
      </c>
      <c r="AL862" t="s">
        <v>3839</v>
      </c>
      <c r="AM862" t="s">
        <v>166</v>
      </c>
      <c r="AN862" t="s">
        <v>3840</v>
      </c>
      <c r="AO862" t="s">
        <v>16483</v>
      </c>
      <c r="AP862" t="s">
        <v>16484</v>
      </c>
      <c r="AQ862" t="s">
        <v>74</v>
      </c>
      <c r="AR862" t="s">
        <v>16485</v>
      </c>
      <c r="AS862" t="s">
        <v>16486</v>
      </c>
      <c r="AT862" t="s">
        <v>1033</v>
      </c>
      <c r="AU862">
        <v>2020</v>
      </c>
      <c r="AV862">
        <v>490</v>
      </c>
      <c r="AW862">
        <v>1</v>
      </c>
      <c r="AX862" t="s">
        <v>74</v>
      </c>
      <c r="AY862" t="s">
        <v>74</v>
      </c>
      <c r="AZ862" t="s">
        <v>74</v>
      </c>
      <c r="BA862" t="s">
        <v>74</v>
      </c>
      <c r="BB862">
        <v>40</v>
      </c>
      <c r="BC862">
        <v>45</v>
      </c>
      <c r="BD862" t="s">
        <v>74</v>
      </c>
      <c r="BE862" t="s">
        <v>16487</v>
      </c>
      <c r="BF862" t="str">
        <f>HYPERLINK("http://dx.doi.org/10.1134/S1028334X20010043","http://dx.doi.org/10.1134/S1028334X20010043")</f>
        <v>http://dx.doi.org/10.1134/S1028334X20010043</v>
      </c>
      <c r="BG862" t="s">
        <v>74</v>
      </c>
      <c r="BH862" t="s">
        <v>74</v>
      </c>
      <c r="BI862">
        <v>6</v>
      </c>
      <c r="BJ862" t="s">
        <v>246</v>
      </c>
      <c r="BK862" t="s">
        <v>103</v>
      </c>
      <c r="BL862" t="s">
        <v>247</v>
      </c>
      <c r="BM862" t="s">
        <v>16488</v>
      </c>
      <c r="BN862" t="s">
        <v>74</v>
      </c>
      <c r="BO862" t="s">
        <v>74</v>
      </c>
      <c r="BP862" t="s">
        <v>74</v>
      </c>
      <c r="BQ862" t="s">
        <v>74</v>
      </c>
      <c r="BR862" t="s">
        <v>106</v>
      </c>
      <c r="BS862" t="s">
        <v>16489</v>
      </c>
      <c r="BT862" t="str">
        <f>HYPERLINK("https%3A%2F%2Fwww.webofscience.com%2Fwos%2Fwoscc%2Ffull-record%2FWOS:000528631600010","View Full Record in Web of Science")</f>
        <v>View Full Record in Web of Science</v>
      </c>
    </row>
    <row r="863" spans="1:72" x14ac:dyDescent="0.15">
      <c r="A863" t="s">
        <v>72</v>
      </c>
      <c r="B863" t="s">
        <v>16490</v>
      </c>
      <c r="C863" t="s">
        <v>74</v>
      </c>
      <c r="D863" t="s">
        <v>74</v>
      </c>
      <c r="E863" t="s">
        <v>74</v>
      </c>
      <c r="F863" t="s">
        <v>16491</v>
      </c>
      <c r="G863" t="s">
        <v>74</v>
      </c>
      <c r="H863" t="s">
        <v>74</v>
      </c>
      <c r="I863" t="s">
        <v>16492</v>
      </c>
      <c r="J863" t="s">
        <v>16493</v>
      </c>
      <c r="K863" t="s">
        <v>74</v>
      </c>
      <c r="L863" t="s">
        <v>74</v>
      </c>
      <c r="M863" t="s">
        <v>78</v>
      </c>
      <c r="N863" t="s">
        <v>79</v>
      </c>
      <c r="O863" t="s">
        <v>74</v>
      </c>
      <c r="P863" t="s">
        <v>74</v>
      </c>
      <c r="Q863" t="s">
        <v>74</v>
      </c>
      <c r="R863" t="s">
        <v>74</v>
      </c>
      <c r="S863" t="s">
        <v>74</v>
      </c>
      <c r="T863" t="s">
        <v>16494</v>
      </c>
      <c r="U863" t="s">
        <v>16495</v>
      </c>
      <c r="V863" t="s">
        <v>16496</v>
      </c>
      <c r="W863" t="s">
        <v>16497</v>
      </c>
      <c r="X863" t="s">
        <v>16498</v>
      </c>
      <c r="Y863" t="s">
        <v>16499</v>
      </c>
      <c r="Z863" t="s">
        <v>16500</v>
      </c>
      <c r="AA863" t="s">
        <v>16501</v>
      </c>
      <c r="AB863" t="s">
        <v>16502</v>
      </c>
      <c r="AC863" t="s">
        <v>16503</v>
      </c>
      <c r="AD863" t="s">
        <v>16504</v>
      </c>
      <c r="AE863" t="s">
        <v>16505</v>
      </c>
      <c r="AF863" t="s">
        <v>74</v>
      </c>
      <c r="AG863">
        <v>555</v>
      </c>
      <c r="AH863">
        <v>483</v>
      </c>
      <c r="AI863">
        <v>541</v>
      </c>
      <c r="AJ863">
        <v>52</v>
      </c>
      <c r="AK863">
        <v>386</v>
      </c>
      <c r="AL863" t="s">
        <v>16506</v>
      </c>
      <c r="AM863" t="s">
        <v>16507</v>
      </c>
      <c r="AN863" t="s">
        <v>16508</v>
      </c>
      <c r="AO863" t="s">
        <v>16509</v>
      </c>
      <c r="AP863" t="s">
        <v>16510</v>
      </c>
      <c r="AQ863" t="s">
        <v>74</v>
      </c>
      <c r="AR863" t="s">
        <v>16493</v>
      </c>
      <c r="AS863" t="s">
        <v>16511</v>
      </c>
      <c r="AT863" t="s">
        <v>74</v>
      </c>
      <c r="AU863">
        <v>2020</v>
      </c>
      <c r="AV863">
        <v>11</v>
      </c>
      <c r="AW863">
        <v>1</v>
      </c>
      <c r="AX863" t="s">
        <v>74</v>
      </c>
      <c r="AY863" t="s">
        <v>74</v>
      </c>
      <c r="AZ863" t="s">
        <v>74</v>
      </c>
      <c r="BA863" t="s">
        <v>74</v>
      </c>
      <c r="BB863">
        <v>1060</v>
      </c>
      <c r="BC863">
        <v>1456</v>
      </c>
      <c r="BD863" t="s">
        <v>74</v>
      </c>
      <c r="BE863" t="s">
        <v>16512</v>
      </c>
      <c r="BF863" t="str">
        <f>HYPERLINK("http://dx.doi.org/10.5943/mycosphere/11/1/8","http://dx.doi.org/10.5943/mycosphere/11/1/8")</f>
        <v>http://dx.doi.org/10.5943/mycosphere/11/1/8</v>
      </c>
      <c r="BG863" t="s">
        <v>74</v>
      </c>
      <c r="BH863" t="s">
        <v>74</v>
      </c>
      <c r="BI863">
        <v>397</v>
      </c>
      <c r="BJ863" t="s">
        <v>16513</v>
      </c>
      <c r="BK863" t="s">
        <v>103</v>
      </c>
      <c r="BL863" t="s">
        <v>16513</v>
      </c>
      <c r="BM863" t="s">
        <v>16514</v>
      </c>
      <c r="BN863" t="s">
        <v>74</v>
      </c>
      <c r="BO863" t="s">
        <v>2655</v>
      </c>
      <c r="BP863" t="s">
        <v>1869</v>
      </c>
      <c r="BQ863" t="s">
        <v>1870</v>
      </c>
      <c r="BR863" t="s">
        <v>106</v>
      </c>
      <c r="BS863" t="s">
        <v>16515</v>
      </c>
      <c r="BT863" t="str">
        <f>HYPERLINK("https%3A%2F%2Fwww.webofscience.com%2Fwos%2Fwoscc%2Ffull-record%2FWOS:000527631600001","View Full Record in Web of Science")</f>
        <v>View Full Record in Web of Science</v>
      </c>
    </row>
    <row r="864" spans="1:72" x14ac:dyDescent="0.15">
      <c r="A864" t="s">
        <v>72</v>
      </c>
      <c r="B864" t="s">
        <v>16516</v>
      </c>
      <c r="C864" t="s">
        <v>74</v>
      </c>
      <c r="D864" t="s">
        <v>74</v>
      </c>
      <c r="E864" t="s">
        <v>74</v>
      </c>
      <c r="F864" t="s">
        <v>16517</v>
      </c>
      <c r="G864" t="s">
        <v>74</v>
      </c>
      <c r="H864" t="s">
        <v>74</v>
      </c>
      <c r="I864" t="s">
        <v>16518</v>
      </c>
      <c r="J864" t="s">
        <v>15270</v>
      </c>
      <c r="K864" t="s">
        <v>74</v>
      </c>
      <c r="L864" t="s">
        <v>74</v>
      </c>
      <c r="M864" t="s">
        <v>78</v>
      </c>
      <c r="N864" t="s">
        <v>79</v>
      </c>
      <c r="O864" t="s">
        <v>74</v>
      </c>
      <c r="P864" t="s">
        <v>74</v>
      </c>
      <c r="Q864" t="s">
        <v>74</v>
      </c>
      <c r="R864" t="s">
        <v>74</v>
      </c>
      <c r="S864" t="s">
        <v>74</v>
      </c>
      <c r="T864" t="s">
        <v>16519</v>
      </c>
      <c r="U864" t="s">
        <v>16520</v>
      </c>
      <c r="V864" t="s">
        <v>16521</v>
      </c>
      <c r="W864" t="s">
        <v>16522</v>
      </c>
      <c r="X864" t="s">
        <v>16523</v>
      </c>
      <c r="Y864" t="s">
        <v>16524</v>
      </c>
      <c r="Z864" t="s">
        <v>16525</v>
      </c>
      <c r="AA864" t="s">
        <v>16526</v>
      </c>
      <c r="AB864" t="s">
        <v>16527</v>
      </c>
      <c r="AC864" t="s">
        <v>16528</v>
      </c>
      <c r="AD864" t="s">
        <v>16529</v>
      </c>
      <c r="AE864" t="s">
        <v>16530</v>
      </c>
      <c r="AF864" t="s">
        <v>74</v>
      </c>
      <c r="AG864">
        <v>67</v>
      </c>
      <c r="AH864">
        <v>18</v>
      </c>
      <c r="AI864">
        <v>18</v>
      </c>
      <c r="AJ864">
        <v>0</v>
      </c>
      <c r="AK864">
        <v>9</v>
      </c>
      <c r="AL864" t="s">
        <v>9590</v>
      </c>
      <c r="AM864" t="s">
        <v>9591</v>
      </c>
      <c r="AN864" t="s">
        <v>9592</v>
      </c>
      <c r="AO864" t="s">
        <v>15283</v>
      </c>
      <c r="AP864" t="s">
        <v>15284</v>
      </c>
      <c r="AQ864" t="s">
        <v>74</v>
      </c>
      <c r="AR864" t="s">
        <v>15285</v>
      </c>
      <c r="AS864" t="s">
        <v>15286</v>
      </c>
      <c r="AT864" t="s">
        <v>74</v>
      </c>
      <c r="AU864">
        <v>2020</v>
      </c>
      <c r="AV864">
        <v>13</v>
      </c>
      <c r="AW864" t="s">
        <v>74</v>
      </c>
      <c r="AX864" t="s">
        <v>74</v>
      </c>
      <c r="AY864" t="s">
        <v>74</v>
      </c>
      <c r="AZ864" t="s">
        <v>74</v>
      </c>
      <c r="BA864" t="s">
        <v>74</v>
      </c>
      <c r="BB864">
        <v>1082</v>
      </c>
      <c r="BC864">
        <v>1096</v>
      </c>
      <c r="BD864" t="s">
        <v>74</v>
      </c>
      <c r="BE864" t="s">
        <v>16531</v>
      </c>
      <c r="BF864" t="str">
        <f>HYPERLINK("http://dx.doi.org/10.1109/JSTARS.2020.2966432","http://dx.doi.org/10.1109/JSTARS.2020.2966432")</f>
        <v>http://dx.doi.org/10.1109/JSTARS.2020.2966432</v>
      </c>
      <c r="BG864" t="s">
        <v>74</v>
      </c>
      <c r="BH864" t="s">
        <v>74</v>
      </c>
      <c r="BI864">
        <v>15</v>
      </c>
      <c r="BJ864" t="s">
        <v>15288</v>
      </c>
      <c r="BK864" t="s">
        <v>103</v>
      </c>
      <c r="BL864" t="s">
        <v>15289</v>
      </c>
      <c r="BM864" t="s">
        <v>16532</v>
      </c>
      <c r="BN864" t="s">
        <v>74</v>
      </c>
      <c r="BO864" t="s">
        <v>5395</v>
      </c>
      <c r="BP864" t="s">
        <v>74</v>
      </c>
      <c r="BQ864" t="s">
        <v>74</v>
      </c>
      <c r="BR864" t="s">
        <v>106</v>
      </c>
      <c r="BS864" t="s">
        <v>16533</v>
      </c>
      <c r="BT864" t="str">
        <f>HYPERLINK("https%3A%2F%2Fwww.webofscience.com%2Fwos%2Fwoscc%2Ffull-record%2FWOS:000527684700001","View Full Record in Web of Science")</f>
        <v>View Full Record in Web of Science</v>
      </c>
    </row>
    <row r="865" spans="1:72" x14ac:dyDescent="0.15">
      <c r="A865" t="s">
        <v>72</v>
      </c>
      <c r="B865" t="s">
        <v>16534</v>
      </c>
      <c r="C865" t="s">
        <v>74</v>
      </c>
      <c r="D865" t="s">
        <v>74</v>
      </c>
      <c r="E865" t="s">
        <v>74</v>
      </c>
      <c r="F865" t="s">
        <v>16535</v>
      </c>
      <c r="G865" t="s">
        <v>74</v>
      </c>
      <c r="H865" t="s">
        <v>74</v>
      </c>
      <c r="I865" t="s">
        <v>16536</v>
      </c>
      <c r="J865" t="s">
        <v>16537</v>
      </c>
      <c r="K865" t="s">
        <v>74</v>
      </c>
      <c r="L865" t="s">
        <v>74</v>
      </c>
      <c r="M865" t="s">
        <v>78</v>
      </c>
      <c r="N865" t="s">
        <v>79</v>
      </c>
      <c r="O865" t="s">
        <v>74</v>
      </c>
      <c r="P865" t="s">
        <v>74</v>
      </c>
      <c r="Q865" t="s">
        <v>74</v>
      </c>
      <c r="R865" t="s">
        <v>74</v>
      </c>
      <c r="S865" t="s">
        <v>74</v>
      </c>
      <c r="T865" t="s">
        <v>16538</v>
      </c>
      <c r="U865" t="s">
        <v>74</v>
      </c>
      <c r="V865" t="s">
        <v>16539</v>
      </c>
      <c r="W865" t="s">
        <v>16540</v>
      </c>
      <c r="X865" t="s">
        <v>16541</v>
      </c>
      <c r="Y865" t="s">
        <v>16542</v>
      </c>
      <c r="Z865" t="s">
        <v>16543</v>
      </c>
      <c r="AA865" t="s">
        <v>16544</v>
      </c>
      <c r="AB865" t="s">
        <v>16545</v>
      </c>
      <c r="AC865" t="s">
        <v>16546</v>
      </c>
      <c r="AD865" t="s">
        <v>16547</v>
      </c>
      <c r="AE865" t="s">
        <v>16548</v>
      </c>
      <c r="AF865" t="s">
        <v>74</v>
      </c>
      <c r="AG865">
        <v>15</v>
      </c>
      <c r="AH865">
        <v>2</v>
      </c>
      <c r="AI865">
        <v>2</v>
      </c>
      <c r="AJ865">
        <v>0</v>
      </c>
      <c r="AK865">
        <v>4</v>
      </c>
      <c r="AL865" t="s">
        <v>16549</v>
      </c>
      <c r="AM865" t="s">
        <v>16550</v>
      </c>
      <c r="AN865" t="s">
        <v>16551</v>
      </c>
      <c r="AO865" t="s">
        <v>16552</v>
      </c>
      <c r="AP865" t="s">
        <v>16553</v>
      </c>
      <c r="AQ865" t="s">
        <v>74</v>
      </c>
      <c r="AR865" t="s">
        <v>16554</v>
      </c>
      <c r="AS865" t="s">
        <v>16555</v>
      </c>
      <c r="AT865" t="s">
        <v>74</v>
      </c>
      <c r="AU865">
        <v>2020</v>
      </c>
      <c r="AV865">
        <v>27</v>
      </c>
      <c r="AW865">
        <v>1</v>
      </c>
      <c r="AX865" t="s">
        <v>74</v>
      </c>
      <c r="AY865" t="s">
        <v>74</v>
      </c>
      <c r="AZ865" t="s">
        <v>74</v>
      </c>
      <c r="BA865" t="s">
        <v>74</v>
      </c>
      <c r="BB865">
        <v>60</v>
      </c>
      <c r="BC865">
        <v>68</v>
      </c>
      <c r="BD865" t="s">
        <v>74</v>
      </c>
      <c r="BE865" t="s">
        <v>16556</v>
      </c>
      <c r="BF865" t="str">
        <f>HYPERLINK("http://dx.doi.org/10.22449/1573-160X-2020-1-60-68","http://dx.doi.org/10.22449/1573-160X-2020-1-60-68")</f>
        <v>http://dx.doi.org/10.22449/1573-160X-2020-1-60-68</v>
      </c>
      <c r="BG865" t="s">
        <v>74</v>
      </c>
      <c r="BH865" t="s">
        <v>74</v>
      </c>
      <c r="BI865">
        <v>9</v>
      </c>
      <c r="BJ865" t="s">
        <v>639</v>
      </c>
      <c r="BK865" t="s">
        <v>274</v>
      </c>
      <c r="BL865" t="s">
        <v>639</v>
      </c>
      <c r="BM865" t="s">
        <v>16557</v>
      </c>
      <c r="BN865" t="s">
        <v>74</v>
      </c>
      <c r="BO865" t="s">
        <v>2592</v>
      </c>
      <c r="BP865" t="s">
        <v>74</v>
      </c>
      <c r="BQ865" t="s">
        <v>74</v>
      </c>
      <c r="BR865" t="s">
        <v>106</v>
      </c>
      <c r="BS865" t="s">
        <v>16558</v>
      </c>
      <c r="BT865" t="str">
        <f>HYPERLINK("https%3A%2F%2Fwww.webofscience.com%2Fwos%2Fwoscc%2Ffull-record%2FWOS:000527267800006","View Full Record in Web of Science")</f>
        <v>View Full Record in Web of Science</v>
      </c>
    </row>
    <row r="866" spans="1:72" x14ac:dyDescent="0.15">
      <c r="A866" t="s">
        <v>72</v>
      </c>
      <c r="B866" t="s">
        <v>16559</v>
      </c>
      <c r="C866" t="s">
        <v>74</v>
      </c>
      <c r="D866" t="s">
        <v>74</v>
      </c>
      <c r="E866" t="s">
        <v>74</v>
      </c>
      <c r="F866" t="s">
        <v>16560</v>
      </c>
      <c r="G866" t="s">
        <v>74</v>
      </c>
      <c r="H866" t="s">
        <v>74</v>
      </c>
      <c r="I866" t="s">
        <v>16561</v>
      </c>
      <c r="J866" t="s">
        <v>8216</v>
      </c>
      <c r="K866" t="s">
        <v>74</v>
      </c>
      <c r="L866" t="s">
        <v>74</v>
      </c>
      <c r="M866" t="s">
        <v>78</v>
      </c>
      <c r="N866" t="s">
        <v>1434</v>
      </c>
      <c r="O866" t="s">
        <v>74</v>
      </c>
      <c r="P866" t="s">
        <v>74</v>
      </c>
      <c r="Q866" t="s">
        <v>74</v>
      </c>
      <c r="R866" t="s">
        <v>74</v>
      </c>
      <c r="S866" t="s">
        <v>74</v>
      </c>
      <c r="T866" t="s">
        <v>16562</v>
      </c>
      <c r="U866" t="s">
        <v>16563</v>
      </c>
      <c r="V866" t="s">
        <v>16564</v>
      </c>
      <c r="W866" t="s">
        <v>16565</v>
      </c>
      <c r="X866" t="s">
        <v>16566</v>
      </c>
      <c r="Y866" t="s">
        <v>16567</v>
      </c>
      <c r="Z866" t="s">
        <v>16568</v>
      </c>
      <c r="AA866" t="s">
        <v>16569</v>
      </c>
      <c r="AB866" t="s">
        <v>16570</v>
      </c>
      <c r="AC866" t="s">
        <v>16571</v>
      </c>
      <c r="AD866" t="s">
        <v>16572</v>
      </c>
      <c r="AE866" t="s">
        <v>16573</v>
      </c>
      <c r="AF866" t="s">
        <v>74</v>
      </c>
      <c r="AG866">
        <v>116</v>
      </c>
      <c r="AH866">
        <v>29</v>
      </c>
      <c r="AI866">
        <v>29</v>
      </c>
      <c r="AJ866">
        <v>10</v>
      </c>
      <c r="AK866">
        <v>113</v>
      </c>
      <c r="AL866" t="s">
        <v>4959</v>
      </c>
      <c r="AM866" t="s">
        <v>435</v>
      </c>
      <c r="AN866" t="s">
        <v>4960</v>
      </c>
      <c r="AO866" t="s">
        <v>8229</v>
      </c>
      <c r="AP866" t="s">
        <v>8230</v>
      </c>
      <c r="AQ866" t="s">
        <v>74</v>
      </c>
      <c r="AR866" t="s">
        <v>8231</v>
      </c>
      <c r="AS866" t="s">
        <v>8232</v>
      </c>
      <c r="AT866" t="s">
        <v>1033</v>
      </c>
      <c r="AU866">
        <v>2020</v>
      </c>
      <c r="AV866">
        <v>241</v>
      </c>
      <c r="AW866" t="s">
        <v>74</v>
      </c>
      <c r="AX866" t="s">
        <v>74</v>
      </c>
      <c r="AY866" t="s">
        <v>74</v>
      </c>
      <c r="AZ866" t="s">
        <v>74</v>
      </c>
      <c r="BA866" t="s">
        <v>74</v>
      </c>
      <c r="BB866" t="s">
        <v>74</v>
      </c>
      <c r="BC866" t="s">
        <v>74</v>
      </c>
      <c r="BD866">
        <v>108216</v>
      </c>
      <c r="BE866" t="s">
        <v>16574</v>
      </c>
      <c r="BF866" t="str">
        <f>HYPERLINK("http://dx.doi.org/10.1016/j.biocon.2019.108216","http://dx.doi.org/10.1016/j.biocon.2019.108216")</f>
        <v>http://dx.doi.org/10.1016/j.biocon.2019.108216</v>
      </c>
      <c r="BG866" t="s">
        <v>74</v>
      </c>
      <c r="BH866" t="s">
        <v>74</v>
      </c>
      <c r="BI866">
        <v>11</v>
      </c>
      <c r="BJ866" t="s">
        <v>784</v>
      </c>
      <c r="BK866" t="s">
        <v>103</v>
      </c>
      <c r="BL866" t="s">
        <v>131</v>
      </c>
      <c r="BM866" t="s">
        <v>16575</v>
      </c>
      <c r="BN866" t="s">
        <v>74</v>
      </c>
      <c r="BO866" t="s">
        <v>16576</v>
      </c>
      <c r="BP866" t="s">
        <v>74</v>
      </c>
      <c r="BQ866" t="s">
        <v>74</v>
      </c>
      <c r="BR866" t="s">
        <v>106</v>
      </c>
      <c r="BS866" t="s">
        <v>16577</v>
      </c>
      <c r="BT866" t="str">
        <f>HYPERLINK("https%3A%2F%2Fwww.webofscience.com%2Fwos%2Fwoscc%2Ffull-record%2FWOS:000518695100077","View Full Record in Web of Science")</f>
        <v>View Full Record in Web of Science</v>
      </c>
    </row>
    <row r="867" spans="1:72" x14ac:dyDescent="0.15">
      <c r="A867" t="s">
        <v>72</v>
      </c>
      <c r="B867" t="s">
        <v>16578</v>
      </c>
      <c r="C867" t="s">
        <v>74</v>
      </c>
      <c r="D867" t="s">
        <v>74</v>
      </c>
      <c r="E867" t="s">
        <v>74</v>
      </c>
      <c r="F867" t="s">
        <v>16579</v>
      </c>
      <c r="G867" t="s">
        <v>74</v>
      </c>
      <c r="H867" t="s">
        <v>74</v>
      </c>
      <c r="I867" t="s">
        <v>16580</v>
      </c>
      <c r="J867" t="s">
        <v>16581</v>
      </c>
      <c r="K867" t="s">
        <v>74</v>
      </c>
      <c r="L867" t="s">
        <v>74</v>
      </c>
      <c r="M867" t="s">
        <v>78</v>
      </c>
      <c r="N867" t="s">
        <v>79</v>
      </c>
      <c r="O867" t="s">
        <v>74</v>
      </c>
      <c r="P867" t="s">
        <v>74</v>
      </c>
      <c r="Q867" t="s">
        <v>74</v>
      </c>
      <c r="R867" t="s">
        <v>74</v>
      </c>
      <c r="S867" t="s">
        <v>74</v>
      </c>
      <c r="T867" t="s">
        <v>16582</v>
      </c>
      <c r="U867" t="s">
        <v>16583</v>
      </c>
      <c r="V867" t="s">
        <v>16584</v>
      </c>
      <c r="W867" t="s">
        <v>16585</v>
      </c>
      <c r="X867" t="s">
        <v>16586</v>
      </c>
      <c r="Y867" t="s">
        <v>16587</v>
      </c>
      <c r="Z867" t="s">
        <v>16588</v>
      </c>
      <c r="AA867" t="s">
        <v>74</v>
      </c>
      <c r="AB867" t="s">
        <v>74</v>
      </c>
      <c r="AC867" t="s">
        <v>16589</v>
      </c>
      <c r="AD867" t="s">
        <v>16590</v>
      </c>
      <c r="AE867" t="s">
        <v>16591</v>
      </c>
      <c r="AF867" t="s">
        <v>74</v>
      </c>
      <c r="AG867">
        <v>178</v>
      </c>
      <c r="AH867">
        <v>12</v>
      </c>
      <c r="AI867">
        <v>12</v>
      </c>
      <c r="AJ867">
        <v>0</v>
      </c>
      <c r="AK867">
        <v>5</v>
      </c>
      <c r="AL867" t="s">
        <v>16592</v>
      </c>
      <c r="AM867" t="s">
        <v>15258</v>
      </c>
      <c r="AN867" t="s">
        <v>16593</v>
      </c>
      <c r="AO867" t="s">
        <v>16594</v>
      </c>
      <c r="AP867" t="s">
        <v>74</v>
      </c>
      <c r="AQ867" t="s">
        <v>74</v>
      </c>
      <c r="AR867" t="s">
        <v>16595</v>
      </c>
      <c r="AS867" t="s">
        <v>16596</v>
      </c>
      <c r="AT867" t="s">
        <v>1033</v>
      </c>
      <c r="AU867">
        <v>2020</v>
      </c>
      <c r="AV867">
        <v>12</v>
      </c>
      <c r="AW867">
        <v>1</v>
      </c>
      <c r="AX867" t="s">
        <v>74</v>
      </c>
      <c r="AY867" t="s">
        <v>74</v>
      </c>
      <c r="AZ867" t="s">
        <v>74</v>
      </c>
      <c r="BA867" t="s">
        <v>74</v>
      </c>
      <c r="BB867">
        <v>85</v>
      </c>
      <c r="BC867">
        <v>116</v>
      </c>
      <c r="BD867" t="s">
        <v>74</v>
      </c>
      <c r="BE867" t="s">
        <v>16597</v>
      </c>
      <c r="BF867" t="str">
        <f>HYPERLINK("http://dx.doi.org/10.1515/geo-2020-0007","http://dx.doi.org/10.1515/geo-2020-0007")</f>
        <v>http://dx.doi.org/10.1515/geo-2020-0007</v>
      </c>
      <c r="BG867" t="s">
        <v>74</v>
      </c>
      <c r="BH867" t="s">
        <v>74</v>
      </c>
      <c r="BI867">
        <v>32</v>
      </c>
      <c r="BJ867" t="s">
        <v>246</v>
      </c>
      <c r="BK867" t="s">
        <v>103</v>
      </c>
      <c r="BL867" t="s">
        <v>247</v>
      </c>
      <c r="BM867" t="s">
        <v>16598</v>
      </c>
      <c r="BN867" t="s">
        <v>74</v>
      </c>
      <c r="BO867" t="s">
        <v>2592</v>
      </c>
      <c r="BP867" t="s">
        <v>74</v>
      </c>
      <c r="BQ867" t="s">
        <v>74</v>
      </c>
      <c r="BR867" t="s">
        <v>106</v>
      </c>
      <c r="BS867" t="s">
        <v>16599</v>
      </c>
      <c r="BT867" t="str">
        <f>HYPERLINK("https%3A%2F%2Fwww.webofscience.com%2Fwos%2Fwoscc%2Ffull-record%2FWOS:000526178800001","View Full Record in Web of Science")</f>
        <v>View Full Record in Web of Science</v>
      </c>
    </row>
    <row r="868" spans="1:72" x14ac:dyDescent="0.15">
      <c r="A868" t="s">
        <v>72</v>
      </c>
      <c r="B868" t="s">
        <v>16600</v>
      </c>
      <c r="C868" t="s">
        <v>74</v>
      </c>
      <c r="D868" t="s">
        <v>74</v>
      </c>
      <c r="E868" t="s">
        <v>74</v>
      </c>
      <c r="F868" t="s">
        <v>16601</v>
      </c>
      <c r="G868" t="s">
        <v>74</v>
      </c>
      <c r="H868" t="s">
        <v>74</v>
      </c>
      <c r="I868" t="s">
        <v>16602</v>
      </c>
      <c r="J868" t="s">
        <v>16603</v>
      </c>
      <c r="K868" t="s">
        <v>74</v>
      </c>
      <c r="L868" t="s">
        <v>74</v>
      </c>
      <c r="M868" t="s">
        <v>78</v>
      </c>
      <c r="N868" t="s">
        <v>79</v>
      </c>
      <c r="O868" t="s">
        <v>74</v>
      </c>
      <c r="P868" t="s">
        <v>74</v>
      </c>
      <c r="Q868" t="s">
        <v>74</v>
      </c>
      <c r="R868" t="s">
        <v>74</v>
      </c>
      <c r="S868" t="s">
        <v>74</v>
      </c>
      <c r="T868" t="s">
        <v>16604</v>
      </c>
      <c r="U868" t="s">
        <v>16605</v>
      </c>
      <c r="V868" t="s">
        <v>16606</v>
      </c>
      <c r="W868" t="s">
        <v>16607</v>
      </c>
      <c r="X868" t="s">
        <v>16608</v>
      </c>
      <c r="Y868" t="s">
        <v>16609</v>
      </c>
      <c r="Z868" t="s">
        <v>16610</v>
      </c>
      <c r="AA868" t="s">
        <v>16611</v>
      </c>
      <c r="AB868" t="s">
        <v>16612</v>
      </c>
      <c r="AC868" t="s">
        <v>16613</v>
      </c>
      <c r="AD868" t="s">
        <v>16614</v>
      </c>
      <c r="AE868" t="s">
        <v>16615</v>
      </c>
      <c r="AF868" t="s">
        <v>74</v>
      </c>
      <c r="AG868">
        <v>61</v>
      </c>
      <c r="AH868">
        <v>10</v>
      </c>
      <c r="AI868">
        <v>10</v>
      </c>
      <c r="AJ868">
        <v>4</v>
      </c>
      <c r="AK868">
        <v>14</v>
      </c>
      <c r="AL868" t="s">
        <v>2627</v>
      </c>
      <c r="AM868" t="s">
        <v>2628</v>
      </c>
      <c r="AN868" t="s">
        <v>2629</v>
      </c>
      <c r="AO868" t="s">
        <v>74</v>
      </c>
      <c r="AP868" t="s">
        <v>16616</v>
      </c>
      <c r="AQ868" t="s">
        <v>74</v>
      </c>
      <c r="AR868" t="s">
        <v>16617</v>
      </c>
      <c r="AS868" t="s">
        <v>16618</v>
      </c>
      <c r="AT868" t="s">
        <v>12161</v>
      </c>
      <c r="AU868">
        <v>2020</v>
      </c>
      <c r="AV868">
        <v>72</v>
      </c>
      <c r="AW868">
        <v>1</v>
      </c>
      <c r="AX868" t="s">
        <v>74</v>
      </c>
      <c r="AY868" t="s">
        <v>74</v>
      </c>
      <c r="AZ868" t="s">
        <v>74</v>
      </c>
      <c r="BA868" t="s">
        <v>74</v>
      </c>
      <c r="BB868" t="s">
        <v>74</v>
      </c>
      <c r="BC868" t="s">
        <v>74</v>
      </c>
      <c r="BD868">
        <v>1746604</v>
      </c>
      <c r="BE868" t="s">
        <v>16619</v>
      </c>
      <c r="BF868" t="str">
        <f>HYPERLINK("http://dx.doi.org/10.1080/16000870.2020.1746604","http://dx.doi.org/10.1080/16000870.2020.1746604")</f>
        <v>http://dx.doi.org/10.1080/16000870.2020.1746604</v>
      </c>
      <c r="BG868" t="s">
        <v>74</v>
      </c>
      <c r="BH868" t="s">
        <v>74</v>
      </c>
      <c r="BI868">
        <v>15</v>
      </c>
      <c r="BJ868" t="s">
        <v>1766</v>
      </c>
      <c r="BK868" t="s">
        <v>103</v>
      </c>
      <c r="BL868" t="s">
        <v>1766</v>
      </c>
      <c r="BM868" t="s">
        <v>16620</v>
      </c>
      <c r="BN868" t="s">
        <v>74</v>
      </c>
      <c r="BO868" t="s">
        <v>2592</v>
      </c>
      <c r="BP868" t="s">
        <v>74</v>
      </c>
      <c r="BQ868" t="s">
        <v>74</v>
      </c>
      <c r="BR868" t="s">
        <v>106</v>
      </c>
      <c r="BS868" t="s">
        <v>16621</v>
      </c>
      <c r="BT868" t="str">
        <f>HYPERLINK("https%3A%2F%2Fwww.webofscience.com%2Fwos%2Fwoscc%2Ffull-record%2FWOS:000526438400001","View Full Record in Web of Science")</f>
        <v>View Full Record in Web of Science</v>
      </c>
    </row>
    <row r="869" spans="1:72" x14ac:dyDescent="0.15">
      <c r="A869" t="s">
        <v>72</v>
      </c>
      <c r="B869" t="s">
        <v>16622</v>
      </c>
      <c r="C869" t="s">
        <v>74</v>
      </c>
      <c r="D869" t="s">
        <v>74</v>
      </c>
      <c r="E869" t="s">
        <v>74</v>
      </c>
      <c r="F869" t="s">
        <v>16623</v>
      </c>
      <c r="G869" t="s">
        <v>74</v>
      </c>
      <c r="H869" t="s">
        <v>74</v>
      </c>
      <c r="I869" t="s">
        <v>16624</v>
      </c>
      <c r="J869" t="s">
        <v>4204</v>
      </c>
      <c r="K869" t="s">
        <v>74</v>
      </c>
      <c r="L869" t="s">
        <v>74</v>
      </c>
      <c r="M869" t="s">
        <v>78</v>
      </c>
      <c r="N869" t="s">
        <v>1787</v>
      </c>
      <c r="O869" t="s">
        <v>74</v>
      </c>
      <c r="P869" t="s">
        <v>74</v>
      </c>
      <c r="Q869" t="s">
        <v>74</v>
      </c>
      <c r="R869" t="s">
        <v>74</v>
      </c>
      <c r="S869" t="s">
        <v>74</v>
      </c>
      <c r="T869" t="s">
        <v>16625</v>
      </c>
      <c r="U869" t="s">
        <v>16626</v>
      </c>
      <c r="V869" t="s">
        <v>16627</v>
      </c>
      <c r="W869" t="s">
        <v>16628</v>
      </c>
      <c r="X869" t="s">
        <v>16629</v>
      </c>
      <c r="Y869" t="s">
        <v>16630</v>
      </c>
      <c r="Z869" t="s">
        <v>16631</v>
      </c>
      <c r="AA869" t="s">
        <v>16632</v>
      </c>
      <c r="AB869" t="s">
        <v>16633</v>
      </c>
      <c r="AC869" t="s">
        <v>16634</v>
      </c>
      <c r="AD869" t="s">
        <v>16635</v>
      </c>
      <c r="AE869" t="s">
        <v>16636</v>
      </c>
      <c r="AF869" t="s">
        <v>74</v>
      </c>
      <c r="AG869">
        <v>69</v>
      </c>
      <c r="AH869">
        <v>32</v>
      </c>
      <c r="AI869">
        <v>32</v>
      </c>
      <c r="AJ869">
        <v>1</v>
      </c>
      <c r="AK869">
        <v>50</v>
      </c>
      <c r="AL869" t="s">
        <v>1055</v>
      </c>
      <c r="AM869" t="s">
        <v>435</v>
      </c>
      <c r="AN869" t="s">
        <v>1056</v>
      </c>
      <c r="AO869" t="s">
        <v>4210</v>
      </c>
      <c r="AP869" t="s">
        <v>74</v>
      </c>
      <c r="AQ869" t="s">
        <v>74</v>
      </c>
      <c r="AR869" t="s">
        <v>4204</v>
      </c>
      <c r="AS869" t="s">
        <v>4211</v>
      </c>
      <c r="AT869" t="s">
        <v>1033</v>
      </c>
      <c r="AU869">
        <v>2020</v>
      </c>
      <c r="AV869">
        <v>9</v>
      </c>
      <c r="AW869">
        <v>1</v>
      </c>
      <c r="AX869" t="s">
        <v>74</v>
      </c>
      <c r="AY869" t="s">
        <v>74</v>
      </c>
      <c r="AZ869" t="s">
        <v>74</v>
      </c>
      <c r="BA869" t="s">
        <v>74</v>
      </c>
      <c r="BB869" t="s">
        <v>74</v>
      </c>
      <c r="BC869" t="s">
        <v>74</v>
      </c>
      <c r="BD869" t="s">
        <v>16637</v>
      </c>
      <c r="BE869" t="s">
        <v>16638</v>
      </c>
      <c r="BF869" t="str">
        <f>HYPERLINK("http://dx.doi.org/10.1093/gigascience/giz152","http://dx.doi.org/10.1093/gigascience/giz152")</f>
        <v>http://dx.doi.org/10.1093/gigascience/giz152</v>
      </c>
      <c r="BG869" t="s">
        <v>74</v>
      </c>
      <c r="BH869" t="s">
        <v>74</v>
      </c>
      <c r="BI869">
        <v>12</v>
      </c>
      <c r="BJ869" t="s">
        <v>2750</v>
      </c>
      <c r="BK869" t="s">
        <v>103</v>
      </c>
      <c r="BL869" t="s">
        <v>2751</v>
      </c>
      <c r="BM869" t="s">
        <v>16639</v>
      </c>
      <c r="BN869">
        <v>31942620</v>
      </c>
      <c r="BO869" t="s">
        <v>1518</v>
      </c>
      <c r="BP869" t="s">
        <v>74</v>
      </c>
      <c r="BQ869" t="s">
        <v>74</v>
      </c>
      <c r="BR869" t="s">
        <v>106</v>
      </c>
      <c r="BS869" t="s">
        <v>16640</v>
      </c>
      <c r="BT869" t="str">
        <f>HYPERLINK("https%3A%2F%2Fwww.webofscience.com%2Fwos%2Fwoscc%2Ffull-record%2FWOS:000524693000005","View Full Record in Web of Science")</f>
        <v>View Full Record in Web of Science</v>
      </c>
    </row>
    <row r="870" spans="1:72" x14ac:dyDescent="0.15">
      <c r="A870" t="s">
        <v>72</v>
      </c>
      <c r="B870" t="s">
        <v>16641</v>
      </c>
      <c r="C870" t="s">
        <v>74</v>
      </c>
      <c r="D870" t="s">
        <v>74</v>
      </c>
      <c r="E870" t="s">
        <v>74</v>
      </c>
      <c r="F870" t="s">
        <v>16642</v>
      </c>
      <c r="G870" t="s">
        <v>74</v>
      </c>
      <c r="H870" t="s">
        <v>74</v>
      </c>
      <c r="I870" t="s">
        <v>16643</v>
      </c>
      <c r="J870" t="s">
        <v>16644</v>
      </c>
      <c r="K870" t="s">
        <v>74</v>
      </c>
      <c r="L870" t="s">
        <v>74</v>
      </c>
      <c r="M870" t="s">
        <v>78</v>
      </c>
      <c r="N870" t="s">
        <v>79</v>
      </c>
      <c r="O870" t="s">
        <v>74</v>
      </c>
      <c r="P870" t="s">
        <v>74</v>
      </c>
      <c r="Q870" t="s">
        <v>74</v>
      </c>
      <c r="R870" t="s">
        <v>74</v>
      </c>
      <c r="S870" t="s">
        <v>74</v>
      </c>
      <c r="T870" t="s">
        <v>16645</v>
      </c>
      <c r="U870" t="s">
        <v>16646</v>
      </c>
      <c r="V870" t="s">
        <v>16647</v>
      </c>
      <c r="W870" t="s">
        <v>74</v>
      </c>
      <c r="X870" t="s">
        <v>74</v>
      </c>
      <c r="Y870" t="s">
        <v>74</v>
      </c>
      <c r="Z870" t="s">
        <v>16648</v>
      </c>
      <c r="AA870" t="s">
        <v>74</v>
      </c>
      <c r="AB870" t="s">
        <v>74</v>
      </c>
      <c r="AC870" t="s">
        <v>74</v>
      </c>
      <c r="AD870" t="s">
        <v>74</v>
      </c>
      <c r="AE870" t="s">
        <v>74</v>
      </c>
      <c r="AF870" t="s">
        <v>74</v>
      </c>
      <c r="AG870">
        <v>43</v>
      </c>
      <c r="AH870">
        <v>1</v>
      </c>
      <c r="AI870">
        <v>1</v>
      </c>
      <c r="AJ870">
        <v>0</v>
      </c>
      <c r="AK870">
        <v>0</v>
      </c>
      <c r="AL870" t="s">
        <v>16649</v>
      </c>
      <c r="AM870" t="s">
        <v>16650</v>
      </c>
      <c r="AN870" t="s">
        <v>16651</v>
      </c>
      <c r="AO870" t="s">
        <v>16652</v>
      </c>
      <c r="AP870" t="s">
        <v>16653</v>
      </c>
      <c r="AQ870" t="s">
        <v>74</v>
      </c>
      <c r="AR870" t="s">
        <v>16654</v>
      </c>
      <c r="AS870" t="s">
        <v>16655</v>
      </c>
      <c r="AT870" t="s">
        <v>74</v>
      </c>
      <c r="AU870">
        <v>2020</v>
      </c>
      <c r="AV870">
        <v>14</v>
      </c>
      <c r="AW870">
        <v>1</v>
      </c>
      <c r="AX870" t="s">
        <v>74</v>
      </c>
      <c r="AY870" t="s">
        <v>74</v>
      </c>
      <c r="AZ870" t="s">
        <v>74</v>
      </c>
      <c r="BA870" t="s">
        <v>74</v>
      </c>
      <c r="BB870">
        <v>108</v>
      </c>
      <c r="BC870">
        <v>132</v>
      </c>
      <c r="BD870" t="s">
        <v>74</v>
      </c>
      <c r="BE870" t="s">
        <v>16656</v>
      </c>
      <c r="BF870" t="str">
        <f>HYPERLINK("http://dx.doi.org/10.21463/shima.14.1.09","http://dx.doi.org/10.21463/shima.14.1.09")</f>
        <v>http://dx.doi.org/10.21463/shima.14.1.09</v>
      </c>
      <c r="BG870" t="s">
        <v>74</v>
      </c>
      <c r="BH870" t="s">
        <v>74</v>
      </c>
      <c r="BI870">
        <v>25</v>
      </c>
      <c r="BJ870" t="s">
        <v>4572</v>
      </c>
      <c r="BK870" t="s">
        <v>274</v>
      </c>
      <c r="BL870" t="s">
        <v>4572</v>
      </c>
      <c r="BM870" t="s">
        <v>16657</v>
      </c>
      <c r="BN870" t="s">
        <v>74</v>
      </c>
      <c r="BO870" t="s">
        <v>2592</v>
      </c>
      <c r="BP870" t="s">
        <v>74</v>
      </c>
      <c r="BQ870" t="s">
        <v>74</v>
      </c>
      <c r="BR870" t="s">
        <v>106</v>
      </c>
      <c r="BS870" t="s">
        <v>16658</v>
      </c>
      <c r="BT870" t="str">
        <f>HYPERLINK("https%3A%2F%2Fwww.webofscience.com%2Fwos%2Fwoscc%2Ffull-record%2FWOS:000523588500007","View Full Record in Web of Science")</f>
        <v>View Full Record in Web of Science</v>
      </c>
    </row>
    <row r="871" spans="1:72" x14ac:dyDescent="0.15">
      <c r="A871" t="s">
        <v>72</v>
      </c>
      <c r="B871" t="s">
        <v>16659</v>
      </c>
      <c r="C871" t="s">
        <v>74</v>
      </c>
      <c r="D871" t="s">
        <v>74</v>
      </c>
      <c r="E871" t="s">
        <v>74</v>
      </c>
      <c r="F871" t="s">
        <v>16660</v>
      </c>
      <c r="G871" t="s">
        <v>74</v>
      </c>
      <c r="H871" t="s">
        <v>74</v>
      </c>
      <c r="I871" t="s">
        <v>16661</v>
      </c>
      <c r="J871" t="s">
        <v>16644</v>
      </c>
      <c r="K871" t="s">
        <v>74</v>
      </c>
      <c r="L871" t="s">
        <v>74</v>
      </c>
      <c r="M871" t="s">
        <v>78</v>
      </c>
      <c r="N871" t="s">
        <v>79</v>
      </c>
      <c r="O871" t="s">
        <v>74</v>
      </c>
      <c r="P871" t="s">
        <v>74</v>
      </c>
      <c r="Q871" t="s">
        <v>74</v>
      </c>
      <c r="R871" t="s">
        <v>74</v>
      </c>
      <c r="S871" t="s">
        <v>74</v>
      </c>
      <c r="T871" t="s">
        <v>16662</v>
      </c>
      <c r="U871" t="s">
        <v>74</v>
      </c>
      <c r="V871" t="s">
        <v>16663</v>
      </c>
      <c r="W871" t="s">
        <v>16664</v>
      </c>
      <c r="X871" t="s">
        <v>16665</v>
      </c>
      <c r="Y871" t="s">
        <v>16666</v>
      </c>
      <c r="Z871" t="s">
        <v>16667</v>
      </c>
      <c r="AA871" t="s">
        <v>74</v>
      </c>
      <c r="AB871" t="s">
        <v>74</v>
      </c>
      <c r="AC871" t="s">
        <v>74</v>
      </c>
      <c r="AD871" t="s">
        <v>74</v>
      </c>
      <c r="AE871" t="s">
        <v>74</v>
      </c>
      <c r="AF871" t="s">
        <v>74</v>
      </c>
      <c r="AG871">
        <v>32</v>
      </c>
      <c r="AH871">
        <v>3</v>
      </c>
      <c r="AI871">
        <v>3</v>
      </c>
      <c r="AJ871">
        <v>0</v>
      </c>
      <c r="AK871">
        <v>2</v>
      </c>
      <c r="AL871" t="s">
        <v>16649</v>
      </c>
      <c r="AM871" t="s">
        <v>16650</v>
      </c>
      <c r="AN871" t="s">
        <v>16651</v>
      </c>
      <c r="AO871" t="s">
        <v>16652</v>
      </c>
      <c r="AP871" t="s">
        <v>16653</v>
      </c>
      <c r="AQ871" t="s">
        <v>74</v>
      </c>
      <c r="AR871" t="s">
        <v>16654</v>
      </c>
      <c r="AS871" t="s">
        <v>16655</v>
      </c>
      <c r="AT871" t="s">
        <v>74</v>
      </c>
      <c r="AU871">
        <v>2020</v>
      </c>
      <c r="AV871">
        <v>14</v>
      </c>
      <c r="AW871">
        <v>1</v>
      </c>
      <c r="AX871" t="s">
        <v>74</v>
      </c>
      <c r="AY871" t="s">
        <v>74</v>
      </c>
      <c r="AZ871" t="s">
        <v>74</v>
      </c>
      <c r="BA871" t="s">
        <v>74</v>
      </c>
      <c r="BB871">
        <v>134</v>
      </c>
      <c r="BC871">
        <v>151</v>
      </c>
      <c r="BD871" t="s">
        <v>74</v>
      </c>
      <c r="BE871" t="s">
        <v>16668</v>
      </c>
      <c r="BF871" t="str">
        <f>HYPERLINK("http://dx.doi.org/10.21463/shima.14.1.10","http://dx.doi.org/10.21463/shima.14.1.10")</f>
        <v>http://dx.doi.org/10.21463/shima.14.1.10</v>
      </c>
      <c r="BG871" t="s">
        <v>74</v>
      </c>
      <c r="BH871" t="s">
        <v>74</v>
      </c>
      <c r="BI871">
        <v>18</v>
      </c>
      <c r="BJ871" t="s">
        <v>4572</v>
      </c>
      <c r="BK871" t="s">
        <v>274</v>
      </c>
      <c r="BL871" t="s">
        <v>4572</v>
      </c>
      <c r="BM871" t="s">
        <v>16657</v>
      </c>
      <c r="BN871" t="s">
        <v>74</v>
      </c>
      <c r="BO871" t="s">
        <v>1310</v>
      </c>
      <c r="BP871" t="s">
        <v>74</v>
      </c>
      <c r="BQ871" t="s">
        <v>74</v>
      </c>
      <c r="BR871" t="s">
        <v>106</v>
      </c>
      <c r="BS871" t="s">
        <v>16669</v>
      </c>
      <c r="BT871" t="str">
        <f>HYPERLINK("https%3A%2F%2Fwww.webofscience.com%2Fwos%2Fwoscc%2Ffull-record%2FWOS:000523588500008","View Full Record in Web of Science")</f>
        <v>View Full Record in Web of Science</v>
      </c>
    </row>
    <row r="872" spans="1:72" x14ac:dyDescent="0.15">
      <c r="A872" t="s">
        <v>72</v>
      </c>
      <c r="B872" t="s">
        <v>16670</v>
      </c>
      <c r="C872" t="s">
        <v>74</v>
      </c>
      <c r="D872" t="s">
        <v>74</v>
      </c>
      <c r="E872" t="s">
        <v>74</v>
      </c>
      <c r="F872" t="s">
        <v>16671</v>
      </c>
      <c r="G872" t="s">
        <v>74</v>
      </c>
      <c r="H872" t="s">
        <v>74</v>
      </c>
      <c r="I872" t="s">
        <v>16672</v>
      </c>
      <c r="J872" t="s">
        <v>15553</v>
      </c>
      <c r="K872" t="s">
        <v>74</v>
      </c>
      <c r="L872" t="s">
        <v>74</v>
      </c>
      <c r="M872" t="s">
        <v>78</v>
      </c>
      <c r="N872" t="s">
        <v>79</v>
      </c>
      <c r="O872" t="s">
        <v>74</v>
      </c>
      <c r="P872" t="s">
        <v>74</v>
      </c>
      <c r="Q872" t="s">
        <v>74</v>
      </c>
      <c r="R872" t="s">
        <v>74</v>
      </c>
      <c r="S872" t="s">
        <v>74</v>
      </c>
      <c r="T872" t="s">
        <v>16673</v>
      </c>
      <c r="U872" t="s">
        <v>16674</v>
      </c>
      <c r="V872" t="s">
        <v>16675</v>
      </c>
      <c r="W872" t="s">
        <v>16676</v>
      </c>
      <c r="X872" t="s">
        <v>16677</v>
      </c>
      <c r="Y872" t="s">
        <v>16678</v>
      </c>
      <c r="Z872" t="s">
        <v>4033</v>
      </c>
      <c r="AA872" t="s">
        <v>4034</v>
      </c>
      <c r="AB872" t="s">
        <v>16679</v>
      </c>
      <c r="AC872" t="s">
        <v>16680</v>
      </c>
      <c r="AD872" t="s">
        <v>16681</v>
      </c>
      <c r="AE872" t="s">
        <v>16682</v>
      </c>
      <c r="AF872" t="s">
        <v>74</v>
      </c>
      <c r="AG872">
        <v>54</v>
      </c>
      <c r="AH872">
        <v>4</v>
      </c>
      <c r="AI872">
        <v>5</v>
      </c>
      <c r="AJ872">
        <v>1</v>
      </c>
      <c r="AK872">
        <v>2</v>
      </c>
      <c r="AL872" t="s">
        <v>16683</v>
      </c>
      <c r="AM872" t="s">
        <v>15567</v>
      </c>
      <c r="AN872" t="s">
        <v>16684</v>
      </c>
      <c r="AO872" t="s">
        <v>15569</v>
      </c>
      <c r="AP872" t="s">
        <v>15570</v>
      </c>
      <c r="AQ872" t="s">
        <v>74</v>
      </c>
      <c r="AR872" t="s">
        <v>15571</v>
      </c>
      <c r="AS872" t="s">
        <v>15572</v>
      </c>
      <c r="AT872" t="s">
        <v>74</v>
      </c>
      <c r="AU872">
        <v>2020</v>
      </c>
      <c r="AV872">
        <v>31</v>
      </c>
      <c r="AW872">
        <v>1</v>
      </c>
      <c r="AX872" t="s">
        <v>74</v>
      </c>
      <c r="AY872" t="s">
        <v>74</v>
      </c>
      <c r="AZ872" t="s">
        <v>74</v>
      </c>
      <c r="BA872" t="s">
        <v>74</v>
      </c>
      <c r="BB872">
        <v>85</v>
      </c>
      <c r="BC872">
        <v>105</v>
      </c>
      <c r="BD872" t="s">
        <v>74</v>
      </c>
      <c r="BE872" t="s">
        <v>16685</v>
      </c>
      <c r="BF872" t="str">
        <f>HYPERLINK("http://dx.doi.org/10.21315/tlsr2020.31.1.6","http://dx.doi.org/10.21315/tlsr2020.31.1.6")</f>
        <v>http://dx.doi.org/10.21315/tlsr2020.31.1.6</v>
      </c>
      <c r="BG872" t="s">
        <v>74</v>
      </c>
      <c r="BH872" t="s">
        <v>74</v>
      </c>
      <c r="BI872">
        <v>21</v>
      </c>
      <c r="BJ872" t="s">
        <v>1498</v>
      </c>
      <c r="BK872" t="s">
        <v>274</v>
      </c>
      <c r="BL872" t="s">
        <v>1499</v>
      </c>
      <c r="BM872" t="s">
        <v>16686</v>
      </c>
      <c r="BN872">
        <v>32963713</v>
      </c>
      <c r="BO872" t="s">
        <v>1257</v>
      </c>
      <c r="BP872" t="s">
        <v>74</v>
      </c>
      <c r="BQ872" t="s">
        <v>74</v>
      </c>
      <c r="BR872" t="s">
        <v>106</v>
      </c>
      <c r="BS872" t="s">
        <v>16687</v>
      </c>
      <c r="BT872" t="str">
        <f>HYPERLINK("https%3A%2F%2Fwww.webofscience.com%2Fwos%2Fwoscc%2Ffull-record%2FWOS:000524167200006","View Full Record in Web of Science")</f>
        <v>View Full Record in Web of Science</v>
      </c>
    </row>
    <row r="873" spans="1:72" x14ac:dyDescent="0.15">
      <c r="A873" t="s">
        <v>72</v>
      </c>
      <c r="B873" t="s">
        <v>16688</v>
      </c>
      <c r="C873" t="s">
        <v>74</v>
      </c>
      <c r="D873" t="s">
        <v>74</v>
      </c>
      <c r="E873" t="s">
        <v>74</v>
      </c>
      <c r="F873" t="s">
        <v>16689</v>
      </c>
      <c r="G873" t="s">
        <v>74</v>
      </c>
      <c r="H873" t="s">
        <v>74</v>
      </c>
      <c r="I873" t="s">
        <v>16690</v>
      </c>
      <c r="J873" t="s">
        <v>14779</v>
      </c>
      <c r="K873" t="s">
        <v>74</v>
      </c>
      <c r="L873" t="s">
        <v>74</v>
      </c>
      <c r="M873" t="s">
        <v>13514</v>
      </c>
      <c r="N873" t="s">
        <v>79</v>
      </c>
      <c r="O873" t="s">
        <v>74</v>
      </c>
      <c r="P873" t="s">
        <v>74</v>
      </c>
      <c r="Q873" t="s">
        <v>74</v>
      </c>
      <c r="R873" t="s">
        <v>74</v>
      </c>
      <c r="S873" t="s">
        <v>74</v>
      </c>
      <c r="T873" t="s">
        <v>16691</v>
      </c>
      <c r="U873" t="s">
        <v>15417</v>
      </c>
      <c r="V873" t="s">
        <v>16692</v>
      </c>
      <c r="W873" t="s">
        <v>16693</v>
      </c>
      <c r="X873" t="s">
        <v>16694</v>
      </c>
      <c r="Y873" t="s">
        <v>16695</v>
      </c>
      <c r="Z873" t="s">
        <v>16696</v>
      </c>
      <c r="AA873" t="s">
        <v>16697</v>
      </c>
      <c r="AB873" t="s">
        <v>12973</v>
      </c>
      <c r="AC873" t="s">
        <v>16698</v>
      </c>
      <c r="AD873" t="s">
        <v>16699</v>
      </c>
      <c r="AE873" t="s">
        <v>16700</v>
      </c>
      <c r="AF873" t="s">
        <v>74</v>
      </c>
      <c r="AG873">
        <v>23</v>
      </c>
      <c r="AH873">
        <v>4</v>
      </c>
      <c r="AI873">
        <v>4</v>
      </c>
      <c r="AJ873">
        <v>0</v>
      </c>
      <c r="AK873">
        <v>6</v>
      </c>
      <c r="AL873" t="s">
        <v>14787</v>
      </c>
      <c r="AM873" t="s">
        <v>3623</v>
      </c>
      <c r="AN873" t="s">
        <v>14788</v>
      </c>
      <c r="AO873" t="s">
        <v>14789</v>
      </c>
      <c r="AP873" t="s">
        <v>14790</v>
      </c>
      <c r="AQ873" t="s">
        <v>74</v>
      </c>
      <c r="AR873" t="s">
        <v>14791</v>
      </c>
      <c r="AS873" t="s">
        <v>14792</v>
      </c>
      <c r="AT873" t="s">
        <v>74</v>
      </c>
      <c r="AU873">
        <v>2020</v>
      </c>
      <c r="AV873">
        <v>60</v>
      </c>
      <c r="AW873">
        <v>1</v>
      </c>
      <c r="AX873" t="s">
        <v>74</v>
      </c>
      <c r="AY873" t="s">
        <v>74</v>
      </c>
      <c r="AZ873" t="s">
        <v>74</v>
      </c>
      <c r="BA873" t="s">
        <v>74</v>
      </c>
      <c r="BB873">
        <v>85</v>
      </c>
      <c r="BC873">
        <v>97</v>
      </c>
      <c r="BD873" t="s">
        <v>74</v>
      </c>
      <c r="BE873" t="s">
        <v>16701</v>
      </c>
      <c r="BF873" t="str">
        <f>HYPERLINK("http://dx.doi.org/10.31857/S2076673420010025","http://dx.doi.org/10.31857/S2076673420010025")</f>
        <v>http://dx.doi.org/10.31857/S2076673420010025</v>
      </c>
      <c r="BG873" t="s">
        <v>74</v>
      </c>
      <c r="BH873" t="s">
        <v>74</v>
      </c>
      <c r="BI873">
        <v>13</v>
      </c>
      <c r="BJ873" t="s">
        <v>246</v>
      </c>
      <c r="BK873" t="s">
        <v>274</v>
      </c>
      <c r="BL873" t="s">
        <v>247</v>
      </c>
      <c r="BM873" t="s">
        <v>16702</v>
      </c>
      <c r="BN873" t="s">
        <v>74</v>
      </c>
      <c r="BO873" t="s">
        <v>2592</v>
      </c>
      <c r="BP873" t="s">
        <v>74</v>
      </c>
      <c r="BQ873" t="s">
        <v>74</v>
      </c>
      <c r="BR873" t="s">
        <v>106</v>
      </c>
      <c r="BS873" t="s">
        <v>16703</v>
      </c>
      <c r="BT873" t="str">
        <f>HYPERLINK("https%3A%2F%2Fwww.webofscience.com%2Fwos%2Fwoscc%2Ffull-record%2FWOS:000523591200007","View Full Record in Web of Science")</f>
        <v>View Full Record in Web of Science</v>
      </c>
    </row>
    <row r="874" spans="1:72" x14ac:dyDescent="0.15">
      <c r="A874" t="s">
        <v>72</v>
      </c>
      <c r="B874" t="s">
        <v>16704</v>
      </c>
      <c r="C874" t="s">
        <v>74</v>
      </c>
      <c r="D874" t="s">
        <v>74</v>
      </c>
      <c r="E874" t="s">
        <v>74</v>
      </c>
      <c r="F874" t="s">
        <v>16705</v>
      </c>
      <c r="G874" t="s">
        <v>74</v>
      </c>
      <c r="H874" t="s">
        <v>74</v>
      </c>
      <c r="I874" t="s">
        <v>16706</v>
      </c>
      <c r="J874" t="s">
        <v>14779</v>
      </c>
      <c r="K874" t="s">
        <v>74</v>
      </c>
      <c r="L874" t="s">
        <v>74</v>
      </c>
      <c r="M874" t="s">
        <v>13514</v>
      </c>
      <c r="N874" t="s">
        <v>79</v>
      </c>
      <c r="O874" t="s">
        <v>74</v>
      </c>
      <c r="P874" t="s">
        <v>74</v>
      </c>
      <c r="Q874" t="s">
        <v>74</v>
      </c>
      <c r="R874" t="s">
        <v>74</v>
      </c>
      <c r="S874" t="s">
        <v>74</v>
      </c>
      <c r="T874" t="s">
        <v>16707</v>
      </c>
      <c r="U874" t="s">
        <v>16708</v>
      </c>
      <c r="V874" t="s">
        <v>16709</v>
      </c>
      <c r="W874" t="s">
        <v>16710</v>
      </c>
      <c r="X874" t="s">
        <v>14846</v>
      </c>
      <c r="Y874" t="s">
        <v>16711</v>
      </c>
      <c r="Z874" t="s">
        <v>16712</v>
      </c>
      <c r="AA874" t="s">
        <v>16713</v>
      </c>
      <c r="AB874" t="s">
        <v>16714</v>
      </c>
      <c r="AC874" t="s">
        <v>8537</v>
      </c>
      <c r="AD874" t="s">
        <v>8395</v>
      </c>
      <c r="AE874" t="s">
        <v>16715</v>
      </c>
      <c r="AF874" t="s">
        <v>74</v>
      </c>
      <c r="AG874">
        <v>16</v>
      </c>
      <c r="AH874">
        <v>4</v>
      </c>
      <c r="AI874">
        <v>4</v>
      </c>
      <c r="AJ874">
        <v>0</v>
      </c>
      <c r="AK874">
        <v>0</v>
      </c>
      <c r="AL874" t="s">
        <v>14787</v>
      </c>
      <c r="AM874" t="s">
        <v>3623</v>
      </c>
      <c r="AN874" t="s">
        <v>14788</v>
      </c>
      <c r="AO874" t="s">
        <v>14789</v>
      </c>
      <c r="AP874" t="s">
        <v>14790</v>
      </c>
      <c r="AQ874" t="s">
        <v>74</v>
      </c>
      <c r="AR874" t="s">
        <v>14791</v>
      </c>
      <c r="AS874" t="s">
        <v>14792</v>
      </c>
      <c r="AT874" t="s">
        <v>74</v>
      </c>
      <c r="AU874">
        <v>2020</v>
      </c>
      <c r="AV874">
        <v>60</v>
      </c>
      <c r="AW874">
        <v>1</v>
      </c>
      <c r="AX874" t="s">
        <v>74</v>
      </c>
      <c r="AY874" t="s">
        <v>74</v>
      </c>
      <c r="AZ874" t="s">
        <v>74</v>
      </c>
      <c r="BA874" t="s">
        <v>74</v>
      </c>
      <c r="BB874">
        <v>149</v>
      </c>
      <c r="BC874">
        <v>160</v>
      </c>
      <c r="BD874" t="s">
        <v>74</v>
      </c>
      <c r="BE874" t="s">
        <v>16716</v>
      </c>
      <c r="BF874" t="str">
        <f>HYPERLINK("http://dx.doi.org/10.31857/S2076673420010030","http://dx.doi.org/10.31857/S2076673420010030")</f>
        <v>http://dx.doi.org/10.31857/S2076673420010030</v>
      </c>
      <c r="BG874" t="s">
        <v>74</v>
      </c>
      <c r="BH874" t="s">
        <v>74</v>
      </c>
      <c r="BI874">
        <v>12</v>
      </c>
      <c r="BJ874" t="s">
        <v>246</v>
      </c>
      <c r="BK874" t="s">
        <v>274</v>
      </c>
      <c r="BL874" t="s">
        <v>247</v>
      </c>
      <c r="BM874" t="s">
        <v>16702</v>
      </c>
      <c r="BN874" t="s">
        <v>74</v>
      </c>
      <c r="BO874" t="s">
        <v>2592</v>
      </c>
      <c r="BP874" t="s">
        <v>74</v>
      </c>
      <c r="BQ874" t="s">
        <v>74</v>
      </c>
      <c r="BR874" t="s">
        <v>106</v>
      </c>
      <c r="BS874" t="s">
        <v>16717</v>
      </c>
      <c r="BT874" t="str">
        <f>HYPERLINK("https%3A%2F%2Fwww.webofscience.com%2Fwos%2Fwoscc%2Ffull-record%2FWOS:000523591200012","View Full Record in Web of Science")</f>
        <v>View Full Record in Web of Science</v>
      </c>
    </row>
    <row r="875" spans="1:72" x14ac:dyDescent="0.15">
      <c r="A875" t="s">
        <v>72</v>
      </c>
      <c r="B875" t="s">
        <v>16718</v>
      </c>
      <c r="C875" t="s">
        <v>74</v>
      </c>
      <c r="D875" t="s">
        <v>74</v>
      </c>
      <c r="E875" t="s">
        <v>74</v>
      </c>
      <c r="F875" t="s">
        <v>16719</v>
      </c>
      <c r="G875" t="s">
        <v>74</v>
      </c>
      <c r="H875" t="s">
        <v>74</v>
      </c>
      <c r="I875" t="s">
        <v>16720</v>
      </c>
      <c r="J875" t="s">
        <v>16721</v>
      </c>
      <c r="K875" t="s">
        <v>74</v>
      </c>
      <c r="L875" t="s">
        <v>74</v>
      </c>
      <c r="M875" t="s">
        <v>78</v>
      </c>
      <c r="N875" t="s">
        <v>79</v>
      </c>
      <c r="O875" t="s">
        <v>74</v>
      </c>
      <c r="P875" t="s">
        <v>74</v>
      </c>
      <c r="Q875" t="s">
        <v>74</v>
      </c>
      <c r="R875" t="s">
        <v>74</v>
      </c>
      <c r="S875" t="s">
        <v>74</v>
      </c>
      <c r="T875" t="s">
        <v>16722</v>
      </c>
      <c r="U875" t="s">
        <v>16723</v>
      </c>
      <c r="V875" t="s">
        <v>16724</v>
      </c>
      <c r="W875" t="s">
        <v>16725</v>
      </c>
      <c r="X875" t="s">
        <v>16726</v>
      </c>
      <c r="Y875" t="s">
        <v>16727</v>
      </c>
      <c r="Z875" t="s">
        <v>16728</v>
      </c>
      <c r="AA875" t="s">
        <v>16729</v>
      </c>
      <c r="AB875" t="s">
        <v>16730</v>
      </c>
      <c r="AC875" t="s">
        <v>16731</v>
      </c>
      <c r="AD875" t="s">
        <v>16732</v>
      </c>
      <c r="AE875" t="s">
        <v>16733</v>
      </c>
      <c r="AF875" t="s">
        <v>74</v>
      </c>
      <c r="AG875">
        <v>73</v>
      </c>
      <c r="AH875">
        <v>13</v>
      </c>
      <c r="AI875">
        <v>13</v>
      </c>
      <c r="AJ875">
        <v>0</v>
      </c>
      <c r="AK875">
        <v>35</v>
      </c>
      <c r="AL875" t="s">
        <v>16734</v>
      </c>
      <c r="AM875" t="s">
        <v>16735</v>
      </c>
      <c r="AN875" t="s">
        <v>16736</v>
      </c>
      <c r="AO875" t="s">
        <v>16737</v>
      </c>
      <c r="AP875" t="s">
        <v>16738</v>
      </c>
      <c r="AQ875" t="s">
        <v>74</v>
      </c>
      <c r="AR875" t="s">
        <v>16721</v>
      </c>
      <c r="AS875" t="s">
        <v>16739</v>
      </c>
      <c r="AT875" t="s">
        <v>74</v>
      </c>
      <c r="AU875">
        <v>2020</v>
      </c>
      <c r="AV875">
        <v>58</v>
      </c>
      <c r="AW875">
        <v>2</v>
      </c>
      <c r="AX875" t="s">
        <v>74</v>
      </c>
      <c r="AY875" t="s">
        <v>74</v>
      </c>
      <c r="AZ875" t="s">
        <v>342</v>
      </c>
      <c r="BA875" t="s">
        <v>74</v>
      </c>
      <c r="BB875">
        <v>646</v>
      </c>
      <c r="BC875">
        <v>656</v>
      </c>
      <c r="BD875" t="s">
        <v>74</v>
      </c>
      <c r="BE875" t="s">
        <v>16740</v>
      </c>
      <c r="BF875" t="str">
        <f>HYPERLINK("http://dx.doi.org/10.32615/ps.2019.180","http://dx.doi.org/10.32615/ps.2019.180")</f>
        <v>http://dx.doi.org/10.32615/ps.2019.180</v>
      </c>
      <c r="BG875" t="s">
        <v>74</v>
      </c>
      <c r="BH875" t="s">
        <v>74</v>
      </c>
      <c r="BI875">
        <v>11</v>
      </c>
      <c r="BJ875" t="s">
        <v>6008</v>
      </c>
      <c r="BK875" t="s">
        <v>103</v>
      </c>
      <c r="BL875" t="s">
        <v>6008</v>
      </c>
      <c r="BM875" t="s">
        <v>16741</v>
      </c>
      <c r="BN875" t="s">
        <v>74</v>
      </c>
      <c r="BO875" t="s">
        <v>2592</v>
      </c>
      <c r="BP875" t="s">
        <v>74</v>
      </c>
      <c r="BQ875" t="s">
        <v>74</v>
      </c>
      <c r="BR875" t="s">
        <v>106</v>
      </c>
      <c r="BS875" t="s">
        <v>16742</v>
      </c>
      <c r="BT875" t="str">
        <f>HYPERLINK("https%3A%2F%2Fwww.webofscience.com%2Fwos%2Fwoscc%2Ffull-record%2FWOS:000524480200045","View Full Record in Web of Science")</f>
        <v>View Full Record in Web of Science</v>
      </c>
    </row>
    <row r="876" spans="1:72" x14ac:dyDescent="0.15">
      <c r="A876" t="s">
        <v>72</v>
      </c>
      <c r="B876" t="s">
        <v>16743</v>
      </c>
      <c r="C876" t="s">
        <v>74</v>
      </c>
      <c r="D876" t="s">
        <v>74</v>
      </c>
      <c r="E876" t="s">
        <v>74</v>
      </c>
      <c r="F876" t="s">
        <v>16744</v>
      </c>
      <c r="G876" t="s">
        <v>74</v>
      </c>
      <c r="H876" t="s">
        <v>74</v>
      </c>
      <c r="I876" t="s">
        <v>16745</v>
      </c>
      <c r="J876" t="s">
        <v>13973</v>
      </c>
      <c r="K876" t="s">
        <v>74</v>
      </c>
      <c r="L876" t="s">
        <v>74</v>
      </c>
      <c r="M876" t="s">
        <v>78</v>
      </c>
      <c r="N876" t="s">
        <v>79</v>
      </c>
      <c r="O876" t="s">
        <v>74</v>
      </c>
      <c r="P876" t="s">
        <v>74</v>
      </c>
      <c r="Q876" t="s">
        <v>74</v>
      </c>
      <c r="R876" t="s">
        <v>74</v>
      </c>
      <c r="S876" t="s">
        <v>74</v>
      </c>
      <c r="T876" t="s">
        <v>16746</v>
      </c>
      <c r="U876" t="s">
        <v>16747</v>
      </c>
      <c r="V876" t="s">
        <v>16748</v>
      </c>
      <c r="W876" t="s">
        <v>16749</v>
      </c>
      <c r="X876" t="s">
        <v>16750</v>
      </c>
      <c r="Y876" t="s">
        <v>16751</v>
      </c>
      <c r="Z876" t="s">
        <v>16752</v>
      </c>
      <c r="AA876" t="s">
        <v>16753</v>
      </c>
      <c r="AB876" t="s">
        <v>16754</v>
      </c>
      <c r="AC876" t="s">
        <v>16755</v>
      </c>
      <c r="AD876" t="s">
        <v>16756</v>
      </c>
      <c r="AE876" t="s">
        <v>16757</v>
      </c>
      <c r="AF876" t="s">
        <v>74</v>
      </c>
      <c r="AG876">
        <v>41</v>
      </c>
      <c r="AH876">
        <v>2</v>
      </c>
      <c r="AI876">
        <v>2</v>
      </c>
      <c r="AJ876">
        <v>1</v>
      </c>
      <c r="AK876">
        <v>12</v>
      </c>
      <c r="AL876" t="s">
        <v>13984</v>
      </c>
      <c r="AM876" t="s">
        <v>545</v>
      </c>
      <c r="AN876" t="s">
        <v>14155</v>
      </c>
      <c r="AO876" t="s">
        <v>13986</v>
      </c>
      <c r="AP876" t="s">
        <v>13987</v>
      </c>
      <c r="AQ876" t="s">
        <v>74</v>
      </c>
      <c r="AR876" t="s">
        <v>13988</v>
      </c>
      <c r="AS876" t="s">
        <v>13989</v>
      </c>
      <c r="AT876" t="s">
        <v>74</v>
      </c>
      <c r="AU876">
        <v>2020</v>
      </c>
      <c r="AV876">
        <v>70</v>
      </c>
      <c r="AW876">
        <v>3</v>
      </c>
      <c r="AX876" t="s">
        <v>74</v>
      </c>
      <c r="AY876" t="s">
        <v>74</v>
      </c>
      <c r="AZ876" t="s">
        <v>74</v>
      </c>
      <c r="BA876" t="s">
        <v>74</v>
      </c>
      <c r="BB876">
        <v>1555</v>
      </c>
      <c r="BC876">
        <v>1561</v>
      </c>
      <c r="BD876" t="s">
        <v>74</v>
      </c>
      <c r="BE876" t="s">
        <v>16758</v>
      </c>
      <c r="BF876" t="str">
        <f>HYPERLINK("http://dx.doi.org/10.1099/ijsem.0.003930","http://dx.doi.org/10.1099/ijsem.0.003930")</f>
        <v>http://dx.doi.org/10.1099/ijsem.0.003930</v>
      </c>
      <c r="BG876" t="s">
        <v>74</v>
      </c>
      <c r="BH876" t="s">
        <v>74</v>
      </c>
      <c r="BI876">
        <v>7</v>
      </c>
      <c r="BJ876" t="s">
        <v>273</v>
      </c>
      <c r="BK876" t="s">
        <v>103</v>
      </c>
      <c r="BL876" t="s">
        <v>273</v>
      </c>
      <c r="BM876" t="s">
        <v>16759</v>
      </c>
      <c r="BN876">
        <v>31860427</v>
      </c>
      <c r="BO876" t="s">
        <v>517</v>
      </c>
      <c r="BP876" t="s">
        <v>74</v>
      </c>
      <c r="BQ876" t="s">
        <v>74</v>
      </c>
      <c r="BR876" t="s">
        <v>106</v>
      </c>
      <c r="BS876" t="s">
        <v>16760</v>
      </c>
      <c r="BT876" t="str">
        <f>HYPERLINK("https%3A%2F%2Fwww.webofscience.com%2Fwos%2Fwoscc%2Ffull-record%2FWOS:000522929700015","View Full Record in Web of Science")</f>
        <v>View Full Record in Web of Science</v>
      </c>
    </row>
    <row r="877" spans="1:72" x14ac:dyDescent="0.15">
      <c r="A877" t="s">
        <v>72</v>
      </c>
      <c r="B877" t="s">
        <v>16761</v>
      </c>
      <c r="C877" t="s">
        <v>74</v>
      </c>
      <c r="D877" t="s">
        <v>74</v>
      </c>
      <c r="E877" t="s">
        <v>74</v>
      </c>
      <c r="F877" t="s">
        <v>16762</v>
      </c>
      <c r="G877" t="s">
        <v>74</v>
      </c>
      <c r="H877" t="s">
        <v>74</v>
      </c>
      <c r="I877" t="s">
        <v>16763</v>
      </c>
      <c r="J877" t="s">
        <v>13973</v>
      </c>
      <c r="K877" t="s">
        <v>74</v>
      </c>
      <c r="L877" t="s">
        <v>74</v>
      </c>
      <c r="M877" t="s">
        <v>78</v>
      </c>
      <c r="N877" t="s">
        <v>79</v>
      </c>
      <c r="O877" t="s">
        <v>74</v>
      </c>
      <c r="P877" t="s">
        <v>74</v>
      </c>
      <c r="Q877" t="s">
        <v>74</v>
      </c>
      <c r="R877" t="s">
        <v>74</v>
      </c>
      <c r="S877" t="s">
        <v>74</v>
      </c>
      <c r="T877" t="s">
        <v>16764</v>
      </c>
      <c r="U877" t="s">
        <v>16765</v>
      </c>
      <c r="V877" t="s">
        <v>16766</v>
      </c>
      <c r="W877" t="s">
        <v>16767</v>
      </c>
      <c r="X877" t="s">
        <v>355</v>
      </c>
      <c r="Y877" t="s">
        <v>16768</v>
      </c>
      <c r="Z877" t="s">
        <v>16769</v>
      </c>
      <c r="AA877" t="s">
        <v>16770</v>
      </c>
      <c r="AB877" t="s">
        <v>74</v>
      </c>
      <c r="AC877" t="s">
        <v>16771</v>
      </c>
      <c r="AD877" t="s">
        <v>16772</v>
      </c>
      <c r="AE877" t="s">
        <v>16773</v>
      </c>
      <c r="AF877" t="s">
        <v>74</v>
      </c>
      <c r="AG877">
        <v>38</v>
      </c>
      <c r="AH877">
        <v>2</v>
      </c>
      <c r="AI877">
        <v>2</v>
      </c>
      <c r="AJ877">
        <v>2</v>
      </c>
      <c r="AK877">
        <v>7</v>
      </c>
      <c r="AL877" t="s">
        <v>13984</v>
      </c>
      <c r="AM877" t="s">
        <v>545</v>
      </c>
      <c r="AN877" t="s">
        <v>13985</v>
      </c>
      <c r="AO877" t="s">
        <v>13986</v>
      </c>
      <c r="AP877" t="s">
        <v>13987</v>
      </c>
      <c r="AQ877" t="s">
        <v>74</v>
      </c>
      <c r="AR877" t="s">
        <v>13988</v>
      </c>
      <c r="AS877" t="s">
        <v>13989</v>
      </c>
      <c r="AT877" t="s">
        <v>74</v>
      </c>
      <c r="AU877">
        <v>2020</v>
      </c>
      <c r="AV877">
        <v>70</v>
      </c>
      <c r="AW877">
        <v>3</v>
      </c>
      <c r="AX877" t="s">
        <v>74</v>
      </c>
      <c r="AY877" t="s">
        <v>74</v>
      </c>
      <c r="AZ877" t="s">
        <v>74</v>
      </c>
      <c r="BA877" t="s">
        <v>74</v>
      </c>
      <c r="BB877">
        <v>1861</v>
      </c>
      <c r="BC877">
        <v>1867</v>
      </c>
      <c r="BD877" t="s">
        <v>74</v>
      </c>
      <c r="BE877" t="s">
        <v>16774</v>
      </c>
      <c r="BF877" t="str">
        <f>HYPERLINK("http://dx.doi.org/10.1099/ijsem.0.003984","http://dx.doi.org/10.1099/ijsem.0.003984")</f>
        <v>http://dx.doi.org/10.1099/ijsem.0.003984</v>
      </c>
      <c r="BG877" t="s">
        <v>74</v>
      </c>
      <c r="BH877" t="s">
        <v>74</v>
      </c>
      <c r="BI877">
        <v>7</v>
      </c>
      <c r="BJ877" t="s">
        <v>273</v>
      </c>
      <c r="BK877" t="s">
        <v>103</v>
      </c>
      <c r="BL877" t="s">
        <v>273</v>
      </c>
      <c r="BM877" t="s">
        <v>16759</v>
      </c>
      <c r="BN877">
        <v>32017675</v>
      </c>
      <c r="BO877" t="s">
        <v>517</v>
      </c>
      <c r="BP877" t="s">
        <v>74</v>
      </c>
      <c r="BQ877" t="s">
        <v>74</v>
      </c>
      <c r="BR877" t="s">
        <v>106</v>
      </c>
      <c r="BS877" t="s">
        <v>16775</v>
      </c>
      <c r="BT877" t="str">
        <f>HYPERLINK("https%3A%2F%2Fwww.webofscience.com%2Fwos%2Fwoscc%2Ffull-record%2FWOS:000522929700055","View Full Record in Web of Science")</f>
        <v>View Full Record in Web of Science</v>
      </c>
    </row>
    <row r="878" spans="1:72" x14ac:dyDescent="0.15">
      <c r="A878" t="s">
        <v>72</v>
      </c>
      <c r="B878" t="s">
        <v>16776</v>
      </c>
      <c r="C878" t="s">
        <v>74</v>
      </c>
      <c r="D878" t="s">
        <v>74</v>
      </c>
      <c r="E878" t="s">
        <v>74</v>
      </c>
      <c r="F878" t="s">
        <v>16777</v>
      </c>
      <c r="G878" t="s">
        <v>74</v>
      </c>
      <c r="H878" t="s">
        <v>74</v>
      </c>
      <c r="I878" t="s">
        <v>16778</v>
      </c>
      <c r="J878" t="s">
        <v>13973</v>
      </c>
      <c r="K878" t="s">
        <v>74</v>
      </c>
      <c r="L878" t="s">
        <v>74</v>
      </c>
      <c r="M878" t="s">
        <v>78</v>
      </c>
      <c r="N878" t="s">
        <v>79</v>
      </c>
      <c r="O878" t="s">
        <v>74</v>
      </c>
      <c r="P878" t="s">
        <v>74</v>
      </c>
      <c r="Q878" t="s">
        <v>74</v>
      </c>
      <c r="R878" t="s">
        <v>74</v>
      </c>
      <c r="S878" t="s">
        <v>74</v>
      </c>
      <c r="T878" t="s">
        <v>16779</v>
      </c>
      <c r="U878" t="s">
        <v>16780</v>
      </c>
      <c r="V878" t="s">
        <v>16781</v>
      </c>
      <c r="W878" t="s">
        <v>16782</v>
      </c>
      <c r="X878" t="s">
        <v>16783</v>
      </c>
      <c r="Y878" t="s">
        <v>8921</v>
      </c>
      <c r="Z878" t="s">
        <v>8922</v>
      </c>
      <c r="AA878" t="s">
        <v>8923</v>
      </c>
      <c r="AB878" t="s">
        <v>8924</v>
      </c>
      <c r="AC878" t="s">
        <v>16784</v>
      </c>
      <c r="AD878" t="s">
        <v>16785</v>
      </c>
      <c r="AE878" t="s">
        <v>16786</v>
      </c>
      <c r="AF878" t="s">
        <v>74</v>
      </c>
      <c r="AG878">
        <v>29</v>
      </c>
      <c r="AH878">
        <v>4</v>
      </c>
      <c r="AI878">
        <v>4</v>
      </c>
      <c r="AJ878">
        <v>0</v>
      </c>
      <c r="AK878">
        <v>7</v>
      </c>
      <c r="AL878" t="s">
        <v>13984</v>
      </c>
      <c r="AM878" t="s">
        <v>545</v>
      </c>
      <c r="AN878" t="s">
        <v>14155</v>
      </c>
      <c r="AO878" t="s">
        <v>13986</v>
      </c>
      <c r="AP878" t="s">
        <v>13987</v>
      </c>
      <c r="AQ878" t="s">
        <v>74</v>
      </c>
      <c r="AR878" t="s">
        <v>13988</v>
      </c>
      <c r="AS878" t="s">
        <v>13989</v>
      </c>
      <c r="AT878" t="s">
        <v>74</v>
      </c>
      <c r="AU878">
        <v>2020</v>
      </c>
      <c r="AV878">
        <v>70</v>
      </c>
      <c r="AW878">
        <v>3</v>
      </c>
      <c r="AX878" t="s">
        <v>74</v>
      </c>
      <c r="AY878" t="s">
        <v>74</v>
      </c>
      <c r="AZ878" t="s">
        <v>74</v>
      </c>
      <c r="BA878" t="s">
        <v>74</v>
      </c>
      <c r="BB878">
        <v>1947</v>
      </c>
      <c r="BC878">
        <v>1952</v>
      </c>
      <c r="BD878" t="s">
        <v>74</v>
      </c>
      <c r="BE878" t="s">
        <v>16787</v>
      </c>
      <c r="BF878" t="str">
        <f>HYPERLINK("http://dx.doi.org/10.1099/ijsem.0.003998","http://dx.doi.org/10.1099/ijsem.0.003998")</f>
        <v>http://dx.doi.org/10.1099/ijsem.0.003998</v>
      </c>
      <c r="BG878" t="s">
        <v>74</v>
      </c>
      <c r="BH878" t="s">
        <v>74</v>
      </c>
      <c r="BI878">
        <v>6</v>
      </c>
      <c r="BJ878" t="s">
        <v>273</v>
      </c>
      <c r="BK878" t="s">
        <v>103</v>
      </c>
      <c r="BL878" t="s">
        <v>273</v>
      </c>
      <c r="BM878" t="s">
        <v>16759</v>
      </c>
      <c r="BN878">
        <v>31985396</v>
      </c>
      <c r="BO878" t="s">
        <v>517</v>
      </c>
      <c r="BP878" t="s">
        <v>74</v>
      </c>
      <c r="BQ878" t="s">
        <v>74</v>
      </c>
      <c r="BR878" t="s">
        <v>106</v>
      </c>
      <c r="BS878" t="s">
        <v>16788</v>
      </c>
      <c r="BT878" t="str">
        <f>HYPERLINK("https%3A%2F%2Fwww.webofscience.com%2Fwos%2Fwoscc%2Ffull-record%2FWOS:000522929700067","View Full Record in Web of Science")</f>
        <v>View Full Record in Web of Science</v>
      </c>
    </row>
    <row r="879" spans="1:72" x14ac:dyDescent="0.15">
      <c r="A879" t="s">
        <v>72</v>
      </c>
      <c r="B879" t="s">
        <v>16789</v>
      </c>
      <c r="C879" t="s">
        <v>74</v>
      </c>
      <c r="D879" t="s">
        <v>74</v>
      </c>
      <c r="E879" t="s">
        <v>74</v>
      </c>
      <c r="F879" t="s">
        <v>16790</v>
      </c>
      <c r="G879" t="s">
        <v>74</v>
      </c>
      <c r="H879" t="s">
        <v>74</v>
      </c>
      <c r="I879" t="s">
        <v>16791</v>
      </c>
      <c r="J879" t="s">
        <v>13911</v>
      </c>
      <c r="K879" t="s">
        <v>74</v>
      </c>
      <c r="L879" t="s">
        <v>74</v>
      </c>
      <c r="M879" t="s">
        <v>78</v>
      </c>
      <c r="N879" t="s">
        <v>12322</v>
      </c>
      <c r="O879" t="s">
        <v>74</v>
      </c>
      <c r="P879" t="s">
        <v>74</v>
      </c>
      <c r="Q879" t="s">
        <v>74</v>
      </c>
      <c r="R879" t="s">
        <v>74</v>
      </c>
      <c r="S879" t="s">
        <v>74</v>
      </c>
      <c r="T879" t="s">
        <v>74</v>
      </c>
      <c r="U879" t="s">
        <v>74</v>
      </c>
      <c r="V879" t="s">
        <v>74</v>
      </c>
      <c r="W879" t="s">
        <v>16792</v>
      </c>
      <c r="X879" t="s">
        <v>16793</v>
      </c>
      <c r="Y879" t="s">
        <v>16794</v>
      </c>
      <c r="Z879" t="s">
        <v>16795</v>
      </c>
      <c r="AA879" t="s">
        <v>74</v>
      </c>
      <c r="AB879" t="s">
        <v>16796</v>
      </c>
      <c r="AC879" t="s">
        <v>74</v>
      </c>
      <c r="AD879" t="s">
        <v>74</v>
      </c>
      <c r="AE879" t="s">
        <v>74</v>
      </c>
      <c r="AF879" t="s">
        <v>74</v>
      </c>
      <c r="AG879">
        <v>1</v>
      </c>
      <c r="AH879">
        <v>0</v>
      </c>
      <c r="AI879">
        <v>0</v>
      </c>
      <c r="AJ879">
        <v>0</v>
      </c>
      <c r="AK879">
        <v>0</v>
      </c>
      <c r="AL879" t="s">
        <v>2627</v>
      </c>
      <c r="AM879" t="s">
        <v>2628</v>
      </c>
      <c r="AN879" t="s">
        <v>2629</v>
      </c>
      <c r="AO879" t="s">
        <v>13924</v>
      </c>
      <c r="AP879" t="s">
        <v>13925</v>
      </c>
      <c r="AQ879" t="s">
        <v>74</v>
      </c>
      <c r="AR879" t="s">
        <v>13926</v>
      </c>
      <c r="AS879" t="s">
        <v>13927</v>
      </c>
      <c r="AT879" t="s">
        <v>12161</v>
      </c>
      <c r="AU879">
        <v>2020</v>
      </c>
      <c r="AV879">
        <v>52</v>
      </c>
      <c r="AW879">
        <v>1</v>
      </c>
      <c r="AX879" t="s">
        <v>74</v>
      </c>
      <c r="AY879" t="s">
        <v>74</v>
      </c>
      <c r="AZ879" t="s">
        <v>74</v>
      </c>
      <c r="BA879" t="s">
        <v>74</v>
      </c>
      <c r="BB879">
        <v>103</v>
      </c>
      <c r="BC879">
        <v>103</v>
      </c>
      <c r="BD879" t="s">
        <v>74</v>
      </c>
      <c r="BE879" t="s">
        <v>16797</v>
      </c>
      <c r="BF879" t="str">
        <f>HYPERLINK("http://dx.doi.org/10.1080/15230430.2020.1738190","http://dx.doi.org/10.1080/15230430.2020.1738190")</f>
        <v>http://dx.doi.org/10.1080/15230430.2020.1738190</v>
      </c>
      <c r="BG879" t="s">
        <v>74</v>
      </c>
      <c r="BH879" t="s">
        <v>74</v>
      </c>
      <c r="BI879">
        <v>1</v>
      </c>
      <c r="BJ879" t="s">
        <v>13929</v>
      </c>
      <c r="BK879" t="s">
        <v>103</v>
      </c>
      <c r="BL879" t="s">
        <v>1828</v>
      </c>
      <c r="BM879" t="s">
        <v>16798</v>
      </c>
      <c r="BN879" t="s">
        <v>74</v>
      </c>
      <c r="BO879" t="s">
        <v>2592</v>
      </c>
      <c r="BP879" t="s">
        <v>74</v>
      </c>
      <c r="BQ879" t="s">
        <v>74</v>
      </c>
      <c r="BR879" t="s">
        <v>106</v>
      </c>
      <c r="BS879" t="s">
        <v>16799</v>
      </c>
      <c r="BT879" t="str">
        <f>HYPERLINK("https%3A%2F%2Fwww.webofscience.com%2Fwos%2Fwoscc%2Ffull-record%2FWOS:000521255900001","View Full Record in Web of Science")</f>
        <v>View Full Record in Web of Science</v>
      </c>
    </row>
    <row r="880" spans="1:72" x14ac:dyDescent="0.15">
      <c r="A880" t="s">
        <v>72</v>
      </c>
      <c r="B880" t="s">
        <v>16800</v>
      </c>
      <c r="C880" t="s">
        <v>74</v>
      </c>
      <c r="D880" t="s">
        <v>74</v>
      </c>
      <c r="E880" t="s">
        <v>74</v>
      </c>
      <c r="F880" t="s">
        <v>16801</v>
      </c>
      <c r="G880" t="s">
        <v>74</v>
      </c>
      <c r="H880" t="s">
        <v>74</v>
      </c>
      <c r="I880" t="s">
        <v>16802</v>
      </c>
      <c r="J880" t="s">
        <v>14059</v>
      </c>
      <c r="K880" t="s">
        <v>74</v>
      </c>
      <c r="L880" t="s">
        <v>74</v>
      </c>
      <c r="M880" t="s">
        <v>78</v>
      </c>
      <c r="N880" t="s">
        <v>79</v>
      </c>
      <c r="O880" t="s">
        <v>74</v>
      </c>
      <c r="P880" t="s">
        <v>74</v>
      </c>
      <c r="Q880" t="s">
        <v>74</v>
      </c>
      <c r="R880" t="s">
        <v>74</v>
      </c>
      <c r="S880" t="s">
        <v>74</v>
      </c>
      <c r="T880" t="s">
        <v>16803</v>
      </c>
      <c r="U880" t="s">
        <v>16804</v>
      </c>
      <c r="V880" t="s">
        <v>16805</v>
      </c>
      <c r="W880" t="s">
        <v>16806</v>
      </c>
      <c r="X880" t="s">
        <v>16807</v>
      </c>
      <c r="Y880" t="s">
        <v>16808</v>
      </c>
      <c r="Z880" t="s">
        <v>16809</v>
      </c>
      <c r="AA880" t="s">
        <v>16810</v>
      </c>
      <c r="AB880" t="s">
        <v>16811</v>
      </c>
      <c r="AC880" t="s">
        <v>16812</v>
      </c>
      <c r="AD880" t="s">
        <v>16812</v>
      </c>
      <c r="AE880" t="s">
        <v>16813</v>
      </c>
      <c r="AF880" t="s">
        <v>74</v>
      </c>
      <c r="AG880">
        <v>25</v>
      </c>
      <c r="AH880">
        <v>4</v>
      </c>
      <c r="AI880">
        <v>4</v>
      </c>
      <c r="AJ880">
        <v>0</v>
      </c>
      <c r="AK880">
        <v>3</v>
      </c>
      <c r="AL880" t="s">
        <v>14067</v>
      </c>
      <c r="AM880" t="s">
        <v>14068</v>
      </c>
      <c r="AN880" t="s">
        <v>14069</v>
      </c>
      <c r="AO880" t="s">
        <v>14070</v>
      </c>
      <c r="AP880" t="s">
        <v>14071</v>
      </c>
      <c r="AQ880" t="s">
        <v>74</v>
      </c>
      <c r="AR880" t="s">
        <v>14059</v>
      </c>
      <c r="AS880" t="s">
        <v>14059</v>
      </c>
      <c r="AT880" t="s">
        <v>74</v>
      </c>
      <c r="AU880">
        <v>2020</v>
      </c>
      <c r="AV880">
        <v>67</v>
      </c>
      <c r="AW880">
        <v>1</v>
      </c>
      <c r="AX880" t="s">
        <v>74</v>
      </c>
      <c r="AY880" t="s">
        <v>74</v>
      </c>
      <c r="AZ880" t="s">
        <v>74</v>
      </c>
      <c r="BA880" t="s">
        <v>74</v>
      </c>
      <c r="BB880">
        <v>321</v>
      </c>
      <c r="BC880">
        <v>331</v>
      </c>
      <c r="BD880" t="s">
        <v>74</v>
      </c>
      <c r="BE880" t="s">
        <v>74</v>
      </c>
      <c r="BF880" t="s">
        <v>74</v>
      </c>
      <c r="BG880" t="s">
        <v>74</v>
      </c>
      <c r="BH880" t="s">
        <v>74</v>
      </c>
      <c r="BI880">
        <v>11</v>
      </c>
      <c r="BJ880" t="s">
        <v>8796</v>
      </c>
      <c r="BK880" t="s">
        <v>103</v>
      </c>
      <c r="BL880" t="s">
        <v>2510</v>
      </c>
      <c r="BM880" t="s">
        <v>16814</v>
      </c>
      <c r="BN880" t="s">
        <v>74</v>
      </c>
      <c r="BO880" t="s">
        <v>74</v>
      </c>
      <c r="BP880" t="s">
        <v>74</v>
      </c>
      <c r="BQ880" t="s">
        <v>74</v>
      </c>
      <c r="BR880" t="s">
        <v>106</v>
      </c>
      <c r="BS880" t="s">
        <v>16815</v>
      </c>
      <c r="BT880" t="str">
        <f>HYPERLINK("https%3A%2F%2Fwww.webofscience.com%2Fwos%2Fwoscc%2Ffull-record%2FWOS:000522431400010","View Full Record in Web of Science")</f>
        <v>View Full Record in Web of Science</v>
      </c>
    </row>
    <row r="881" spans="1:72" x14ac:dyDescent="0.15">
      <c r="A881" t="s">
        <v>72</v>
      </c>
      <c r="B881" t="s">
        <v>16816</v>
      </c>
      <c r="C881" t="s">
        <v>74</v>
      </c>
      <c r="D881" t="s">
        <v>74</v>
      </c>
      <c r="E881" t="s">
        <v>74</v>
      </c>
      <c r="F881" t="s">
        <v>16817</v>
      </c>
      <c r="G881" t="s">
        <v>74</v>
      </c>
      <c r="H881" t="s">
        <v>74</v>
      </c>
      <c r="I881" t="s">
        <v>16818</v>
      </c>
      <c r="J881" t="s">
        <v>14059</v>
      </c>
      <c r="K881" t="s">
        <v>74</v>
      </c>
      <c r="L881" t="s">
        <v>74</v>
      </c>
      <c r="M881" t="s">
        <v>78</v>
      </c>
      <c r="N881" t="s">
        <v>79</v>
      </c>
      <c r="O881" t="s">
        <v>74</v>
      </c>
      <c r="P881" t="s">
        <v>74</v>
      </c>
      <c r="Q881" t="s">
        <v>74</v>
      </c>
      <c r="R881" t="s">
        <v>74</v>
      </c>
      <c r="S881" t="s">
        <v>74</v>
      </c>
      <c r="T881" t="s">
        <v>16819</v>
      </c>
      <c r="U881" t="s">
        <v>16820</v>
      </c>
      <c r="V881" t="s">
        <v>16821</v>
      </c>
      <c r="W881" t="s">
        <v>16822</v>
      </c>
      <c r="X881" t="s">
        <v>74</v>
      </c>
      <c r="Y881" t="s">
        <v>16823</v>
      </c>
      <c r="Z881" t="s">
        <v>16824</v>
      </c>
      <c r="AA881" t="s">
        <v>74</v>
      </c>
      <c r="AB881" t="s">
        <v>74</v>
      </c>
      <c r="AC881" t="s">
        <v>16825</v>
      </c>
      <c r="AD881" t="s">
        <v>16825</v>
      </c>
      <c r="AE881" t="s">
        <v>16826</v>
      </c>
      <c r="AF881" t="s">
        <v>74</v>
      </c>
      <c r="AG881">
        <v>43</v>
      </c>
      <c r="AH881">
        <v>14</v>
      </c>
      <c r="AI881">
        <v>14</v>
      </c>
      <c r="AJ881">
        <v>1</v>
      </c>
      <c r="AK881">
        <v>18</v>
      </c>
      <c r="AL881" t="s">
        <v>14067</v>
      </c>
      <c r="AM881" t="s">
        <v>14068</v>
      </c>
      <c r="AN881" t="s">
        <v>14069</v>
      </c>
      <c r="AO881" t="s">
        <v>14070</v>
      </c>
      <c r="AP881" t="s">
        <v>14071</v>
      </c>
      <c r="AQ881" t="s">
        <v>74</v>
      </c>
      <c r="AR881" t="s">
        <v>14059</v>
      </c>
      <c r="AS881" t="s">
        <v>14059</v>
      </c>
      <c r="AT881" t="s">
        <v>74</v>
      </c>
      <c r="AU881">
        <v>2020</v>
      </c>
      <c r="AV881">
        <v>67</v>
      </c>
      <c r="AW881">
        <v>1</v>
      </c>
      <c r="AX881" t="s">
        <v>74</v>
      </c>
      <c r="AY881" t="s">
        <v>74</v>
      </c>
      <c r="AZ881" t="s">
        <v>74</v>
      </c>
      <c r="BA881" t="s">
        <v>74</v>
      </c>
      <c r="BB881">
        <v>369</v>
      </c>
      <c r="BC881">
        <v>386</v>
      </c>
      <c r="BD881" t="s">
        <v>74</v>
      </c>
      <c r="BE881" t="s">
        <v>74</v>
      </c>
      <c r="BF881" t="s">
        <v>74</v>
      </c>
      <c r="BG881" t="s">
        <v>74</v>
      </c>
      <c r="BH881" t="s">
        <v>74</v>
      </c>
      <c r="BI881">
        <v>18</v>
      </c>
      <c r="BJ881" t="s">
        <v>8796</v>
      </c>
      <c r="BK881" t="s">
        <v>103</v>
      </c>
      <c r="BL881" t="s">
        <v>2510</v>
      </c>
      <c r="BM881" t="s">
        <v>16814</v>
      </c>
      <c r="BN881" t="s">
        <v>74</v>
      </c>
      <c r="BO881" t="s">
        <v>74</v>
      </c>
      <c r="BP881" t="s">
        <v>74</v>
      </c>
      <c r="BQ881" t="s">
        <v>74</v>
      </c>
      <c r="BR881" t="s">
        <v>106</v>
      </c>
      <c r="BS881" t="s">
        <v>16827</v>
      </c>
      <c r="BT881" t="str">
        <f>HYPERLINK("https%3A%2F%2Fwww.webofscience.com%2Fwos%2Fwoscc%2Ffull-record%2FWOS:000522431400014","View Full Record in Web of Science")</f>
        <v>View Full Record in Web of Science</v>
      </c>
    </row>
    <row r="882" spans="1:72" x14ac:dyDescent="0.15">
      <c r="A882" t="s">
        <v>72</v>
      </c>
      <c r="B882" t="s">
        <v>16828</v>
      </c>
      <c r="C882" t="s">
        <v>74</v>
      </c>
      <c r="D882" t="s">
        <v>74</v>
      </c>
      <c r="E882" t="s">
        <v>74</v>
      </c>
      <c r="F882" t="s">
        <v>16829</v>
      </c>
      <c r="G882" t="s">
        <v>74</v>
      </c>
      <c r="H882" t="s">
        <v>74</v>
      </c>
      <c r="I882" t="s">
        <v>16830</v>
      </c>
      <c r="J882" t="s">
        <v>13911</v>
      </c>
      <c r="K882" t="s">
        <v>74</v>
      </c>
      <c r="L882" t="s">
        <v>74</v>
      </c>
      <c r="M882" t="s">
        <v>78</v>
      </c>
      <c r="N882" t="s">
        <v>79</v>
      </c>
      <c r="O882" t="s">
        <v>74</v>
      </c>
      <c r="P882" t="s">
        <v>74</v>
      </c>
      <c r="Q882" t="s">
        <v>74</v>
      </c>
      <c r="R882" t="s">
        <v>74</v>
      </c>
      <c r="S882" t="s">
        <v>74</v>
      </c>
      <c r="T882" t="s">
        <v>16831</v>
      </c>
      <c r="U882" t="s">
        <v>16832</v>
      </c>
      <c r="V882" t="s">
        <v>16833</v>
      </c>
      <c r="W882" t="s">
        <v>16834</v>
      </c>
      <c r="X882" t="s">
        <v>16835</v>
      </c>
      <c r="Y882" t="s">
        <v>16836</v>
      </c>
      <c r="Z882" t="s">
        <v>16837</v>
      </c>
      <c r="AA882" t="s">
        <v>74</v>
      </c>
      <c r="AB882" t="s">
        <v>16838</v>
      </c>
      <c r="AC882" t="s">
        <v>16839</v>
      </c>
      <c r="AD882" t="s">
        <v>16840</v>
      </c>
      <c r="AE882" t="s">
        <v>16841</v>
      </c>
      <c r="AF882" t="s">
        <v>74</v>
      </c>
      <c r="AG882">
        <v>80</v>
      </c>
      <c r="AH882">
        <v>8</v>
      </c>
      <c r="AI882">
        <v>10</v>
      </c>
      <c r="AJ882">
        <v>6</v>
      </c>
      <c r="AK882">
        <v>24</v>
      </c>
      <c r="AL882" t="s">
        <v>2627</v>
      </c>
      <c r="AM882" t="s">
        <v>2628</v>
      </c>
      <c r="AN882" t="s">
        <v>2629</v>
      </c>
      <c r="AO882" t="s">
        <v>13924</v>
      </c>
      <c r="AP882" t="s">
        <v>13925</v>
      </c>
      <c r="AQ882" t="s">
        <v>74</v>
      </c>
      <c r="AR882" t="s">
        <v>13926</v>
      </c>
      <c r="AS882" t="s">
        <v>13927</v>
      </c>
      <c r="AT882" t="s">
        <v>12161</v>
      </c>
      <c r="AU882">
        <v>2020</v>
      </c>
      <c r="AV882">
        <v>52</v>
      </c>
      <c r="AW882">
        <v>1</v>
      </c>
      <c r="AX882" t="s">
        <v>74</v>
      </c>
      <c r="AY882" t="s">
        <v>74</v>
      </c>
      <c r="AZ882" t="s">
        <v>74</v>
      </c>
      <c r="BA882" t="s">
        <v>74</v>
      </c>
      <c r="BB882">
        <v>109</v>
      </c>
      <c r="BC882">
        <v>119</v>
      </c>
      <c r="BD882" t="s">
        <v>74</v>
      </c>
      <c r="BE882" t="s">
        <v>16842</v>
      </c>
      <c r="BF882" t="str">
        <f>HYPERLINK("http://dx.doi.org/10.1080/15230430.2020.1733891","http://dx.doi.org/10.1080/15230430.2020.1733891")</f>
        <v>http://dx.doi.org/10.1080/15230430.2020.1733891</v>
      </c>
      <c r="BG882" t="s">
        <v>74</v>
      </c>
      <c r="BH882" t="s">
        <v>74</v>
      </c>
      <c r="BI882">
        <v>11</v>
      </c>
      <c r="BJ882" t="s">
        <v>13929</v>
      </c>
      <c r="BK882" t="s">
        <v>103</v>
      </c>
      <c r="BL882" t="s">
        <v>1828</v>
      </c>
      <c r="BM882" t="s">
        <v>16843</v>
      </c>
      <c r="BN882" t="s">
        <v>74</v>
      </c>
      <c r="BO882" t="s">
        <v>2592</v>
      </c>
      <c r="BP882" t="s">
        <v>74</v>
      </c>
      <c r="BQ882" t="s">
        <v>74</v>
      </c>
      <c r="BR882" t="s">
        <v>106</v>
      </c>
      <c r="BS882" t="s">
        <v>16844</v>
      </c>
      <c r="BT882" t="str">
        <f>HYPERLINK("https%3A%2F%2Fwww.webofscience.com%2Fwos%2Fwoscc%2Ffull-record%2FWOS:000522429900001","View Full Record in Web of Science")</f>
        <v>View Full Record in Web of Science</v>
      </c>
    </row>
    <row r="883" spans="1:72" x14ac:dyDescent="0.15">
      <c r="A883" t="s">
        <v>72</v>
      </c>
      <c r="B883" t="s">
        <v>16845</v>
      </c>
      <c r="C883" t="s">
        <v>74</v>
      </c>
      <c r="D883" t="s">
        <v>74</v>
      </c>
      <c r="E883" t="s">
        <v>74</v>
      </c>
      <c r="F883" t="s">
        <v>16846</v>
      </c>
      <c r="G883" t="s">
        <v>74</v>
      </c>
      <c r="H883" t="s">
        <v>74</v>
      </c>
      <c r="I883" t="s">
        <v>16847</v>
      </c>
      <c r="J883" t="s">
        <v>16848</v>
      </c>
      <c r="K883" t="s">
        <v>74</v>
      </c>
      <c r="L883" t="s">
        <v>74</v>
      </c>
      <c r="M883" t="s">
        <v>78</v>
      </c>
      <c r="N883" t="s">
        <v>79</v>
      </c>
      <c r="O883" t="s">
        <v>74</v>
      </c>
      <c r="P883" t="s">
        <v>74</v>
      </c>
      <c r="Q883" t="s">
        <v>74</v>
      </c>
      <c r="R883" t="s">
        <v>74</v>
      </c>
      <c r="S883" t="s">
        <v>74</v>
      </c>
      <c r="T883" t="s">
        <v>16849</v>
      </c>
      <c r="U883" t="s">
        <v>16850</v>
      </c>
      <c r="V883" t="s">
        <v>16851</v>
      </c>
      <c r="W883" t="s">
        <v>16852</v>
      </c>
      <c r="X883" t="s">
        <v>16853</v>
      </c>
      <c r="Y883" t="s">
        <v>16854</v>
      </c>
      <c r="Z883" t="s">
        <v>16855</v>
      </c>
      <c r="AA883" t="s">
        <v>16856</v>
      </c>
      <c r="AB883" t="s">
        <v>16857</v>
      </c>
      <c r="AC883" t="s">
        <v>16858</v>
      </c>
      <c r="AD883" t="s">
        <v>16859</v>
      </c>
      <c r="AE883" t="s">
        <v>16860</v>
      </c>
      <c r="AF883" t="s">
        <v>74</v>
      </c>
      <c r="AG883">
        <v>26</v>
      </c>
      <c r="AH883">
        <v>5</v>
      </c>
      <c r="AI883">
        <v>5</v>
      </c>
      <c r="AJ883">
        <v>0</v>
      </c>
      <c r="AK883">
        <v>6</v>
      </c>
      <c r="AL883" t="s">
        <v>16861</v>
      </c>
      <c r="AM883" t="s">
        <v>4825</v>
      </c>
      <c r="AN883" t="s">
        <v>16862</v>
      </c>
      <c r="AO883" t="s">
        <v>16863</v>
      </c>
      <c r="AP883" t="s">
        <v>16864</v>
      </c>
      <c r="AQ883" t="s">
        <v>74</v>
      </c>
      <c r="AR883" t="s">
        <v>16865</v>
      </c>
      <c r="AS883" t="s">
        <v>16866</v>
      </c>
      <c r="AT883" t="s">
        <v>74</v>
      </c>
      <c r="AU883">
        <v>2020</v>
      </c>
      <c r="AV883">
        <v>38</v>
      </c>
      <c r="AW883" t="s">
        <v>74</v>
      </c>
      <c r="AX883" t="s">
        <v>74</v>
      </c>
      <c r="AY883" t="s">
        <v>74</v>
      </c>
      <c r="AZ883" t="s">
        <v>74</v>
      </c>
      <c r="BA883" t="s">
        <v>74</v>
      </c>
      <c r="BB883">
        <v>1</v>
      </c>
      <c r="BC883">
        <v>12</v>
      </c>
      <c r="BD883" t="s">
        <v>74</v>
      </c>
      <c r="BE883" t="s">
        <v>16867</v>
      </c>
      <c r="BF883" t="str">
        <f>HYPERLINK("http://dx.doi.org/10.5331/bgr.19R02","http://dx.doi.org/10.5331/bgr.19R02")</f>
        <v>http://dx.doi.org/10.5331/bgr.19R02</v>
      </c>
      <c r="BG883" t="s">
        <v>74</v>
      </c>
      <c r="BH883" t="s">
        <v>74</v>
      </c>
      <c r="BI883">
        <v>12</v>
      </c>
      <c r="BJ883" t="s">
        <v>12264</v>
      </c>
      <c r="BK883" t="s">
        <v>274</v>
      </c>
      <c r="BL883" t="s">
        <v>12265</v>
      </c>
      <c r="BM883" t="s">
        <v>16868</v>
      </c>
      <c r="BN883" t="s">
        <v>74</v>
      </c>
      <c r="BO883" t="s">
        <v>1310</v>
      </c>
      <c r="BP883" t="s">
        <v>74</v>
      </c>
      <c r="BQ883" t="s">
        <v>74</v>
      </c>
      <c r="BR883" t="s">
        <v>106</v>
      </c>
      <c r="BS883" t="s">
        <v>16869</v>
      </c>
      <c r="BT883" t="str">
        <f>HYPERLINK("https%3A%2F%2Fwww.webofscience.com%2Fwos%2Fwoscc%2Ffull-record%2FWOS:000522694100001","View Full Record in Web of Science")</f>
        <v>View Full Record in Web of Science</v>
      </c>
    </row>
    <row r="884" spans="1:72" x14ac:dyDescent="0.15">
      <c r="A884" t="s">
        <v>72</v>
      </c>
      <c r="B884" t="s">
        <v>16870</v>
      </c>
      <c r="C884" t="s">
        <v>74</v>
      </c>
      <c r="D884" t="s">
        <v>74</v>
      </c>
      <c r="E884" t="s">
        <v>74</v>
      </c>
      <c r="F884" t="s">
        <v>16871</v>
      </c>
      <c r="G884" t="s">
        <v>74</v>
      </c>
      <c r="H884" t="s">
        <v>74</v>
      </c>
      <c r="I884" t="s">
        <v>16872</v>
      </c>
      <c r="J884" t="s">
        <v>13911</v>
      </c>
      <c r="K884" t="s">
        <v>74</v>
      </c>
      <c r="L884" t="s">
        <v>74</v>
      </c>
      <c r="M884" t="s">
        <v>78</v>
      </c>
      <c r="N884" t="s">
        <v>79</v>
      </c>
      <c r="O884" t="s">
        <v>74</v>
      </c>
      <c r="P884" t="s">
        <v>74</v>
      </c>
      <c r="Q884" t="s">
        <v>74</v>
      </c>
      <c r="R884" t="s">
        <v>74</v>
      </c>
      <c r="S884" t="s">
        <v>74</v>
      </c>
      <c r="T884" t="s">
        <v>16873</v>
      </c>
      <c r="U884" t="s">
        <v>16874</v>
      </c>
      <c r="V884" t="s">
        <v>16875</v>
      </c>
      <c r="W884" t="s">
        <v>16876</v>
      </c>
      <c r="X884" t="s">
        <v>16877</v>
      </c>
      <c r="Y884" t="s">
        <v>16878</v>
      </c>
      <c r="Z884" t="s">
        <v>16879</v>
      </c>
      <c r="AA884" t="s">
        <v>74</v>
      </c>
      <c r="AB884" t="s">
        <v>16880</v>
      </c>
      <c r="AC884" t="s">
        <v>16881</v>
      </c>
      <c r="AD884" t="s">
        <v>16882</v>
      </c>
      <c r="AE884" t="s">
        <v>16883</v>
      </c>
      <c r="AF884" t="s">
        <v>74</v>
      </c>
      <c r="AG884">
        <v>19</v>
      </c>
      <c r="AH884">
        <v>3</v>
      </c>
      <c r="AI884">
        <v>3</v>
      </c>
      <c r="AJ884">
        <v>0</v>
      </c>
      <c r="AK884">
        <v>13</v>
      </c>
      <c r="AL884" t="s">
        <v>2627</v>
      </c>
      <c r="AM884" t="s">
        <v>2628</v>
      </c>
      <c r="AN884" t="s">
        <v>2629</v>
      </c>
      <c r="AO884" t="s">
        <v>13924</v>
      </c>
      <c r="AP884" t="s">
        <v>13925</v>
      </c>
      <c r="AQ884" t="s">
        <v>74</v>
      </c>
      <c r="AR884" t="s">
        <v>13926</v>
      </c>
      <c r="AS884" t="s">
        <v>13927</v>
      </c>
      <c r="AT884" t="s">
        <v>12161</v>
      </c>
      <c r="AU884">
        <v>2020</v>
      </c>
      <c r="AV884">
        <v>52</v>
      </c>
      <c r="AW884">
        <v>1</v>
      </c>
      <c r="AX884" t="s">
        <v>74</v>
      </c>
      <c r="AY884" t="s">
        <v>74</v>
      </c>
      <c r="AZ884" t="s">
        <v>74</v>
      </c>
      <c r="BA884" t="s">
        <v>74</v>
      </c>
      <c r="BB884">
        <v>105</v>
      </c>
      <c r="BC884">
        <v>108</v>
      </c>
      <c r="BD884" t="s">
        <v>74</v>
      </c>
      <c r="BE884" t="s">
        <v>16884</v>
      </c>
      <c r="BF884" t="str">
        <f>HYPERLINK("http://dx.doi.org/10.1080/15230430.2020.1736902","http://dx.doi.org/10.1080/15230430.2020.1736902")</f>
        <v>http://dx.doi.org/10.1080/15230430.2020.1736902</v>
      </c>
      <c r="BG884" t="s">
        <v>74</v>
      </c>
      <c r="BH884" t="s">
        <v>74</v>
      </c>
      <c r="BI884">
        <v>4</v>
      </c>
      <c r="BJ884" t="s">
        <v>13929</v>
      </c>
      <c r="BK884" t="s">
        <v>103</v>
      </c>
      <c r="BL884" t="s">
        <v>1828</v>
      </c>
      <c r="BM884" t="s">
        <v>16885</v>
      </c>
      <c r="BN884" t="s">
        <v>74</v>
      </c>
      <c r="BO884" t="s">
        <v>2592</v>
      </c>
      <c r="BP884" t="s">
        <v>74</v>
      </c>
      <c r="BQ884" t="s">
        <v>74</v>
      </c>
      <c r="BR884" t="s">
        <v>106</v>
      </c>
      <c r="BS884" t="s">
        <v>16886</v>
      </c>
      <c r="BT884" t="str">
        <f>HYPERLINK("https%3A%2F%2Fwww.webofscience.com%2Fwos%2Fwoscc%2Ffull-record%2FWOS:000522421800001","View Full Record in Web of Science")</f>
        <v>View Full Record in Web of Science</v>
      </c>
    </row>
    <row r="885" spans="1:72" x14ac:dyDescent="0.15">
      <c r="A885" t="s">
        <v>72</v>
      </c>
      <c r="B885" t="s">
        <v>16887</v>
      </c>
      <c r="C885" t="s">
        <v>74</v>
      </c>
      <c r="D885" t="s">
        <v>74</v>
      </c>
      <c r="E885" t="s">
        <v>74</v>
      </c>
      <c r="F885" t="s">
        <v>16888</v>
      </c>
      <c r="G885" t="s">
        <v>74</v>
      </c>
      <c r="H885" t="s">
        <v>74</v>
      </c>
      <c r="I885" t="s">
        <v>16889</v>
      </c>
      <c r="J885" t="s">
        <v>16890</v>
      </c>
      <c r="K885" t="s">
        <v>74</v>
      </c>
      <c r="L885" t="s">
        <v>74</v>
      </c>
      <c r="M885" t="s">
        <v>78</v>
      </c>
      <c r="N885" t="s">
        <v>79</v>
      </c>
      <c r="O885" t="s">
        <v>74</v>
      </c>
      <c r="P885" t="s">
        <v>74</v>
      </c>
      <c r="Q885" t="s">
        <v>74</v>
      </c>
      <c r="R885" t="s">
        <v>74</v>
      </c>
      <c r="S885" t="s">
        <v>74</v>
      </c>
      <c r="T885" t="s">
        <v>16891</v>
      </c>
      <c r="U885" t="s">
        <v>16892</v>
      </c>
      <c r="V885" t="s">
        <v>16893</v>
      </c>
      <c r="W885" t="s">
        <v>16894</v>
      </c>
      <c r="X885" t="s">
        <v>16895</v>
      </c>
      <c r="Y885" t="s">
        <v>16896</v>
      </c>
      <c r="Z885" t="s">
        <v>16897</v>
      </c>
      <c r="AA885" t="s">
        <v>74</v>
      </c>
      <c r="AB885" t="s">
        <v>16898</v>
      </c>
      <c r="AC885" t="s">
        <v>74</v>
      </c>
      <c r="AD885" t="s">
        <v>74</v>
      </c>
      <c r="AE885" t="s">
        <v>74</v>
      </c>
      <c r="AF885" t="s">
        <v>74</v>
      </c>
      <c r="AG885">
        <v>104</v>
      </c>
      <c r="AH885">
        <v>1</v>
      </c>
      <c r="AI885">
        <v>2</v>
      </c>
      <c r="AJ885">
        <v>0</v>
      </c>
      <c r="AK885">
        <v>2</v>
      </c>
      <c r="AL885" t="s">
        <v>14008</v>
      </c>
      <c r="AM885" t="s">
        <v>14009</v>
      </c>
      <c r="AN885" t="s">
        <v>14010</v>
      </c>
      <c r="AO885" t="s">
        <v>16899</v>
      </c>
      <c r="AP885" t="s">
        <v>16900</v>
      </c>
      <c r="AQ885" t="s">
        <v>74</v>
      </c>
      <c r="AR885" t="s">
        <v>16901</v>
      </c>
      <c r="AS885" t="s">
        <v>16902</v>
      </c>
      <c r="AT885" t="s">
        <v>74</v>
      </c>
      <c r="AU885">
        <v>2020</v>
      </c>
      <c r="AV885">
        <v>34</v>
      </c>
      <c r="AW885">
        <v>1</v>
      </c>
      <c r="AX885" t="s">
        <v>74</v>
      </c>
      <c r="AY885" t="s">
        <v>74</v>
      </c>
      <c r="AZ885" t="s">
        <v>74</v>
      </c>
      <c r="BA885" t="s">
        <v>74</v>
      </c>
      <c r="BB885">
        <v>1</v>
      </c>
      <c r="BC885">
        <v>33</v>
      </c>
      <c r="BD885" t="s">
        <v>74</v>
      </c>
      <c r="BE885" t="s">
        <v>16903</v>
      </c>
      <c r="BF885" t="str">
        <f>HYPERLINK("http://dx.doi.org/10.1071/IS19012","http://dx.doi.org/10.1071/IS19012")</f>
        <v>http://dx.doi.org/10.1071/IS19012</v>
      </c>
      <c r="BG885" t="s">
        <v>74</v>
      </c>
      <c r="BH885" t="s">
        <v>74</v>
      </c>
      <c r="BI885">
        <v>33</v>
      </c>
      <c r="BJ885" t="s">
        <v>5447</v>
      </c>
      <c r="BK885" t="s">
        <v>103</v>
      </c>
      <c r="BL885" t="s">
        <v>5447</v>
      </c>
      <c r="BM885" t="s">
        <v>16904</v>
      </c>
      <c r="BN885" t="s">
        <v>74</v>
      </c>
      <c r="BO885" t="s">
        <v>74</v>
      </c>
      <c r="BP885" t="s">
        <v>74</v>
      </c>
      <c r="BQ885" t="s">
        <v>74</v>
      </c>
      <c r="BR885" t="s">
        <v>106</v>
      </c>
      <c r="BS885" t="s">
        <v>16905</v>
      </c>
      <c r="BT885" t="str">
        <f>HYPERLINK("https%3A%2F%2Fwww.webofscience.com%2Fwos%2Fwoscc%2Ffull-record%2FWOS:000521389400001","View Full Record in Web of Science")</f>
        <v>View Full Record in Web of Science</v>
      </c>
    </row>
    <row r="886" spans="1:72" x14ac:dyDescent="0.15">
      <c r="A886" t="s">
        <v>72</v>
      </c>
      <c r="B886" t="s">
        <v>16906</v>
      </c>
      <c r="C886" t="s">
        <v>74</v>
      </c>
      <c r="D886" t="s">
        <v>74</v>
      </c>
      <c r="E886" t="s">
        <v>74</v>
      </c>
      <c r="F886" t="s">
        <v>16907</v>
      </c>
      <c r="G886" t="s">
        <v>74</v>
      </c>
      <c r="H886" t="s">
        <v>74</v>
      </c>
      <c r="I886" t="s">
        <v>16908</v>
      </c>
      <c r="J886" t="s">
        <v>16890</v>
      </c>
      <c r="K886" t="s">
        <v>74</v>
      </c>
      <c r="L886" t="s">
        <v>74</v>
      </c>
      <c r="M886" t="s">
        <v>78</v>
      </c>
      <c r="N886" t="s">
        <v>79</v>
      </c>
      <c r="O886" t="s">
        <v>74</v>
      </c>
      <c r="P886" t="s">
        <v>74</v>
      </c>
      <c r="Q886" t="s">
        <v>74</v>
      </c>
      <c r="R886" t="s">
        <v>74</v>
      </c>
      <c r="S886" t="s">
        <v>74</v>
      </c>
      <c r="T886" t="s">
        <v>16909</v>
      </c>
      <c r="U886" t="s">
        <v>16910</v>
      </c>
      <c r="V886" t="s">
        <v>16911</v>
      </c>
      <c r="W886" t="s">
        <v>16912</v>
      </c>
      <c r="X886" t="s">
        <v>16913</v>
      </c>
      <c r="Y886" t="s">
        <v>16914</v>
      </c>
      <c r="Z886" t="s">
        <v>16915</v>
      </c>
      <c r="AA886" t="s">
        <v>16916</v>
      </c>
      <c r="AB886" t="s">
        <v>16917</v>
      </c>
      <c r="AC886" t="s">
        <v>16918</v>
      </c>
      <c r="AD886" t="s">
        <v>16919</v>
      </c>
      <c r="AE886" t="s">
        <v>16920</v>
      </c>
      <c r="AF886" t="s">
        <v>74</v>
      </c>
      <c r="AG886">
        <v>49</v>
      </c>
      <c r="AH886">
        <v>16</v>
      </c>
      <c r="AI886">
        <v>18</v>
      </c>
      <c r="AJ886">
        <v>0</v>
      </c>
      <c r="AK886">
        <v>19</v>
      </c>
      <c r="AL886" t="s">
        <v>14008</v>
      </c>
      <c r="AM886" t="s">
        <v>14009</v>
      </c>
      <c r="AN886" t="s">
        <v>14010</v>
      </c>
      <c r="AO886" t="s">
        <v>16899</v>
      </c>
      <c r="AP886" t="s">
        <v>16900</v>
      </c>
      <c r="AQ886" t="s">
        <v>74</v>
      </c>
      <c r="AR886" t="s">
        <v>16901</v>
      </c>
      <c r="AS886" t="s">
        <v>16902</v>
      </c>
      <c r="AT886" t="s">
        <v>74</v>
      </c>
      <c r="AU886">
        <v>2020</v>
      </c>
      <c r="AV886">
        <v>34</v>
      </c>
      <c r="AW886">
        <v>1</v>
      </c>
      <c r="AX886" t="s">
        <v>74</v>
      </c>
      <c r="AY886" t="s">
        <v>74</v>
      </c>
      <c r="AZ886" t="s">
        <v>74</v>
      </c>
      <c r="BA886" t="s">
        <v>74</v>
      </c>
      <c r="BB886">
        <v>101</v>
      </c>
      <c r="BC886">
        <v>111</v>
      </c>
      <c r="BD886" t="s">
        <v>74</v>
      </c>
      <c r="BE886" t="s">
        <v>16921</v>
      </c>
      <c r="BF886" t="str">
        <f>HYPERLINK("http://dx.doi.org/10.1071/IS19020","http://dx.doi.org/10.1071/IS19020")</f>
        <v>http://dx.doi.org/10.1071/IS19020</v>
      </c>
      <c r="BG886" t="s">
        <v>74</v>
      </c>
      <c r="BH886" t="s">
        <v>74</v>
      </c>
      <c r="BI886">
        <v>11</v>
      </c>
      <c r="BJ886" t="s">
        <v>5447</v>
      </c>
      <c r="BK886" t="s">
        <v>103</v>
      </c>
      <c r="BL886" t="s">
        <v>5447</v>
      </c>
      <c r="BM886" t="s">
        <v>16904</v>
      </c>
      <c r="BN886" t="s">
        <v>74</v>
      </c>
      <c r="BO886" t="s">
        <v>74</v>
      </c>
      <c r="BP886" t="s">
        <v>74</v>
      </c>
      <c r="BQ886" t="s">
        <v>74</v>
      </c>
      <c r="BR886" t="s">
        <v>106</v>
      </c>
      <c r="BS886" t="s">
        <v>16922</v>
      </c>
      <c r="BT886" t="str">
        <f>HYPERLINK("https%3A%2F%2Fwww.webofscience.com%2Fwos%2Fwoscc%2Ffull-record%2FWOS:000521389400004","View Full Record in Web of Science")</f>
        <v>View Full Record in Web of Science</v>
      </c>
    </row>
    <row r="887" spans="1:72" x14ac:dyDescent="0.15">
      <c r="A887" t="s">
        <v>72</v>
      </c>
      <c r="B887" t="s">
        <v>16923</v>
      </c>
      <c r="C887" t="s">
        <v>74</v>
      </c>
      <c r="D887" t="s">
        <v>74</v>
      </c>
      <c r="E887" t="s">
        <v>74</v>
      </c>
      <c r="F887" t="s">
        <v>16924</v>
      </c>
      <c r="G887" t="s">
        <v>74</v>
      </c>
      <c r="H887" t="s">
        <v>74</v>
      </c>
      <c r="I887" t="s">
        <v>16925</v>
      </c>
      <c r="J887" t="s">
        <v>16926</v>
      </c>
      <c r="K887" t="s">
        <v>74</v>
      </c>
      <c r="L887" t="s">
        <v>74</v>
      </c>
      <c r="M887" t="s">
        <v>78</v>
      </c>
      <c r="N887" t="s">
        <v>1434</v>
      </c>
      <c r="O887" t="s">
        <v>74</v>
      </c>
      <c r="P887" t="s">
        <v>74</v>
      </c>
      <c r="Q887" t="s">
        <v>74</v>
      </c>
      <c r="R887" t="s">
        <v>74</v>
      </c>
      <c r="S887" t="s">
        <v>74</v>
      </c>
      <c r="T887" t="s">
        <v>16927</v>
      </c>
      <c r="U887" t="s">
        <v>16928</v>
      </c>
      <c r="V887" t="s">
        <v>16929</v>
      </c>
      <c r="W887" t="s">
        <v>16930</v>
      </c>
      <c r="X887" t="s">
        <v>16931</v>
      </c>
      <c r="Y887" t="s">
        <v>16932</v>
      </c>
      <c r="Z887" t="s">
        <v>16933</v>
      </c>
      <c r="AA887" t="s">
        <v>16934</v>
      </c>
      <c r="AB887" t="s">
        <v>16935</v>
      </c>
      <c r="AC887" t="s">
        <v>74</v>
      </c>
      <c r="AD887" t="s">
        <v>74</v>
      </c>
      <c r="AE887" t="s">
        <v>74</v>
      </c>
      <c r="AF887" t="s">
        <v>74</v>
      </c>
      <c r="AG887">
        <v>132</v>
      </c>
      <c r="AH887">
        <v>2</v>
      </c>
      <c r="AI887">
        <v>2</v>
      </c>
      <c r="AJ887">
        <v>3</v>
      </c>
      <c r="AK887">
        <v>20</v>
      </c>
      <c r="AL887" t="s">
        <v>3839</v>
      </c>
      <c r="AM887" t="s">
        <v>166</v>
      </c>
      <c r="AN887" t="s">
        <v>3840</v>
      </c>
      <c r="AO887" t="s">
        <v>16936</v>
      </c>
      <c r="AP887" t="s">
        <v>16937</v>
      </c>
      <c r="AQ887" t="s">
        <v>74</v>
      </c>
      <c r="AR887" t="s">
        <v>16938</v>
      </c>
      <c r="AS887" t="s">
        <v>16939</v>
      </c>
      <c r="AT887" t="s">
        <v>1033</v>
      </c>
      <c r="AU887">
        <v>2020</v>
      </c>
      <c r="AV887">
        <v>13</v>
      </c>
      <c r="AW887">
        <v>1</v>
      </c>
      <c r="AX887" t="s">
        <v>74</v>
      </c>
      <c r="AY887" t="s">
        <v>74</v>
      </c>
      <c r="AZ887" t="s">
        <v>74</v>
      </c>
      <c r="BA887" t="s">
        <v>74</v>
      </c>
      <c r="BB887">
        <v>88</v>
      </c>
      <c r="BC887">
        <v>97</v>
      </c>
      <c r="BD887" t="s">
        <v>74</v>
      </c>
      <c r="BE887" t="s">
        <v>16940</v>
      </c>
      <c r="BF887" t="str">
        <f>HYPERLINK("http://dx.doi.org/10.1134/S1995082920010150","http://dx.doi.org/10.1134/S1995082920010150")</f>
        <v>http://dx.doi.org/10.1134/S1995082920010150</v>
      </c>
      <c r="BG887" t="s">
        <v>74</v>
      </c>
      <c r="BH887" t="s">
        <v>74</v>
      </c>
      <c r="BI887">
        <v>10</v>
      </c>
      <c r="BJ887" t="s">
        <v>344</v>
      </c>
      <c r="BK887" t="s">
        <v>103</v>
      </c>
      <c r="BL887" t="s">
        <v>344</v>
      </c>
      <c r="BM887" t="s">
        <v>16941</v>
      </c>
      <c r="BN887" t="s">
        <v>74</v>
      </c>
      <c r="BO887" t="s">
        <v>74</v>
      </c>
      <c r="BP887" t="s">
        <v>74</v>
      </c>
      <c r="BQ887" t="s">
        <v>74</v>
      </c>
      <c r="BR887" t="s">
        <v>106</v>
      </c>
      <c r="BS887" t="s">
        <v>16942</v>
      </c>
      <c r="BT887" t="str">
        <f>HYPERLINK("https%3A%2F%2Fwww.webofscience.com%2Fwos%2Fwoscc%2Ffull-record%2FWOS:000519388200010","View Full Record in Web of Science")</f>
        <v>View Full Record in Web of Science</v>
      </c>
    </row>
    <row r="888" spans="1:72" x14ac:dyDescent="0.15">
      <c r="A888" t="s">
        <v>72</v>
      </c>
      <c r="B888" t="s">
        <v>16943</v>
      </c>
      <c r="C888" t="s">
        <v>74</v>
      </c>
      <c r="D888" t="s">
        <v>74</v>
      </c>
      <c r="E888" t="s">
        <v>74</v>
      </c>
      <c r="F888" t="s">
        <v>16944</v>
      </c>
      <c r="G888" t="s">
        <v>74</v>
      </c>
      <c r="H888" t="s">
        <v>74</v>
      </c>
      <c r="I888" t="s">
        <v>16945</v>
      </c>
      <c r="J888" t="s">
        <v>16926</v>
      </c>
      <c r="K888" t="s">
        <v>74</v>
      </c>
      <c r="L888" t="s">
        <v>74</v>
      </c>
      <c r="M888" t="s">
        <v>78</v>
      </c>
      <c r="N888" t="s">
        <v>79</v>
      </c>
      <c r="O888" t="s">
        <v>74</v>
      </c>
      <c r="P888" t="s">
        <v>74</v>
      </c>
      <c r="Q888" t="s">
        <v>74</v>
      </c>
      <c r="R888" t="s">
        <v>74</v>
      </c>
      <c r="S888" t="s">
        <v>74</v>
      </c>
      <c r="T888" t="s">
        <v>16946</v>
      </c>
      <c r="U888" t="s">
        <v>16947</v>
      </c>
      <c r="V888" t="s">
        <v>16948</v>
      </c>
      <c r="W888" t="s">
        <v>16949</v>
      </c>
      <c r="X888" t="s">
        <v>16950</v>
      </c>
      <c r="Y888" t="s">
        <v>16951</v>
      </c>
      <c r="Z888" t="s">
        <v>16952</v>
      </c>
      <c r="AA888" t="s">
        <v>16953</v>
      </c>
      <c r="AB888" t="s">
        <v>16954</v>
      </c>
      <c r="AC888" t="s">
        <v>16955</v>
      </c>
      <c r="AD888" t="s">
        <v>8395</v>
      </c>
      <c r="AE888" t="s">
        <v>16956</v>
      </c>
      <c r="AF888" t="s">
        <v>74</v>
      </c>
      <c r="AG888">
        <v>30</v>
      </c>
      <c r="AH888">
        <v>0</v>
      </c>
      <c r="AI888">
        <v>0</v>
      </c>
      <c r="AJ888">
        <v>0</v>
      </c>
      <c r="AK888">
        <v>2</v>
      </c>
      <c r="AL888" t="s">
        <v>3839</v>
      </c>
      <c r="AM888" t="s">
        <v>166</v>
      </c>
      <c r="AN888" t="s">
        <v>3840</v>
      </c>
      <c r="AO888" t="s">
        <v>16936</v>
      </c>
      <c r="AP888" t="s">
        <v>16937</v>
      </c>
      <c r="AQ888" t="s">
        <v>74</v>
      </c>
      <c r="AR888" t="s">
        <v>16938</v>
      </c>
      <c r="AS888" t="s">
        <v>16939</v>
      </c>
      <c r="AT888" t="s">
        <v>1033</v>
      </c>
      <c r="AU888">
        <v>2020</v>
      </c>
      <c r="AV888">
        <v>13</v>
      </c>
      <c r="AW888">
        <v>1</v>
      </c>
      <c r="AX888" t="s">
        <v>74</v>
      </c>
      <c r="AY888" t="s">
        <v>74</v>
      </c>
      <c r="AZ888" t="s">
        <v>74</v>
      </c>
      <c r="BA888" t="s">
        <v>74</v>
      </c>
      <c r="BB888">
        <v>98</v>
      </c>
      <c r="BC888">
        <v>103</v>
      </c>
      <c r="BD888" t="s">
        <v>74</v>
      </c>
      <c r="BE888" t="s">
        <v>16957</v>
      </c>
      <c r="BF888" t="str">
        <f>HYPERLINK("http://dx.doi.org/10.1134/S1995082920010162","http://dx.doi.org/10.1134/S1995082920010162")</f>
        <v>http://dx.doi.org/10.1134/S1995082920010162</v>
      </c>
      <c r="BG888" t="s">
        <v>74</v>
      </c>
      <c r="BH888" t="s">
        <v>74</v>
      </c>
      <c r="BI888">
        <v>6</v>
      </c>
      <c r="BJ888" t="s">
        <v>344</v>
      </c>
      <c r="BK888" t="s">
        <v>103</v>
      </c>
      <c r="BL888" t="s">
        <v>344</v>
      </c>
      <c r="BM888" t="s">
        <v>16941</v>
      </c>
      <c r="BN888" t="s">
        <v>74</v>
      </c>
      <c r="BO888" t="s">
        <v>74</v>
      </c>
      <c r="BP888" t="s">
        <v>74</v>
      </c>
      <c r="BQ888" t="s">
        <v>74</v>
      </c>
      <c r="BR888" t="s">
        <v>106</v>
      </c>
      <c r="BS888" t="s">
        <v>16958</v>
      </c>
      <c r="BT888" t="str">
        <f>HYPERLINK("https%3A%2F%2Fwww.webofscience.com%2Fwos%2Fwoscc%2Ffull-record%2FWOS:000519388200011","View Full Record in Web of Science")</f>
        <v>View Full Record in Web of Science</v>
      </c>
    </row>
    <row r="889" spans="1:72" x14ac:dyDescent="0.15">
      <c r="A889" t="s">
        <v>72</v>
      </c>
      <c r="B889" t="s">
        <v>16959</v>
      </c>
      <c r="C889" t="s">
        <v>74</v>
      </c>
      <c r="D889" t="s">
        <v>74</v>
      </c>
      <c r="E889" t="s">
        <v>74</v>
      </c>
      <c r="F889" t="s">
        <v>16960</v>
      </c>
      <c r="G889" t="s">
        <v>74</v>
      </c>
      <c r="H889" t="s">
        <v>74</v>
      </c>
      <c r="I889" t="s">
        <v>16961</v>
      </c>
      <c r="J889" t="s">
        <v>16962</v>
      </c>
      <c r="K889" t="s">
        <v>74</v>
      </c>
      <c r="L889" t="s">
        <v>74</v>
      </c>
      <c r="M889" t="s">
        <v>78</v>
      </c>
      <c r="N889" t="s">
        <v>79</v>
      </c>
      <c r="O889" t="s">
        <v>74</v>
      </c>
      <c r="P889" t="s">
        <v>74</v>
      </c>
      <c r="Q889" t="s">
        <v>74</v>
      </c>
      <c r="R889" t="s">
        <v>74</v>
      </c>
      <c r="S889" t="s">
        <v>74</v>
      </c>
      <c r="T889" t="s">
        <v>16963</v>
      </c>
      <c r="U889" t="s">
        <v>16964</v>
      </c>
      <c r="V889" t="s">
        <v>16965</v>
      </c>
      <c r="W889" t="s">
        <v>16966</v>
      </c>
      <c r="X889" t="s">
        <v>16967</v>
      </c>
      <c r="Y889" t="s">
        <v>16968</v>
      </c>
      <c r="Z889" t="s">
        <v>16969</v>
      </c>
      <c r="AA889" t="s">
        <v>16970</v>
      </c>
      <c r="AB889" t="s">
        <v>16971</v>
      </c>
      <c r="AC889" t="s">
        <v>74</v>
      </c>
      <c r="AD889" t="s">
        <v>74</v>
      </c>
      <c r="AE889" t="s">
        <v>74</v>
      </c>
      <c r="AF889" t="s">
        <v>74</v>
      </c>
      <c r="AG889">
        <v>16</v>
      </c>
      <c r="AH889">
        <v>7</v>
      </c>
      <c r="AI889">
        <v>7</v>
      </c>
      <c r="AJ889">
        <v>0</v>
      </c>
      <c r="AK889">
        <v>0</v>
      </c>
      <c r="AL889" t="s">
        <v>14554</v>
      </c>
      <c r="AM889" t="s">
        <v>14555</v>
      </c>
      <c r="AN889" t="s">
        <v>14556</v>
      </c>
      <c r="AO889" t="s">
        <v>16972</v>
      </c>
      <c r="AP889" t="s">
        <v>16973</v>
      </c>
      <c r="AQ889" t="s">
        <v>74</v>
      </c>
      <c r="AR889" t="s">
        <v>16974</v>
      </c>
      <c r="AS889" t="s">
        <v>16975</v>
      </c>
      <c r="AT889" t="s">
        <v>74</v>
      </c>
      <c r="AU889">
        <v>2020</v>
      </c>
      <c r="AV889">
        <v>27</v>
      </c>
      <c r="AW889">
        <v>1</v>
      </c>
      <c r="AX889" t="s">
        <v>74</v>
      </c>
      <c r="AY889" t="s">
        <v>74</v>
      </c>
      <c r="AZ889" t="s">
        <v>74</v>
      </c>
      <c r="BA889" t="s">
        <v>74</v>
      </c>
      <c r="BB889">
        <v>151</v>
      </c>
      <c r="BC889">
        <v>165</v>
      </c>
      <c r="BD889" t="s">
        <v>74</v>
      </c>
      <c r="BE889" t="s">
        <v>16976</v>
      </c>
      <c r="BF889" t="str">
        <f>HYPERLINK("http://dx.doi.org/10.24425/mms.2020.131722","http://dx.doi.org/10.24425/mms.2020.131722")</f>
        <v>http://dx.doi.org/10.24425/mms.2020.131722</v>
      </c>
      <c r="BG889" t="s">
        <v>74</v>
      </c>
      <c r="BH889" t="s">
        <v>74</v>
      </c>
      <c r="BI889">
        <v>15</v>
      </c>
      <c r="BJ889" t="s">
        <v>10079</v>
      </c>
      <c r="BK889" t="s">
        <v>103</v>
      </c>
      <c r="BL889" t="s">
        <v>10079</v>
      </c>
      <c r="BM889" t="s">
        <v>16977</v>
      </c>
      <c r="BN889" t="s">
        <v>74</v>
      </c>
      <c r="BO889" t="s">
        <v>2592</v>
      </c>
      <c r="BP889" t="s">
        <v>74</v>
      </c>
      <c r="BQ889" t="s">
        <v>74</v>
      </c>
      <c r="BR889" t="s">
        <v>106</v>
      </c>
      <c r="BS889" t="s">
        <v>16978</v>
      </c>
      <c r="BT889" t="str">
        <f>HYPERLINK("https%3A%2F%2Fwww.webofscience.com%2Fwos%2Fwoscc%2Ffull-record%2FWOS:000521052200012","View Full Record in Web of Science")</f>
        <v>View Full Record in Web of Science</v>
      </c>
    </row>
    <row r="890" spans="1:72" x14ac:dyDescent="0.15">
      <c r="A890" t="s">
        <v>72</v>
      </c>
      <c r="B890" t="s">
        <v>16979</v>
      </c>
      <c r="C890" t="s">
        <v>74</v>
      </c>
      <c r="D890" t="s">
        <v>74</v>
      </c>
      <c r="E890" t="s">
        <v>74</v>
      </c>
      <c r="F890" t="s">
        <v>16980</v>
      </c>
      <c r="G890" t="s">
        <v>74</v>
      </c>
      <c r="H890" t="s">
        <v>74</v>
      </c>
      <c r="I890" t="s">
        <v>16981</v>
      </c>
      <c r="J890" t="s">
        <v>3611</v>
      </c>
      <c r="K890" t="s">
        <v>74</v>
      </c>
      <c r="L890" t="s">
        <v>74</v>
      </c>
      <c r="M890" t="s">
        <v>78</v>
      </c>
      <c r="N890" t="s">
        <v>79</v>
      </c>
      <c r="O890" t="s">
        <v>74</v>
      </c>
      <c r="P890" t="s">
        <v>74</v>
      </c>
      <c r="Q890" t="s">
        <v>74</v>
      </c>
      <c r="R890" t="s">
        <v>74</v>
      </c>
      <c r="S890" t="s">
        <v>74</v>
      </c>
      <c r="T890" t="s">
        <v>16982</v>
      </c>
      <c r="U890" t="s">
        <v>74</v>
      </c>
      <c r="V890" t="s">
        <v>16983</v>
      </c>
      <c r="W890" t="s">
        <v>16984</v>
      </c>
      <c r="X890" t="s">
        <v>16985</v>
      </c>
      <c r="Y890" t="s">
        <v>16986</v>
      </c>
      <c r="Z890" t="s">
        <v>16987</v>
      </c>
      <c r="AA890" t="s">
        <v>74</v>
      </c>
      <c r="AB890" t="s">
        <v>12876</v>
      </c>
      <c r="AC890" t="s">
        <v>16988</v>
      </c>
      <c r="AD890" t="s">
        <v>16989</v>
      </c>
      <c r="AE890" t="s">
        <v>16990</v>
      </c>
      <c r="AF890" t="s">
        <v>74</v>
      </c>
      <c r="AG890">
        <v>27</v>
      </c>
      <c r="AH890">
        <v>4</v>
      </c>
      <c r="AI890">
        <v>4</v>
      </c>
      <c r="AJ890">
        <v>0</v>
      </c>
      <c r="AK890">
        <v>5</v>
      </c>
      <c r="AL890" t="s">
        <v>3622</v>
      </c>
      <c r="AM890" t="s">
        <v>3623</v>
      </c>
      <c r="AN890" t="s">
        <v>3624</v>
      </c>
      <c r="AO890" t="s">
        <v>3625</v>
      </c>
      <c r="AP890" t="s">
        <v>3626</v>
      </c>
      <c r="AQ890" t="s">
        <v>74</v>
      </c>
      <c r="AR890" t="s">
        <v>3627</v>
      </c>
      <c r="AS890" t="s">
        <v>3628</v>
      </c>
      <c r="AT890" t="s">
        <v>1033</v>
      </c>
      <c r="AU890">
        <v>2020</v>
      </c>
      <c r="AV890">
        <v>45</v>
      </c>
      <c r="AW890">
        <v>1</v>
      </c>
      <c r="AX890" t="s">
        <v>74</v>
      </c>
      <c r="AY890" t="s">
        <v>74</v>
      </c>
      <c r="AZ890" t="s">
        <v>74</v>
      </c>
      <c r="BA890" t="s">
        <v>74</v>
      </c>
      <c r="BB890">
        <v>22</v>
      </c>
      <c r="BC890">
        <v>28</v>
      </c>
      <c r="BD890" t="s">
        <v>74</v>
      </c>
      <c r="BE890" t="s">
        <v>16991</v>
      </c>
      <c r="BF890" t="str">
        <f>HYPERLINK("http://dx.doi.org/10.3103/S1068373920010033","http://dx.doi.org/10.3103/S1068373920010033")</f>
        <v>http://dx.doi.org/10.3103/S1068373920010033</v>
      </c>
      <c r="BG890" t="s">
        <v>74</v>
      </c>
      <c r="BH890" t="s">
        <v>74</v>
      </c>
      <c r="BI890">
        <v>7</v>
      </c>
      <c r="BJ890" t="s">
        <v>907</v>
      </c>
      <c r="BK890" t="s">
        <v>103</v>
      </c>
      <c r="BL890" t="s">
        <v>907</v>
      </c>
      <c r="BM890" t="s">
        <v>16992</v>
      </c>
      <c r="BN890" t="s">
        <v>74</v>
      </c>
      <c r="BO890" t="s">
        <v>74</v>
      </c>
      <c r="BP890" t="s">
        <v>74</v>
      </c>
      <c r="BQ890" t="s">
        <v>74</v>
      </c>
      <c r="BR890" t="s">
        <v>106</v>
      </c>
      <c r="BS890" t="s">
        <v>16993</v>
      </c>
      <c r="BT890" t="str">
        <f>HYPERLINK("https%3A%2F%2Fwww.webofscience.com%2Fwos%2Fwoscc%2Ffull-record%2FWOS:000519893700003","View Full Record in Web of Science")</f>
        <v>View Full Record in Web of Science</v>
      </c>
    </row>
    <row r="891" spans="1:72" x14ac:dyDescent="0.15">
      <c r="A891" t="s">
        <v>72</v>
      </c>
      <c r="B891" t="s">
        <v>16994</v>
      </c>
      <c r="C891" t="s">
        <v>74</v>
      </c>
      <c r="D891" t="s">
        <v>74</v>
      </c>
      <c r="E891" t="s">
        <v>74</v>
      </c>
      <c r="F891" t="s">
        <v>16995</v>
      </c>
      <c r="G891" t="s">
        <v>74</v>
      </c>
      <c r="H891" t="s">
        <v>74</v>
      </c>
      <c r="I891" t="s">
        <v>16996</v>
      </c>
      <c r="J891" t="s">
        <v>13911</v>
      </c>
      <c r="K891" t="s">
        <v>74</v>
      </c>
      <c r="L891" t="s">
        <v>74</v>
      </c>
      <c r="M891" t="s">
        <v>78</v>
      </c>
      <c r="N891" t="s">
        <v>79</v>
      </c>
      <c r="O891" t="s">
        <v>74</v>
      </c>
      <c r="P891" t="s">
        <v>74</v>
      </c>
      <c r="Q891" t="s">
        <v>74</v>
      </c>
      <c r="R891" t="s">
        <v>74</v>
      </c>
      <c r="S891" t="s">
        <v>74</v>
      </c>
      <c r="T891" t="s">
        <v>16997</v>
      </c>
      <c r="U891" t="s">
        <v>16998</v>
      </c>
      <c r="V891" t="s">
        <v>16999</v>
      </c>
      <c r="W891" t="s">
        <v>17000</v>
      </c>
      <c r="X891" t="s">
        <v>17001</v>
      </c>
      <c r="Y891" t="s">
        <v>17002</v>
      </c>
      <c r="Z891" t="s">
        <v>17003</v>
      </c>
      <c r="AA891" t="s">
        <v>74</v>
      </c>
      <c r="AB891" t="s">
        <v>17004</v>
      </c>
      <c r="AC891" t="s">
        <v>17005</v>
      </c>
      <c r="AD891" t="s">
        <v>17006</v>
      </c>
      <c r="AE891" t="s">
        <v>17007</v>
      </c>
      <c r="AF891" t="s">
        <v>74</v>
      </c>
      <c r="AG891">
        <v>52</v>
      </c>
      <c r="AH891">
        <v>1</v>
      </c>
      <c r="AI891">
        <v>1</v>
      </c>
      <c r="AJ891">
        <v>0</v>
      </c>
      <c r="AK891">
        <v>11</v>
      </c>
      <c r="AL891" t="s">
        <v>2627</v>
      </c>
      <c r="AM891" t="s">
        <v>2628</v>
      </c>
      <c r="AN891" t="s">
        <v>2629</v>
      </c>
      <c r="AO891" t="s">
        <v>13924</v>
      </c>
      <c r="AP891" t="s">
        <v>13925</v>
      </c>
      <c r="AQ891" t="s">
        <v>74</v>
      </c>
      <c r="AR891" t="s">
        <v>13926</v>
      </c>
      <c r="AS891" t="s">
        <v>13927</v>
      </c>
      <c r="AT891" t="s">
        <v>12161</v>
      </c>
      <c r="AU891">
        <v>2020</v>
      </c>
      <c r="AV891">
        <v>52</v>
      </c>
      <c r="AW891">
        <v>1</v>
      </c>
      <c r="AX891" t="s">
        <v>74</v>
      </c>
      <c r="AY891" t="s">
        <v>74</v>
      </c>
      <c r="AZ891" t="s">
        <v>74</v>
      </c>
      <c r="BA891" t="s">
        <v>74</v>
      </c>
      <c r="BB891">
        <v>70</v>
      </c>
      <c r="BC891">
        <v>86</v>
      </c>
      <c r="BD891" t="s">
        <v>74</v>
      </c>
      <c r="BE891" t="s">
        <v>17008</v>
      </c>
      <c r="BF891" t="str">
        <f>HYPERLINK("http://dx.doi.org/10.1080/15230430.2020.1723853","http://dx.doi.org/10.1080/15230430.2020.1723853")</f>
        <v>http://dx.doi.org/10.1080/15230430.2020.1723853</v>
      </c>
      <c r="BG891" t="s">
        <v>74</v>
      </c>
      <c r="BH891" t="s">
        <v>74</v>
      </c>
      <c r="BI891">
        <v>17</v>
      </c>
      <c r="BJ891" t="s">
        <v>13929</v>
      </c>
      <c r="BK891" t="s">
        <v>103</v>
      </c>
      <c r="BL891" t="s">
        <v>1828</v>
      </c>
      <c r="BM891" t="s">
        <v>17009</v>
      </c>
      <c r="BN891" t="s">
        <v>74</v>
      </c>
      <c r="BO891" t="s">
        <v>1359</v>
      </c>
      <c r="BP891" t="s">
        <v>74</v>
      </c>
      <c r="BQ891" t="s">
        <v>74</v>
      </c>
      <c r="BR891" t="s">
        <v>106</v>
      </c>
      <c r="BS891" t="s">
        <v>17010</v>
      </c>
      <c r="BT891" t="str">
        <f>HYPERLINK("https%3A%2F%2Fwww.webofscience.com%2Fwos%2Fwoscc%2Ffull-record%2FWOS:000520466700001","View Full Record in Web of Science")</f>
        <v>View Full Record in Web of Science</v>
      </c>
    </row>
    <row r="892" spans="1:72" x14ac:dyDescent="0.15">
      <c r="A892" t="s">
        <v>72</v>
      </c>
      <c r="B892" t="s">
        <v>17011</v>
      </c>
      <c r="C892" t="s">
        <v>74</v>
      </c>
      <c r="D892" t="s">
        <v>74</v>
      </c>
      <c r="E892" t="s">
        <v>74</v>
      </c>
      <c r="F892" t="s">
        <v>17012</v>
      </c>
      <c r="G892" t="s">
        <v>74</v>
      </c>
      <c r="H892" t="s">
        <v>74</v>
      </c>
      <c r="I892" t="s">
        <v>17013</v>
      </c>
      <c r="J892" t="s">
        <v>13973</v>
      </c>
      <c r="K892" t="s">
        <v>74</v>
      </c>
      <c r="L892" t="s">
        <v>74</v>
      </c>
      <c r="M892" t="s">
        <v>78</v>
      </c>
      <c r="N892" t="s">
        <v>79</v>
      </c>
      <c r="O892" t="s">
        <v>74</v>
      </c>
      <c r="P892" t="s">
        <v>74</v>
      </c>
      <c r="Q892" t="s">
        <v>74</v>
      </c>
      <c r="R892" t="s">
        <v>74</v>
      </c>
      <c r="S892" t="s">
        <v>74</v>
      </c>
      <c r="T892" t="s">
        <v>17014</v>
      </c>
      <c r="U892" t="s">
        <v>17015</v>
      </c>
      <c r="V892" t="s">
        <v>17016</v>
      </c>
      <c r="W892" t="s">
        <v>17017</v>
      </c>
      <c r="X892" t="s">
        <v>17018</v>
      </c>
      <c r="Y892" t="s">
        <v>17019</v>
      </c>
      <c r="Z892" t="s">
        <v>17020</v>
      </c>
      <c r="AA892" t="s">
        <v>17021</v>
      </c>
      <c r="AB892" t="s">
        <v>17022</v>
      </c>
      <c r="AC892" t="s">
        <v>17023</v>
      </c>
      <c r="AD892" t="s">
        <v>17024</v>
      </c>
      <c r="AE892" t="s">
        <v>17025</v>
      </c>
      <c r="AF892" t="s">
        <v>74</v>
      </c>
      <c r="AG892">
        <v>39</v>
      </c>
      <c r="AH892">
        <v>8</v>
      </c>
      <c r="AI892">
        <v>8</v>
      </c>
      <c r="AJ892">
        <v>1</v>
      </c>
      <c r="AK892">
        <v>14</v>
      </c>
      <c r="AL892" t="s">
        <v>13984</v>
      </c>
      <c r="AM892" t="s">
        <v>545</v>
      </c>
      <c r="AN892" t="s">
        <v>14155</v>
      </c>
      <c r="AO892" t="s">
        <v>13986</v>
      </c>
      <c r="AP892" t="s">
        <v>13987</v>
      </c>
      <c r="AQ892" t="s">
        <v>74</v>
      </c>
      <c r="AR892" t="s">
        <v>13988</v>
      </c>
      <c r="AS892" t="s">
        <v>13989</v>
      </c>
      <c r="AT892" t="s">
        <v>1033</v>
      </c>
      <c r="AU892">
        <v>2020</v>
      </c>
      <c r="AV892">
        <v>70</v>
      </c>
      <c r="AW892">
        <v>1</v>
      </c>
      <c r="AX892" t="s">
        <v>74</v>
      </c>
      <c r="AY892" t="s">
        <v>74</v>
      </c>
      <c r="AZ892" t="s">
        <v>74</v>
      </c>
      <c r="BA892" t="s">
        <v>74</v>
      </c>
      <c r="BB892">
        <v>211</v>
      </c>
      <c r="BC892">
        <v>219</v>
      </c>
      <c r="BD892" t="s">
        <v>74</v>
      </c>
      <c r="BE892" t="s">
        <v>17026</v>
      </c>
      <c r="BF892" t="str">
        <f>HYPERLINK("http://dx.doi.org/10.1099/ijsem.0.003739","http://dx.doi.org/10.1099/ijsem.0.003739")</f>
        <v>http://dx.doi.org/10.1099/ijsem.0.003739</v>
      </c>
      <c r="BG892" t="s">
        <v>74</v>
      </c>
      <c r="BH892" t="s">
        <v>74</v>
      </c>
      <c r="BI892">
        <v>9</v>
      </c>
      <c r="BJ892" t="s">
        <v>273</v>
      </c>
      <c r="BK892" t="s">
        <v>103</v>
      </c>
      <c r="BL892" t="s">
        <v>273</v>
      </c>
      <c r="BM892" t="s">
        <v>17027</v>
      </c>
      <c r="BN892">
        <v>31617840</v>
      </c>
      <c r="BO892" t="s">
        <v>517</v>
      </c>
      <c r="BP892" t="s">
        <v>74</v>
      </c>
      <c r="BQ892" t="s">
        <v>74</v>
      </c>
      <c r="BR892" t="s">
        <v>106</v>
      </c>
      <c r="BS892" t="s">
        <v>17028</v>
      </c>
      <c r="BT892" t="str">
        <f>HYPERLINK("https%3A%2F%2Fwww.webofscience.com%2Fwos%2Fwoscc%2Ffull-record%2FWOS:000514419600031","View Full Record in Web of Science")</f>
        <v>View Full Record in Web of Science</v>
      </c>
    </row>
    <row r="893" spans="1:72" x14ac:dyDescent="0.15">
      <c r="A893" t="s">
        <v>72</v>
      </c>
      <c r="B893" t="s">
        <v>17029</v>
      </c>
      <c r="C893" t="s">
        <v>74</v>
      </c>
      <c r="D893" t="s">
        <v>74</v>
      </c>
      <c r="E893" t="s">
        <v>74</v>
      </c>
      <c r="F893" t="s">
        <v>17030</v>
      </c>
      <c r="G893" t="s">
        <v>74</v>
      </c>
      <c r="H893" t="s">
        <v>74</v>
      </c>
      <c r="I893" t="s">
        <v>17031</v>
      </c>
      <c r="J893" t="s">
        <v>13973</v>
      </c>
      <c r="K893" t="s">
        <v>74</v>
      </c>
      <c r="L893" t="s">
        <v>74</v>
      </c>
      <c r="M893" t="s">
        <v>78</v>
      </c>
      <c r="N893" t="s">
        <v>79</v>
      </c>
      <c r="O893" t="s">
        <v>74</v>
      </c>
      <c r="P893" t="s">
        <v>74</v>
      </c>
      <c r="Q893" t="s">
        <v>74</v>
      </c>
      <c r="R893" t="s">
        <v>74</v>
      </c>
      <c r="S893" t="s">
        <v>74</v>
      </c>
      <c r="T893" t="s">
        <v>17032</v>
      </c>
      <c r="U893" t="s">
        <v>17033</v>
      </c>
      <c r="V893" t="s">
        <v>17034</v>
      </c>
      <c r="W893" t="s">
        <v>17035</v>
      </c>
      <c r="X893" t="s">
        <v>17036</v>
      </c>
      <c r="Y893" t="s">
        <v>14572</v>
      </c>
      <c r="Z893" t="s">
        <v>14573</v>
      </c>
      <c r="AA893" t="s">
        <v>17037</v>
      </c>
      <c r="AB893" t="s">
        <v>74</v>
      </c>
      <c r="AC893" t="s">
        <v>17038</v>
      </c>
      <c r="AD893" t="s">
        <v>17039</v>
      </c>
      <c r="AE893" t="s">
        <v>17040</v>
      </c>
      <c r="AF893" t="s">
        <v>74</v>
      </c>
      <c r="AG893">
        <v>37</v>
      </c>
      <c r="AH893">
        <v>10</v>
      </c>
      <c r="AI893">
        <v>10</v>
      </c>
      <c r="AJ893">
        <v>0</v>
      </c>
      <c r="AK893">
        <v>12</v>
      </c>
      <c r="AL893" t="s">
        <v>13984</v>
      </c>
      <c r="AM893" t="s">
        <v>545</v>
      </c>
      <c r="AN893" t="s">
        <v>13985</v>
      </c>
      <c r="AO893" t="s">
        <v>13986</v>
      </c>
      <c r="AP893" t="s">
        <v>13987</v>
      </c>
      <c r="AQ893" t="s">
        <v>74</v>
      </c>
      <c r="AR893" t="s">
        <v>13988</v>
      </c>
      <c r="AS893" t="s">
        <v>13989</v>
      </c>
      <c r="AT893" t="s">
        <v>1033</v>
      </c>
      <c r="AU893">
        <v>2020</v>
      </c>
      <c r="AV893">
        <v>70</v>
      </c>
      <c r="AW893">
        <v>1</v>
      </c>
      <c r="AX893" t="s">
        <v>74</v>
      </c>
      <c r="AY893" t="s">
        <v>74</v>
      </c>
      <c r="AZ893" t="s">
        <v>74</v>
      </c>
      <c r="BA893" t="s">
        <v>74</v>
      </c>
      <c r="BB893">
        <v>648</v>
      </c>
      <c r="BC893">
        <v>655</v>
      </c>
      <c r="BD893" t="s">
        <v>74</v>
      </c>
      <c r="BE893" t="s">
        <v>17041</v>
      </c>
      <c r="BF893" t="str">
        <f>HYPERLINK("http://dx.doi.org/10.1099/ijsem.0.003809","http://dx.doi.org/10.1099/ijsem.0.003809")</f>
        <v>http://dx.doi.org/10.1099/ijsem.0.003809</v>
      </c>
      <c r="BG893" t="s">
        <v>74</v>
      </c>
      <c r="BH893" t="s">
        <v>74</v>
      </c>
      <c r="BI893">
        <v>8</v>
      </c>
      <c r="BJ893" t="s">
        <v>273</v>
      </c>
      <c r="BK893" t="s">
        <v>103</v>
      </c>
      <c r="BL893" t="s">
        <v>273</v>
      </c>
      <c r="BM893" t="s">
        <v>17027</v>
      </c>
      <c r="BN893">
        <v>31661041</v>
      </c>
      <c r="BO893" t="s">
        <v>517</v>
      </c>
      <c r="BP893" t="s">
        <v>74</v>
      </c>
      <c r="BQ893" t="s">
        <v>74</v>
      </c>
      <c r="BR893" t="s">
        <v>106</v>
      </c>
      <c r="BS893" t="s">
        <v>17042</v>
      </c>
      <c r="BT893" t="str">
        <f>HYPERLINK("https%3A%2F%2Fwww.webofscience.com%2Fwos%2Fwoscc%2Ffull-record%2FWOS:000514419600089","View Full Record in Web of Science")</f>
        <v>View Full Record in Web of Science</v>
      </c>
    </row>
    <row r="894" spans="1:72" x14ac:dyDescent="0.15">
      <c r="A894" t="s">
        <v>72</v>
      </c>
      <c r="B894" t="s">
        <v>17043</v>
      </c>
      <c r="C894" t="s">
        <v>74</v>
      </c>
      <c r="D894" t="s">
        <v>74</v>
      </c>
      <c r="E894" t="s">
        <v>74</v>
      </c>
      <c r="F894" t="s">
        <v>17044</v>
      </c>
      <c r="G894" t="s">
        <v>74</v>
      </c>
      <c r="H894" t="s">
        <v>74</v>
      </c>
      <c r="I894" t="s">
        <v>17045</v>
      </c>
      <c r="J894" t="s">
        <v>3915</v>
      </c>
      <c r="K894" t="s">
        <v>74</v>
      </c>
      <c r="L894" t="s">
        <v>74</v>
      </c>
      <c r="M894" t="s">
        <v>78</v>
      </c>
      <c r="N894" t="s">
        <v>79</v>
      </c>
      <c r="O894" t="s">
        <v>74</v>
      </c>
      <c r="P894" t="s">
        <v>74</v>
      </c>
      <c r="Q894" t="s">
        <v>74</v>
      </c>
      <c r="R894" t="s">
        <v>74</v>
      </c>
      <c r="S894" t="s">
        <v>74</v>
      </c>
      <c r="T894" t="s">
        <v>17046</v>
      </c>
      <c r="U894" t="s">
        <v>17047</v>
      </c>
      <c r="V894" t="s">
        <v>17048</v>
      </c>
      <c r="W894" t="s">
        <v>17049</v>
      </c>
      <c r="X894" t="s">
        <v>17050</v>
      </c>
      <c r="Y894" t="s">
        <v>17051</v>
      </c>
      <c r="Z894" t="s">
        <v>17052</v>
      </c>
      <c r="AA894" t="s">
        <v>17053</v>
      </c>
      <c r="AB894" t="s">
        <v>17054</v>
      </c>
      <c r="AC894" t="s">
        <v>17055</v>
      </c>
      <c r="AD894" t="s">
        <v>17056</v>
      </c>
      <c r="AE894" t="s">
        <v>17057</v>
      </c>
      <c r="AF894" t="s">
        <v>74</v>
      </c>
      <c r="AG894">
        <v>50</v>
      </c>
      <c r="AH894">
        <v>21</v>
      </c>
      <c r="AI894">
        <v>21</v>
      </c>
      <c r="AJ894">
        <v>1</v>
      </c>
      <c r="AK894">
        <v>1</v>
      </c>
      <c r="AL894" t="s">
        <v>855</v>
      </c>
      <c r="AM894" t="s">
        <v>266</v>
      </c>
      <c r="AN894" t="s">
        <v>856</v>
      </c>
      <c r="AO894" t="s">
        <v>74</v>
      </c>
      <c r="AP894" t="s">
        <v>3928</v>
      </c>
      <c r="AQ894" t="s">
        <v>74</v>
      </c>
      <c r="AR894" t="s">
        <v>3929</v>
      </c>
      <c r="AS894" t="s">
        <v>3930</v>
      </c>
      <c r="AT894" t="s">
        <v>1033</v>
      </c>
      <c r="AU894">
        <v>2020</v>
      </c>
      <c r="AV894">
        <v>12</v>
      </c>
      <c r="AW894">
        <v>1</v>
      </c>
      <c r="AX894" t="s">
        <v>74</v>
      </c>
      <c r="AY894" t="s">
        <v>74</v>
      </c>
      <c r="AZ894" t="s">
        <v>74</v>
      </c>
      <c r="BA894" t="s">
        <v>74</v>
      </c>
      <c r="BB894" t="s">
        <v>74</v>
      </c>
      <c r="BC894" t="s">
        <v>74</v>
      </c>
      <c r="BD894" t="s">
        <v>17058</v>
      </c>
      <c r="BE894" t="s">
        <v>17059</v>
      </c>
      <c r="BF894" t="str">
        <f>HYPERLINK("http://dx.doi.org/10.1029/2019MS001855","http://dx.doi.org/10.1029/2019MS001855")</f>
        <v>http://dx.doi.org/10.1029/2019MS001855</v>
      </c>
      <c r="BG894" t="s">
        <v>74</v>
      </c>
      <c r="BH894" t="s">
        <v>74</v>
      </c>
      <c r="BI894">
        <v>21</v>
      </c>
      <c r="BJ894" t="s">
        <v>907</v>
      </c>
      <c r="BK894" t="s">
        <v>103</v>
      </c>
      <c r="BL894" t="s">
        <v>907</v>
      </c>
      <c r="BM894" t="s">
        <v>17060</v>
      </c>
      <c r="BN894" t="s">
        <v>74</v>
      </c>
      <c r="BO894" t="s">
        <v>987</v>
      </c>
      <c r="BP894" t="s">
        <v>74</v>
      </c>
      <c r="BQ894" t="s">
        <v>74</v>
      </c>
      <c r="BR894" t="s">
        <v>106</v>
      </c>
      <c r="BS894" t="s">
        <v>17061</v>
      </c>
      <c r="BT894" t="str">
        <f>HYPERLINK("https%3A%2F%2Fwww.webofscience.com%2Fwos%2Fwoscc%2Ffull-record%2FWOS:000519733400013","View Full Record in Web of Science")</f>
        <v>View Full Record in Web of Science</v>
      </c>
    </row>
    <row r="895" spans="1:72" x14ac:dyDescent="0.15">
      <c r="A895" t="s">
        <v>72</v>
      </c>
      <c r="B895" t="s">
        <v>17062</v>
      </c>
      <c r="C895" t="s">
        <v>74</v>
      </c>
      <c r="D895" t="s">
        <v>74</v>
      </c>
      <c r="E895" t="s">
        <v>74</v>
      </c>
      <c r="F895" t="s">
        <v>17063</v>
      </c>
      <c r="G895" t="s">
        <v>74</v>
      </c>
      <c r="H895" t="s">
        <v>74</v>
      </c>
      <c r="I895" t="s">
        <v>17064</v>
      </c>
      <c r="J895" t="s">
        <v>17065</v>
      </c>
      <c r="K895" t="s">
        <v>74</v>
      </c>
      <c r="L895" t="s">
        <v>74</v>
      </c>
      <c r="M895" t="s">
        <v>78</v>
      </c>
      <c r="N895" t="s">
        <v>79</v>
      </c>
      <c r="O895" t="s">
        <v>74</v>
      </c>
      <c r="P895" t="s">
        <v>74</v>
      </c>
      <c r="Q895" t="s">
        <v>74</v>
      </c>
      <c r="R895" t="s">
        <v>74</v>
      </c>
      <c r="S895" t="s">
        <v>74</v>
      </c>
      <c r="T895" t="s">
        <v>74</v>
      </c>
      <c r="U895" t="s">
        <v>17066</v>
      </c>
      <c r="V895" t="s">
        <v>17067</v>
      </c>
      <c r="W895" t="s">
        <v>17068</v>
      </c>
      <c r="X895" t="s">
        <v>17069</v>
      </c>
      <c r="Y895" t="s">
        <v>17070</v>
      </c>
      <c r="Z895" t="s">
        <v>17071</v>
      </c>
      <c r="AA895" t="s">
        <v>17072</v>
      </c>
      <c r="AB895" t="s">
        <v>17073</v>
      </c>
      <c r="AC895" t="s">
        <v>17074</v>
      </c>
      <c r="AD895" t="s">
        <v>17074</v>
      </c>
      <c r="AE895" t="s">
        <v>17075</v>
      </c>
      <c r="AF895" t="s">
        <v>74</v>
      </c>
      <c r="AG895">
        <v>34</v>
      </c>
      <c r="AH895">
        <v>16</v>
      </c>
      <c r="AI895">
        <v>16</v>
      </c>
      <c r="AJ895">
        <v>0</v>
      </c>
      <c r="AK895">
        <v>16</v>
      </c>
      <c r="AL895" t="s">
        <v>855</v>
      </c>
      <c r="AM895" t="s">
        <v>266</v>
      </c>
      <c r="AN895" t="s">
        <v>856</v>
      </c>
      <c r="AO895" t="s">
        <v>17076</v>
      </c>
      <c r="AP895" t="s">
        <v>17077</v>
      </c>
      <c r="AQ895" t="s">
        <v>74</v>
      </c>
      <c r="AR895" t="s">
        <v>17078</v>
      </c>
      <c r="AS895" t="s">
        <v>17079</v>
      </c>
      <c r="AT895" t="s">
        <v>1033</v>
      </c>
      <c r="AU895">
        <v>2020</v>
      </c>
      <c r="AV895">
        <v>56</v>
      </c>
      <c r="AW895">
        <v>1</v>
      </c>
      <c r="AX895" t="s">
        <v>74</v>
      </c>
      <c r="AY895" t="s">
        <v>74</v>
      </c>
      <c r="AZ895" t="s">
        <v>74</v>
      </c>
      <c r="BA895" t="s">
        <v>74</v>
      </c>
      <c r="BB895" t="s">
        <v>74</v>
      </c>
      <c r="BC895" t="s">
        <v>74</v>
      </c>
      <c r="BD895" t="s">
        <v>17080</v>
      </c>
      <c r="BE895" t="s">
        <v>17081</v>
      </c>
      <c r="BF895" t="str">
        <f>HYPERLINK("http://dx.doi.org/10.1029/2019WR026128","http://dx.doi.org/10.1029/2019WR026128")</f>
        <v>http://dx.doi.org/10.1029/2019WR026128</v>
      </c>
      <c r="BG895" t="s">
        <v>74</v>
      </c>
      <c r="BH895" t="s">
        <v>74</v>
      </c>
      <c r="BI895">
        <v>19</v>
      </c>
      <c r="BJ895" t="s">
        <v>17082</v>
      </c>
      <c r="BK895" t="s">
        <v>103</v>
      </c>
      <c r="BL895" t="s">
        <v>6538</v>
      </c>
      <c r="BM895" t="s">
        <v>17083</v>
      </c>
      <c r="BN895" t="s">
        <v>74</v>
      </c>
      <c r="BO895" t="s">
        <v>221</v>
      </c>
      <c r="BP895" t="s">
        <v>74</v>
      </c>
      <c r="BQ895" t="s">
        <v>74</v>
      </c>
      <c r="BR895" t="s">
        <v>106</v>
      </c>
      <c r="BS895" t="s">
        <v>17084</v>
      </c>
      <c r="BT895" t="str">
        <f>HYPERLINK("https%3A%2F%2Fwww.webofscience.com%2Fwos%2Fwoscc%2Ffull-record%2FWOS:000520132500034","View Full Record in Web of Science")</f>
        <v>View Full Record in Web of Science</v>
      </c>
    </row>
    <row r="896" spans="1:72" x14ac:dyDescent="0.15">
      <c r="A896" t="s">
        <v>72</v>
      </c>
      <c r="B896" t="s">
        <v>17085</v>
      </c>
      <c r="C896" t="s">
        <v>74</v>
      </c>
      <c r="D896" t="s">
        <v>74</v>
      </c>
      <c r="E896" t="s">
        <v>74</v>
      </c>
      <c r="F896" t="s">
        <v>17086</v>
      </c>
      <c r="G896" t="s">
        <v>74</v>
      </c>
      <c r="H896" t="s">
        <v>74</v>
      </c>
      <c r="I896" t="s">
        <v>17087</v>
      </c>
      <c r="J896" t="s">
        <v>8697</v>
      </c>
      <c r="K896" t="s">
        <v>74</v>
      </c>
      <c r="L896" t="s">
        <v>74</v>
      </c>
      <c r="M896" t="s">
        <v>78</v>
      </c>
      <c r="N896" t="s">
        <v>79</v>
      </c>
      <c r="O896" t="s">
        <v>74</v>
      </c>
      <c r="P896" t="s">
        <v>74</v>
      </c>
      <c r="Q896" t="s">
        <v>74</v>
      </c>
      <c r="R896" t="s">
        <v>74</v>
      </c>
      <c r="S896" t="s">
        <v>74</v>
      </c>
      <c r="T896" t="s">
        <v>17088</v>
      </c>
      <c r="U896" t="s">
        <v>17089</v>
      </c>
      <c r="V896" t="s">
        <v>17090</v>
      </c>
      <c r="W896" t="s">
        <v>17091</v>
      </c>
      <c r="X896" t="s">
        <v>17092</v>
      </c>
      <c r="Y896" t="s">
        <v>17093</v>
      </c>
      <c r="Z896" t="s">
        <v>17094</v>
      </c>
      <c r="AA896" t="s">
        <v>8905</v>
      </c>
      <c r="AB896" t="s">
        <v>17095</v>
      </c>
      <c r="AC896" t="s">
        <v>17096</v>
      </c>
      <c r="AD896" t="s">
        <v>17097</v>
      </c>
      <c r="AE896" t="s">
        <v>17098</v>
      </c>
      <c r="AF896" t="s">
        <v>74</v>
      </c>
      <c r="AG896">
        <v>62</v>
      </c>
      <c r="AH896">
        <v>15</v>
      </c>
      <c r="AI896">
        <v>16</v>
      </c>
      <c r="AJ896">
        <v>2</v>
      </c>
      <c r="AK896">
        <v>12</v>
      </c>
      <c r="AL896" t="s">
        <v>3817</v>
      </c>
      <c r="AM896" t="s">
        <v>3818</v>
      </c>
      <c r="AN896" t="s">
        <v>3819</v>
      </c>
      <c r="AO896" t="s">
        <v>74</v>
      </c>
      <c r="AP896" t="s">
        <v>8710</v>
      </c>
      <c r="AQ896" t="s">
        <v>74</v>
      </c>
      <c r="AR896" t="s">
        <v>8711</v>
      </c>
      <c r="AS896" t="s">
        <v>8712</v>
      </c>
      <c r="AT896" t="s">
        <v>1033</v>
      </c>
      <c r="AU896">
        <v>2020</v>
      </c>
      <c r="AV896">
        <v>11</v>
      </c>
      <c r="AW896">
        <v>1</v>
      </c>
      <c r="AX896" t="s">
        <v>74</v>
      </c>
      <c r="AY896" t="s">
        <v>74</v>
      </c>
      <c r="AZ896" t="s">
        <v>74</v>
      </c>
      <c r="BA896" t="s">
        <v>74</v>
      </c>
      <c r="BB896" t="s">
        <v>74</v>
      </c>
      <c r="BC896" t="s">
        <v>74</v>
      </c>
      <c r="BD896">
        <v>108</v>
      </c>
      <c r="BE896" t="s">
        <v>17099</v>
      </c>
      <c r="BF896" t="str">
        <f>HYPERLINK("http://dx.doi.org/10.3390/atmos11010108","http://dx.doi.org/10.3390/atmos11010108")</f>
        <v>http://dx.doi.org/10.3390/atmos11010108</v>
      </c>
      <c r="BG896" t="s">
        <v>74</v>
      </c>
      <c r="BH896" t="s">
        <v>74</v>
      </c>
      <c r="BI896">
        <v>20</v>
      </c>
      <c r="BJ896" t="s">
        <v>984</v>
      </c>
      <c r="BK896" t="s">
        <v>103</v>
      </c>
      <c r="BL896" t="s">
        <v>985</v>
      </c>
      <c r="BM896" t="s">
        <v>17100</v>
      </c>
      <c r="BN896" t="s">
        <v>74</v>
      </c>
      <c r="BO896" t="s">
        <v>276</v>
      </c>
      <c r="BP896" t="s">
        <v>74</v>
      </c>
      <c r="BQ896" t="s">
        <v>74</v>
      </c>
      <c r="BR896" t="s">
        <v>106</v>
      </c>
      <c r="BS896" t="s">
        <v>17101</v>
      </c>
      <c r="BT896" t="str">
        <f>HYPERLINK("https%3A%2F%2Fwww.webofscience.com%2Fwos%2Fwoscc%2Ffull-record%2FWOS:000516826200108","View Full Record in Web of Science")</f>
        <v>View Full Record in Web of Science</v>
      </c>
    </row>
    <row r="897" spans="1:72" x14ac:dyDescent="0.15">
      <c r="A897" t="s">
        <v>72</v>
      </c>
      <c r="B897" t="s">
        <v>17102</v>
      </c>
      <c r="C897" t="s">
        <v>74</v>
      </c>
      <c r="D897" t="s">
        <v>74</v>
      </c>
      <c r="E897" t="s">
        <v>74</v>
      </c>
      <c r="F897" t="s">
        <v>17103</v>
      </c>
      <c r="G897" t="s">
        <v>74</v>
      </c>
      <c r="H897" t="s">
        <v>74</v>
      </c>
      <c r="I897" t="s">
        <v>17104</v>
      </c>
      <c r="J897" t="s">
        <v>17105</v>
      </c>
      <c r="K897" t="s">
        <v>74</v>
      </c>
      <c r="L897" t="s">
        <v>74</v>
      </c>
      <c r="M897" t="s">
        <v>78</v>
      </c>
      <c r="N897" t="s">
        <v>79</v>
      </c>
      <c r="O897" t="s">
        <v>74</v>
      </c>
      <c r="P897" t="s">
        <v>74</v>
      </c>
      <c r="Q897" t="s">
        <v>74</v>
      </c>
      <c r="R897" t="s">
        <v>74</v>
      </c>
      <c r="S897" t="s">
        <v>74</v>
      </c>
      <c r="T897" t="s">
        <v>17106</v>
      </c>
      <c r="U897" t="s">
        <v>17107</v>
      </c>
      <c r="V897" t="s">
        <v>17108</v>
      </c>
      <c r="W897" t="s">
        <v>17109</v>
      </c>
      <c r="X897" t="s">
        <v>17110</v>
      </c>
      <c r="Y897" t="s">
        <v>17111</v>
      </c>
      <c r="Z897" t="s">
        <v>17112</v>
      </c>
      <c r="AA897" t="s">
        <v>17113</v>
      </c>
      <c r="AB897" t="s">
        <v>17114</v>
      </c>
      <c r="AC897" t="s">
        <v>17115</v>
      </c>
      <c r="AD897" t="s">
        <v>17116</v>
      </c>
      <c r="AE897" t="s">
        <v>17117</v>
      </c>
      <c r="AF897" t="s">
        <v>74</v>
      </c>
      <c r="AG897">
        <v>34</v>
      </c>
      <c r="AH897">
        <v>7</v>
      </c>
      <c r="AI897">
        <v>7</v>
      </c>
      <c r="AJ897">
        <v>2</v>
      </c>
      <c r="AK897">
        <v>13</v>
      </c>
      <c r="AL897" t="s">
        <v>3817</v>
      </c>
      <c r="AM897" t="s">
        <v>3818</v>
      </c>
      <c r="AN897" t="s">
        <v>3819</v>
      </c>
      <c r="AO897" t="s">
        <v>74</v>
      </c>
      <c r="AP897" t="s">
        <v>17118</v>
      </c>
      <c r="AQ897" t="s">
        <v>74</v>
      </c>
      <c r="AR897" t="s">
        <v>17119</v>
      </c>
      <c r="AS897" t="s">
        <v>17120</v>
      </c>
      <c r="AT897" t="s">
        <v>1033</v>
      </c>
      <c r="AU897">
        <v>2020</v>
      </c>
      <c r="AV897">
        <v>20</v>
      </c>
      <c r="AW897">
        <v>2</v>
      </c>
      <c r="AX897" t="s">
        <v>74</v>
      </c>
      <c r="AY897" t="s">
        <v>74</v>
      </c>
      <c r="AZ897" t="s">
        <v>74</v>
      </c>
      <c r="BA897" t="s">
        <v>74</v>
      </c>
      <c r="BB897" t="s">
        <v>74</v>
      </c>
      <c r="BC897" t="s">
        <v>74</v>
      </c>
      <c r="BD897">
        <v>540</v>
      </c>
      <c r="BE897" t="s">
        <v>17121</v>
      </c>
      <c r="BF897" t="str">
        <f>HYPERLINK("http://dx.doi.org/10.3390/s20020540","http://dx.doi.org/10.3390/s20020540")</f>
        <v>http://dx.doi.org/10.3390/s20020540</v>
      </c>
      <c r="BG897" t="s">
        <v>74</v>
      </c>
      <c r="BH897" t="s">
        <v>74</v>
      </c>
      <c r="BI897">
        <v>18</v>
      </c>
      <c r="BJ897" t="s">
        <v>17122</v>
      </c>
      <c r="BK897" t="s">
        <v>103</v>
      </c>
      <c r="BL897" t="s">
        <v>17123</v>
      </c>
      <c r="BM897" t="s">
        <v>17124</v>
      </c>
      <c r="BN897">
        <v>31963786</v>
      </c>
      <c r="BO897" t="s">
        <v>276</v>
      </c>
      <c r="BP897" t="s">
        <v>74</v>
      </c>
      <c r="BQ897" t="s">
        <v>74</v>
      </c>
      <c r="BR897" t="s">
        <v>106</v>
      </c>
      <c r="BS897" t="s">
        <v>17125</v>
      </c>
      <c r="BT897" t="str">
        <f>HYPERLINK("https%3A%2F%2Fwww.webofscience.com%2Fwos%2Fwoscc%2Ffull-record%2FWOS:000517790100214","View Full Record in Web of Science")</f>
        <v>View Full Record in Web of Science</v>
      </c>
    </row>
    <row r="898" spans="1:72" x14ac:dyDescent="0.15">
      <c r="A898" t="s">
        <v>72</v>
      </c>
      <c r="B898" t="s">
        <v>17126</v>
      </c>
      <c r="C898" t="s">
        <v>74</v>
      </c>
      <c r="D898" t="s">
        <v>74</v>
      </c>
      <c r="E898" t="s">
        <v>74</v>
      </c>
      <c r="F898" t="s">
        <v>17127</v>
      </c>
      <c r="G898" t="s">
        <v>74</v>
      </c>
      <c r="H898" t="s">
        <v>74</v>
      </c>
      <c r="I898" t="s">
        <v>17128</v>
      </c>
      <c r="J898" t="s">
        <v>17129</v>
      </c>
      <c r="K898" t="s">
        <v>74</v>
      </c>
      <c r="L898" t="s">
        <v>74</v>
      </c>
      <c r="M898" t="s">
        <v>78</v>
      </c>
      <c r="N898" t="s">
        <v>79</v>
      </c>
      <c r="O898" t="s">
        <v>74</v>
      </c>
      <c r="P898" t="s">
        <v>74</v>
      </c>
      <c r="Q898" t="s">
        <v>74</v>
      </c>
      <c r="R898" t="s">
        <v>74</v>
      </c>
      <c r="S898" t="s">
        <v>74</v>
      </c>
      <c r="T898" t="s">
        <v>17130</v>
      </c>
      <c r="U898" t="s">
        <v>17131</v>
      </c>
      <c r="V898" t="s">
        <v>17132</v>
      </c>
      <c r="W898" t="s">
        <v>17133</v>
      </c>
      <c r="X898" t="s">
        <v>17134</v>
      </c>
      <c r="Y898" t="s">
        <v>17135</v>
      </c>
      <c r="Z898" t="s">
        <v>17136</v>
      </c>
      <c r="AA898" t="s">
        <v>17137</v>
      </c>
      <c r="AB898" t="s">
        <v>17138</v>
      </c>
      <c r="AC898" t="s">
        <v>17139</v>
      </c>
      <c r="AD898" t="s">
        <v>17140</v>
      </c>
      <c r="AE898" t="s">
        <v>17141</v>
      </c>
      <c r="AF898" t="s">
        <v>74</v>
      </c>
      <c r="AG898">
        <v>33</v>
      </c>
      <c r="AH898">
        <v>0</v>
      </c>
      <c r="AI898">
        <v>0</v>
      </c>
      <c r="AJ898">
        <v>0</v>
      </c>
      <c r="AK898">
        <v>1</v>
      </c>
      <c r="AL898" t="s">
        <v>17142</v>
      </c>
      <c r="AM898" t="s">
        <v>17143</v>
      </c>
      <c r="AN898" t="s">
        <v>17144</v>
      </c>
      <c r="AO898" t="s">
        <v>17145</v>
      </c>
      <c r="AP898" t="s">
        <v>17146</v>
      </c>
      <c r="AQ898" t="s">
        <v>74</v>
      </c>
      <c r="AR898" t="s">
        <v>17147</v>
      </c>
      <c r="AS898" t="s">
        <v>17148</v>
      </c>
      <c r="AT898" t="s">
        <v>74</v>
      </c>
      <c r="AU898">
        <v>2020</v>
      </c>
      <c r="AV898">
        <v>50</v>
      </c>
      <c r="AW898">
        <v>1</v>
      </c>
      <c r="AX898" t="s">
        <v>74</v>
      </c>
      <c r="AY898" t="s">
        <v>74</v>
      </c>
      <c r="AZ898" t="s">
        <v>74</v>
      </c>
      <c r="BA898" t="s">
        <v>74</v>
      </c>
      <c r="BB898">
        <v>121</v>
      </c>
      <c r="BC898">
        <v>125</v>
      </c>
      <c r="BD898" t="s">
        <v>74</v>
      </c>
      <c r="BE898" t="s">
        <v>17149</v>
      </c>
      <c r="BF898" t="str">
        <f>HYPERLINK("http://dx.doi.org/10.3750/AIEP/02739","http://dx.doi.org/10.3750/AIEP/02739")</f>
        <v>http://dx.doi.org/10.3750/AIEP/02739</v>
      </c>
      <c r="BG898" t="s">
        <v>74</v>
      </c>
      <c r="BH898" t="s">
        <v>74</v>
      </c>
      <c r="BI898">
        <v>5</v>
      </c>
      <c r="BJ898" t="s">
        <v>17150</v>
      </c>
      <c r="BK898" t="s">
        <v>103</v>
      </c>
      <c r="BL898" t="s">
        <v>17150</v>
      </c>
      <c r="BM898" t="s">
        <v>17151</v>
      </c>
      <c r="BN898" t="s">
        <v>74</v>
      </c>
      <c r="BO898" t="s">
        <v>987</v>
      </c>
      <c r="BP898" t="s">
        <v>74</v>
      </c>
      <c r="BQ898" t="s">
        <v>74</v>
      </c>
      <c r="BR898" t="s">
        <v>106</v>
      </c>
      <c r="BS898" t="s">
        <v>17152</v>
      </c>
      <c r="BT898" t="str">
        <f>HYPERLINK("https%3A%2F%2Fwww.webofscience.com%2Fwos%2Fwoscc%2Ffull-record%2FWOS:000519241800014","View Full Record in Web of Science")</f>
        <v>View Full Record in Web of Science</v>
      </c>
    </row>
    <row r="899" spans="1:72" x14ac:dyDescent="0.15">
      <c r="A899" t="s">
        <v>72</v>
      </c>
      <c r="B899" t="s">
        <v>17153</v>
      </c>
      <c r="C899" t="s">
        <v>74</v>
      </c>
      <c r="D899" t="s">
        <v>74</v>
      </c>
      <c r="E899" t="s">
        <v>74</v>
      </c>
      <c r="F899" t="s">
        <v>17154</v>
      </c>
      <c r="G899" t="s">
        <v>74</v>
      </c>
      <c r="H899" t="s">
        <v>74</v>
      </c>
      <c r="I899" t="s">
        <v>17155</v>
      </c>
      <c r="J899" t="s">
        <v>8719</v>
      </c>
      <c r="K899" t="s">
        <v>74</v>
      </c>
      <c r="L899" t="s">
        <v>74</v>
      </c>
      <c r="M899" t="s">
        <v>78</v>
      </c>
      <c r="N899" t="s">
        <v>79</v>
      </c>
      <c r="O899" t="s">
        <v>74</v>
      </c>
      <c r="P899" t="s">
        <v>74</v>
      </c>
      <c r="Q899" t="s">
        <v>74</v>
      </c>
      <c r="R899" t="s">
        <v>74</v>
      </c>
      <c r="S899" t="s">
        <v>74</v>
      </c>
      <c r="T899" t="s">
        <v>17156</v>
      </c>
      <c r="U899" t="s">
        <v>17157</v>
      </c>
      <c r="V899" t="s">
        <v>17158</v>
      </c>
      <c r="W899" t="s">
        <v>17159</v>
      </c>
      <c r="X899" t="s">
        <v>17160</v>
      </c>
      <c r="Y899" t="s">
        <v>17161</v>
      </c>
      <c r="Z899" t="s">
        <v>17162</v>
      </c>
      <c r="AA899" t="s">
        <v>17163</v>
      </c>
      <c r="AB899" t="s">
        <v>17164</v>
      </c>
      <c r="AC899" t="s">
        <v>17165</v>
      </c>
      <c r="AD899" t="s">
        <v>17166</v>
      </c>
      <c r="AE899" t="s">
        <v>17167</v>
      </c>
      <c r="AF899" t="s">
        <v>74</v>
      </c>
      <c r="AG899">
        <v>40</v>
      </c>
      <c r="AH899">
        <v>5</v>
      </c>
      <c r="AI899">
        <v>6</v>
      </c>
      <c r="AJ899">
        <v>0</v>
      </c>
      <c r="AK899">
        <v>14</v>
      </c>
      <c r="AL899" t="s">
        <v>121</v>
      </c>
      <c r="AM899" t="s">
        <v>166</v>
      </c>
      <c r="AN899" t="s">
        <v>685</v>
      </c>
      <c r="AO899" t="s">
        <v>8729</v>
      </c>
      <c r="AP899" t="s">
        <v>8730</v>
      </c>
      <c r="AQ899" t="s">
        <v>74</v>
      </c>
      <c r="AR899" t="s">
        <v>8731</v>
      </c>
      <c r="AS899" t="s">
        <v>8732</v>
      </c>
      <c r="AT899" t="s">
        <v>1033</v>
      </c>
      <c r="AU899">
        <v>2020</v>
      </c>
      <c r="AV899">
        <v>39</v>
      </c>
      <c r="AW899">
        <v>1</v>
      </c>
      <c r="AX899" t="s">
        <v>74</v>
      </c>
      <c r="AY899" t="s">
        <v>74</v>
      </c>
      <c r="AZ899" t="s">
        <v>74</v>
      </c>
      <c r="BA899" t="s">
        <v>74</v>
      </c>
      <c r="BB899">
        <v>41</v>
      </c>
      <c r="BC899">
        <v>51</v>
      </c>
      <c r="BD899" t="s">
        <v>74</v>
      </c>
      <c r="BE899" t="s">
        <v>17168</v>
      </c>
      <c r="BF899" t="str">
        <f>HYPERLINK("http://dx.doi.org/10.1007/s13131-019-1519-y","http://dx.doi.org/10.1007/s13131-019-1519-y")</f>
        <v>http://dx.doi.org/10.1007/s13131-019-1519-y</v>
      </c>
      <c r="BG899" t="s">
        <v>74</v>
      </c>
      <c r="BH899" t="s">
        <v>74</v>
      </c>
      <c r="BI899">
        <v>11</v>
      </c>
      <c r="BJ899" t="s">
        <v>639</v>
      </c>
      <c r="BK899" t="s">
        <v>103</v>
      </c>
      <c r="BL899" t="s">
        <v>639</v>
      </c>
      <c r="BM899" t="s">
        <v>17169</v>
      </c>
      <c r="BN899" t="s">
        <v>74</v>
      </c>
      <c r="BO899" t="s">
        <v>74</v>
      </c>
      <c r="BP899" t="s">
        <v>74</v>
      </c>
      <c r="BQ899" t="s">
        <v>74</v>
      </c>
      <c r="BR899" t="s">
        <v>106</v>
      </c>
      <c r="BS899" t="s">
        <v>17170</v>
      </c>
      <c r="BT899" t="str">
        <f>HYPERLINK("https%3A%2F%2Fwww.webofscience.com%2Fwos%2Fwoscc%2Ffull-record%2FWOS:000519120000004","View Full Record in Web of Science")</f>
        <v>View Full Record in Web of Science</v>
      </c>
    </row>
    <row r="900" spans="1:72" x14ac:dyDescent="0.15">
      <c r="A900" t="s">
        <v>72</v>
      </c>
      <c r="B900" t="s">
        <v>17171</v>
      </c>
      <c r="C900" t="s">
        <v>74</v>
      </c>
      <c r="D900" t="s">
        <v>74</v>
      </c>
      <c r="E900" t="s">
        <v>74</v>
      </c>
      <c r="F900" t="s">
        <v>17172</v>
      </c>
      <c r="G900" t="s">
        <v>74</v>
      </c>
      <c r="H900" t="s">
        <v>74</v>
      </c>
      <c r="I900" t="s">
        <v>17173</v>
      </c>
      <c r="J900" t="s">
        <v>8719</v>
      </c>
      <c r="K900" t="s">
        <v>74</v>
      </c>
      <c r="L900" t="s">
        <v>74</v>
      </c>
      <c r="M900" t="s">
        <v>78</v>
      </c>
      <c r="N900" t="s">
        <v>79</v>
      </c>
      <c r="O900" t="s">
        <v>74</v>
      </c>
      <c r="P900" t="s">
        <v>74</v>
      </c>
      <c r="Q900" t="s">
        <v>74</v>
      </c>
      <c r="R900" t="s">
        <v>74</v>
      </c>
      <c r="S900" t="s">
        <v>74</v>
      </c>
      <c r="T900" t="s">
        <v>17174</v>
      </c>
      <c r="U900" t="s">
        <v>17175</v>
      </c>
      <c r="V900" t="s">
        <v>17176</v>
      </c>
      <c r="W900" t="s">
        <v>17177</v>
      </c>
      <c r="X900" t="s">
        <v>17178</v>
      </c>
      <c r="Y900" t="s">
        <v>17179</v>
      </c>
      <c r="Z900" t="s">
        <v>17180</v>
      </c>
      <c r="AA900" t="s">
        <v>17181</v>
      </c>
      <c r="AB900" t="s">
        <v>17182</v>
      </c>
      <c r="AC900" t="s">
        <v>17183</v>
      </c>
      <c r="AD900" t="s">
        <v>17184</v>
      </c>
      <c r="AE900" t="s">
        <v>17185</v>
      </c>
      <c r="AF900" t="s">
        <v>74</v>
      </c>
      <c r="AG900">
        <v>47</v>
      </c>
      <c r="AH900">
        <v>0</v>
      </c>
      <c r="AI900">
        <v>0</v>
      </c>
      <c r="AJ900">
        <v>1</v>
      </c>
      <c r="AK900">
        <v>37</v>
      </c>
      <c r="AL900" t="s">
        <v>121</v>
      </c>
      <c r="AM900" t="s">
        <v>166</v>
      </c>
      <c r="AN900" t="s">
        <v>685</v>
      </c>
      <c r="AO900" t="s">
        <v>8729</v>
      </c>
      <c r="AP900" t="s">
        <v>8730</v>
      </c>
      <c r="AQ900" t="s">
        <v>74</v>
      </c>
      <c r="AR900" t="s">
        <v>8731</v>
      </c>
      <c r="AS900" t="s">
        <v>8732</v>
      </c>
      <c r="AT900" t="s">
        <v>1033</v>
      </c>
      <c r="AU900">
        <v>2020</v>
      </c>
      <c r="AV900">
        <v>39</v>
      </c>
      <c r="AW900">
        <v>1</v>
      </c>
      <c r="AX900" t="s">
        <v>74</v>
      </c>
      <c r="AY900" t="s">
        <v>74</v>
      </c>
      <c r="AZ900" t="s">
        <v>74</v>
      </c>
      <c r="BA900" t="s">
        <v>74</v>
      </c>
      <c r="BB900">
        <v>118</v>
      </c>
      <c r="BC900">
        <v>129</v>
      </c>
      <c r="BD900" t="s">
        <v>74</v>
      </c>
      <c r="BE900" t="s">
        <v>17186</v>
      </c>
      <c r="BF900" t="str">
        <f>HYPERLINK("http://dx.doi.org/10.1007/s13131-019-1518-z","http://dx.doi.org/10.1007/s13131-019-1518-z")</f>
        <v>http://dx.doi.org/10.1007/s13131-019-1518-z</v>
      </c>
      <c r="BG900" t="s">
        <v>74</v>
      </c>
      <c r="BH900" t="s">
        <v>74</v>
      </c>
      <c r="BI900">
        <v>12</v>
      </c>
      <c r="BJ900" t="s">
        <v>639</v>
      </c>
      <c r="BK900" t="s">
        <v>103</v>
      </c>
      <c r="BL900" t="s">
        <v>639</v>
      </c>
      <c r="BM900" t="s">
        <v>17169</v>
      </c>
      <c r="BN900" t="s">
        <v>74</v>
      </c>
      <c r="BO900" t="s">
        <v>74</v>
      </c>
      <c r="BP900" t="s">
        <v>74</v>
      </c>
      <c r="BQ900" t="s">
        <v>74</v>
      </c>
      <c r="BR900" t="s">
        <v>106</v>
      </c>
      <c r="BS900" t="s">
        <v>17187</v>
      </c>
      <c r="BT900" t="str">
        <f>HYPERLINK("https%3A%2F%2Fwww.webofscience.com%2Fwos%2Fwoscc%2Ffull-record%2FWOS:000519120000012","View Full Record in Web of Science")</f>
        <v>View Full Record in Web of Science</v>
      </c>
    </row>
    <row r="901" spans="1:72" x14ac:dyDescent="0.15">
      <c r="A901" t="s">
        <v>72</v>
      </c>
      <c r="B901" t="s">
        <v>17188</v>
      </c>
      <c r="C901" t="s">
        <v>74</v>
      </c>
      <c r="D901" t="s">
        <v>74</v>
      </c>
      <c r="E901" t="s">
        <v>74</v>
      </c>
      <c r="F901" t="s">
        <v>17189</v>
      </c>
      <c r="G901" t="s">
        <v>74</v>
      </c>
      <c r="H901" t="s">
        <v>74</v>
      </c>
      <c r="I901" t="s">
        <v>17190</v>
      </c>
      <c r="J901" t="s">
        <v>4026</v>
      </c>
      <c r="K901" t="s">
        <v>74</v>
      </c>
      <c r="L901" t="s">
        <v>74</v>
      </c>
      <c r="M901" t="s">
        <v>78</v>
      </c>
      <c r="N901" t="s">
        <v>79</v>
      </c>
      <c r="O901" t="s">
        <v>74</v>
      </c>
      <c r="P901" t="s">
        <v>74</v>
      </c>
      <c r="Q901" t="s">
        <v>74</v>
      </c>
      <c r="R901" t="s">
        <v>74</v>
      </c>
      <c r="S901" t="s">
        <v>74</v>
      </c>
      <c r="T901" t="s">
        <v>17191</v>
      </c>
      <c r="U901" t="s">
        <v>17192</v>
      </c>
      <c r="V901" t="s">
        <v>17193</v>
      </c>
      <c r="W901" t="s">
        <v>17194</v>
      </c>
      <c r="X901" t="s">
        <v>17195</v>
      </c>
      <c r="Y901" t="s">
        <v>17196</v>
      </c>
      <c r="Z901" t="s">
        <v>17197</v>
      </c>
      <c r="AA901" t="s">
        <v>17198</v>
      </c>
      <c r="AB901" t="s">
        <v>17199</v>
      </c>
      <c r="AC901" t="s">
        <v>17200</v>
      </c>
      <c r="AD901" t="s">
        <v>17201</v>
      </c>
      <c r="AE901" t="s">
        <v>17202</v>
      </c>
      <c r="AF901" t="s">
        <v>74</v>
      </c>
      <c r="AG901">
        <v>204</v>
      </c>
      <c r="AH901">
        <v>198</v>
      </c>
      <c r="AI901">
        <v>219</v>
      </c>
      <c r="AJ901">
        <v>54</v>
      </c>
      <c r="AK901">
        <v>348</v>
      </c>
      <c r="AL901" t="s">
        <v>289</v>
      </c>
      <c r="AM901" t="s">
        <v>290</v>
      </c>
      <c r="AN901" t="s">
        <v>291</v>
      </c>
      <c r="AO901" t="s">
        <v>4039</v>
      </c>
      <c r="AP901" t="s">
        <v>4040</v>
      </c>
      <c r="AQ901" t="s">
        <v>74</v>
      </c>
      <c r="AR901" t="s">
        <v>4026</v>
      </c>
      <c r="AS901" t="s">
        <v>4041</v>
      </c>
      <c r="AT901" t="s">
        <v>1033</v>
      </c>
      <c r="AU901">
        <v>2020</v>
      </c>
      <c r="AV901">
        <v>91</v>
      </c>
      <c r="AW901" t="s">
        <v>74</v>
      </c>
      <c r="AX901" t="s">
        <v>74</v>
      </c>
      <c r="AY901" t="s">
        <v>74</v>
      </c>
      <c r="AZ901" t="s">
        <v>342</v>
      </c>
      <c r="BA901" t="s">
        <v>74</v>
      </c>
      <c r="BB901" t="s">
        <v>74</v>
      </c>
      <c r="BC901" t="s">
        <v>74</v>
      </c>
      <c r="BD901">
        <v>101632</v>
      </c>
      <c r="BE901" t="s">
        <v>17203</v>
      </c>
      <c r="BF901" t="str">
        <f>HYPERLINK("http://dx.doi.org/10.1016/j.hal.2019.101632","http://dx.doi.org/10.1016/j.hal.2019.101632")</f>
        <v>http://dx.doi.org/10.1016/j.hal.2019.101632</v>
      </c>
      <c r="BG901" t="s">
        <v>74</v>
      </c>
      <c r="BH901" t="s">
        <v>74</v>
      </c>
      <c r="BI901">
        <v>18</v>
      </c>
      <c r="BJ901" t="s">
        <v>344</v>
      </c>
      <c r="BK901" t="s">
        <v>103</v>
      </c>
      <c r="BL901" t="s">
        <v>344</v>
      </c>
      <c r="BM901" t="s">
        <v>17204</v>
      </c>
      <c r="BN901">
        <v>32057342</v>
      </c>
      <c r="BO901" t="s">
        <v>133</v>
      </c>
      <c r="BP901" t="s">
        <v>1869</v>
      </c>
      <c r="BQ901" t="s">
        <v>1870</v>
      </c>
      <c r="BR901" t="s">
        <v>106</v>
      </c>
      <c r="BS901" t="s">
        <v>17205</v>
      </c>
      <c r="BT901" t="str">
        <f>HYPERLINK("https%3A%2F%2Fwww.webofscience.com%2Fwos%2Fwoscc%2Ffull-record%2FWOS:000518705600012","View Full Record in Web of Science")</f>
        <v>View Full Record in Web of Science</v>
      </c>
    </row>
    <row r="902" spans="1:72" x14ac:dyDescent="0.15">
      <c r="A902" t="s">
        <v>72</v>
      </c>
      <c r="B902" t="s">
        <v>17206</v>
      </c>
      <c r="C902" t="s">
        <v>74</v>
      </c>
      <c r="D902" t="s">
        <v>74</v>
      </c>
      <c r="E902" t="s">
        <v>74</v>
      </c>
      <c r="F902" t="s">
        <v>17207</v>
      </c>
      <c r="G902" t="s">
        <v>74</v>
      </c>
      <c r="H902" t="s">
        <v>74</v>
      </c>
      <c r="I902" t="s">
        <v>17208</v>
      </c>
      <c r="J902" t="s">
        <v>4470</v>
      </c>
      <c r="K902" t="s">
        <v>74</v>
      </c>
      <c r="L902" t="s">
        <v>74</v>
      </c>
      <c r="M902" t="s">
        <v>78</v>
      </c>
      <c r="N902" t="s">
        <v>79</v>
      </c>
      <c r="O902" t="s">
        <v>74</v>
      </c>
      <c r="P902" t="s">
        <v>74</v>
      </c>
      <c r="Q902" t="s">
        <v>74</v>
      </c>
      <c r="R902" t="s">
        <v>74</v>
      </c>
      <c r="S902" t="s">
        <v>74</v>
      </c>
      <c r="T902" t="s">
        <v>74</v>
      </c>
      <c r="U902" t="s">
        <v>17209</v>
      </c>
      <c r="V902" t="s">
        <v>17210</v>
      </c>
      <c r="W902" t="s">
        <v>17211</v>
      </c>
      <c r="X902" t="s">
        <v>17212</v>
      </c>
      <c r="Y902" t="s">
        <v>17213</v>
      </c>
      <c r="Z902" t="s">
        <v>17214</v>
      </c>
      <c r="AA902" t="s">
        <v>17215</v>
      </c>
      <c r="AB902" t="s">
        <v>17216</v>
      </c>
      <c r="AC902" t="s">
        <v>17217</v>
      </c>
      <c r="AD902" t="s">
        <v>17218</v>
      </c>
      <c r="AE902" t="s">
        <v>17219</v>
      </c>
      <c r="AF902" t="s">
        <v>74</v>
      </c>
      <c r="AG902">
        <v>24</v>
      </c>
      <c r="AH902">
        <v>15</v>
      </c>
      <c r="AI902">
        <v>15</v>
      </c>
      <c r="AJ902">
        <v>0</v>
      </c>
      <c r="AK902">
        <v>3</v>
      </c>
      <c r="AL902" t="s">
        <v>855</v>
      </c>
      <c r="AM902" t="s">
        <v>266</v>
      </c>
      <c r="AN902" t="s">
        <v>856</v>
      </c>
      <c r="AO902" t="s">
        <v>4483</v>
      </c>
      <c r="AP902" t="s">
        <v>4484</v>
      </c>
      <c r="AQ902" t="s">
        <v>74</v>
      </c>
      <c r="AR902" t="s">
        <v>4485</v>
      </c>
      <c r="AS902" t="s">
        <v>4486</v>
      </c>
      <c r="AT902" t="s">
        <v>1033</v>
      </c>
      <c r="AU902">
        <v>2020</v>
      </c>
      <c r="AV902">
        <v>125</v>
      </c>
      <c r="AW902">
        <v>1</v>
      </c>
      <c r="AX902" t="s">
        <v>74</v>
      </c>
      <c r="AY902" t="s">
        <v>74</v>
      </c>
      <c r="AZ902" t="s">
        <v>74</v>
      </c>
      <c r="BA902" t="s">
        <v>74</v>
      </c>
      <c r="BB902" t="s">
        <v>74</v>
      </c>
      <c r="BC902" t="s">
        <v>74</v>
      </c>
      <c r="BD902" t="s">
        <v>17220</v>
      </c>
      <c r="BE902" t="s">
        <v>17221</v>
      </c>
      <c r="BF902" t="str">
        <f>HYPERLINK("http://dx.doi.org/10.1029/2019JF005280","http://dx.doi.org/10.1029/2019JF005280")</f>
        <v>http://dx.doi.org/10.1029/2019JF005280</v>
      </c>
      <c r="BG902" t="s">
        <v>74</v>
      </c>
      <c r="BH902" t="s">
        <v>74</v>
      </c>
      <c r="BI902">
        <v>16</v>
      </c>
      <c r="BJ902" t="s">
        <v>246</v>
      </c>
      <c r="BK902" t="s">
        <v>103</v>
      </c>
      <c r="BL902" t="s">
        <v>247</v>
      </c>
      <c r="BM902" t="s">
        <v>17222</v>
      </c>
      <c r="BN902" t="s">
        <v>74</v>
      </c>
      <c r="BO902" t="s">
        <v>1868</v>
      </c>
      <c r="BP902" t="s">
        <v>74</v>
      </c>
      <c r="BQ902" t="s">
        <v>74</v>
      </c>
      <c r="BR902" t="s">
        <v>106</v>
      </c>
      <c r="BS902" t="s">
        <v>17223</v>
      </c>
      <c r="BT902" t="str">
        <f>HYPERLINK("https%3A%2F%2Fwww.webofscience.com%2Fwos%2Fwoscc%2Ffull-record%2FWOS:000519120200001","View Full Record in Web of Science")</f>
        <v>View Full Record in Web of Science</v>
      </c>
    </row>
    <row r="903" spans="1:72" x14ac:dyDescent="0.15">
      <c r="A903" t="s">
        <v>72</v>
      </c>
      <c r="B903" t="s">
        <v>17224</v>
      </c>
      <c r="C903" t="s">
        <v>74</v>
      </c>
      <c r="D903" t="s">
        <v>74</v>
      </c>
      <c r="E903" t="s">
        <v>74</v>
      </c>
      <c r="F903" t="s">
        <v>17225</v>
      </c>
      <c r="G903" t="s">
        <v>74</v>
      </c>
      <c r="H903" t="s">
        <v>74</v>
      </c>
      <c r="I903" t="s">
        <v>17226</v>
      </c>
      <c r="J903" t="s">
        <v>3474</v>
      </c>
      <c r="K903" t="s">
        <v>74</v>
      </c>
      <c r="L903" t="s">
        <v>74</v>
      </c>
      <c r="M903" t="s">
        <v>78</v>
      </c>
      <c r="N903" t="s">
        <v>79</v>
      </c>
      <c r="O903" t="s">
        <v>74</v>
      </c>
      <c r="P903" t="s">
        <v>74</v>
      </c>
      <c r="Q903" t="s">
        <v>74</v>
      </c>
      <c r="R903" t="s">
        <v>74</v>
      </c>
      <c r="S903" t="s">
        <v>74</v>
      </c>
      <c r="T903" t="s">
        <v>17227</v>
      </c>
      <c r="U903" t="s">
        <v>17228</v>
      </c>
      <c r="V903" t="s">
        <v>17229</v>
      </c>
      <c r="W903" t="s">
        <v>17230</v>
      </c>
      <c r="X903" t="s">
        <v>17231</v>
      </c>
      <c r="Y903" t="s">
        <v>17232</v>
      </c>
      <c r="Z903" t="s">
        <v>17233</v>
      </c>
      <c r="AA903" t="s">
        <v>17234</v>
      </c>
      <c r="AB903" t="s">
        <v>17235</v>
      </c>
      <c r="AC903" t="s">
        <v>74</v>
      </c>
      <c r="AD903" t="s">
        <v>74</v>
      </c>
      <c r="AE903" t="s">
        <v>74</v>
      </c>
      <c r="AF903" t="s">
        <v>74</v>
      </c>
      <c r="AG903">
        <v>135</v>
      </c>
      <c r="AH903">
        <v>15</v>
      </c>
      <c r="AI903">
        <v>15</v>
      </c>
      <c r="AJ903">
        <v>0</v>
      </c>
      <c r="AK903">
        <v>28</v>
      </c>
      <c r="AL903" t="s">
        <v>1055</v>
      </c>
      <c r="AM903" t="s">
        <v>435</v>
      </c>
      <c r="AN903" t="s">
        <v>1056</v>
      </c>
      <c r="AO903" t="s">
        <v>3486</v>
      </c>
      <c r="AP903" t="s">
        <v>3487</v>
      </c>
      <c r="AQ903" t="s">
        <v>74</v>
      </c>
      <c r="AR903" t="s">
        <v>3488</v>
      </c>
      <c r="AS903" t="s">
        <v>3489</v>
      </c>
      <c r="AT903" t="s">
        <v>17236</v>
      </c>
      <c r="AU903">
        <v>2020</v>
      </c>
      <c r="AV903">
        <v>77</v>
      </c>
      <c r="AW903">
        <v>1</v>
      </c>
      <c r="AX903" t="s">
        <v>74</v>
      </c>
      <c r="AY903" t="s">
        <v>74</v>
      </c>
      <c r="AZ903" t="s">
        <v>74</v>
      </c>
      <c r="BA903" t="s">
        <v>74</v>
      </c>
      <c r="BB903">
        <v>58</v>
      </c>
      <c r="BC903">
        <v>71</v>
      </c>
      <c r="BD903" t="s">
        <v>74</v>
      </c>
      <c r="BE903" t="s">
        <v>17237</v>
      </c>
      <c r="BF903" t="str">
        <f>HYPERLINK("http://dx.doi.org/10.1093/icesjms/fsz208","http://dx.doi.org/10.1093/icesjms/fsz208")</f>
        <v>http://dx.doi.org/10.1093/icesjms/fsz208</v>
      </c>
      <c r="BG903" t="s">
        <v>74</v>
      </c>
      <c r="BH903" t="s">
        <v>74</v>
      </c>
      <c r="BI903">
        <v>14</v>
      </c>
      <c r="BJ903" t="s">
        <v>3491</v>
      </c>
      <c r="BK903" t="s">
        <v>103</v>
      </c>
      <c r="BL903" t="s">
        <v>3491</v>
      </c>
      <c r="BM903" t="s">
        <v>17238</v>
      </c>
      <c r="BN903" t="s">
        <v>74</v>
      </c>
      <c r="BO903" t="s">
        <v>6205</v>
      </c>
      <c r="BP903" t="s">
        <v>74</v>
      </c>
      <c r="BQ903" t="s">
        <v>74</v>
      </c>
      <c r="BR903" t="s">
        <v>106</v>
      </c>
      <c r="BS903" t="s">
        <v>17239</v>
      </c>
      <c r="BT903" t="str">
        <f>HYPERLINK("https%3A%2F%2Fwww.webofscience.com%2Fwos%2Fwoscc%2Ffull-record%2FWOS:000518530200006","View Full Record in Web of Science")</f>
        <v>View Full Record in Web of Science</v>
      </c>
    </row>
    <row r="904" spans="1:72" x14ac:dyDescent="0.15">
      <c r="A904" t="s">
        <v>72</v>
      </c>
      <c r="B904" t="s">
        <v>17240</v>
      </c>
      <c r="C904" t="s">
        <v>74</v>
      </c>
      <c r="D904" t="s">
        <v>74</v>
      </c>
      <c r="E904" t="s">
        <v>74</v>
      </c>
      <c r="F904" t="s">
        <v>17241</v>
      </c>
      <c r="G904" t="s">
        <v>74</v>
      </c>
      <c r="H904" t="s">
        <v>74</v>
      </c>
      <c r="I904" t="s">
        <v>17242</v>
      </c>
      <c r="J904" t="s">
        <v>17243</v>
      </c>
      <c r="K904" t="s">
        <v>74</v>
      </c>
      <c r="L904" t="s">
        <v>74</v>
      </c>
      <c r="M904" t="s">
        <v>78</v>
      </c>
      <c r="N904" t="s">
        <v>79</v>
      </c>
      <c r="O904" t="s">
        <v>74</v>
      </c>
      <c r="P904" t="s">
        <v>74</v>
      </c>
      <c r="Q904" t="s">
        <v>74</v>
      </c>
      <c r="R904" t="s">
        <v>74</v>
      </c>
      <c r="S904" t="s">
        <v>74</v>
      </c>
      <c r="T904" t="s">
        <v>17244</v>
      </c>
      <c r="U904" t="s">
        <v>74</v>
      </c>
      <c r="V904" t="s">
        <v>17245</v>
      </c>
      <c r="W904" t="s">
        <v>17246</v>
      </c>
      <c r="X904" t="s">
        <v>17247</v>
      </c>
      <c r="Y904" t="s">
        <v>17248</v>
      </c>
      <c r="Z904" t="s">
        <v>17249</v>
      </c>
      <c r="AA904" t="s">
        <v>17250</v>
      </c>
      <c r="AB904" t="s">
        <v>74</v>
      </c>
      <c r="AC904" t="s">
        <v>17251</v>
      </c>
      <c r="AD904" t="s">
        <v>17252</v>
      </c>
      <c r="AE904" t="s">
        <v>17253</v>
      </c>
      <c r="AF904" t="s">
        <v>74</v>
      </c>
      <c r="AG904">
        <v>20</v>
      </c>
      <c r="AH904">
        <v>3</v>
      </c>
      <c r="AI904">
        <v>3</v>
      </c>
      <c r="AJ904">
        <v>2</v>
      </c>
      <c r="AK904">
        <v>12</v>
      </c>
      <c r="AL904" t="s">
        <v>17254</v>
      </c>
      <c r="AM904" t="s">
        <v>17255</v>
      </c>
      <c r="AN904" t="s">
        <v>17256</v>
      </c>
      <c r="AO904" t="s">
        <v>17257</v>
      </c>
      <c r="AP904" t="s">
        <v>74</v>
      </c>
      <c r="AQ904" t="s">
        <v>74</v>
      </c>
      <c r="AR904" t="s">
        <v>17258</v>
      </c>
      <c r="AS904" t="s">
        <v>17259</v>
      </c>
      <c r="AT904" t="s">
        <v>74</v>
      </c>
      <c r="AU904">
        <v>2020</v>
      </c>
      <c r="AV904">
        <v>73</v>
      </c>
      <c r="AW904">
        <v>2</v>
      </c>
      <c r="AX904" t="s">
        <v>74</v>
      </c>
      <c r="AY904" t="s">
        <v>74</v>
      </c>
      <c r="AZ904" t="s">
        <v>74</v>
      </c>
      <c r="BA904" t="s">
        <v>74</v>
      </c>
      <c r="BB904">
        <v>220</v>
      </c>
      <c r="BC904">
        <v>226</v>
      </c>
      <c r="BD904" t="s">
        <v>74</v>
      </c>
      <c r="BE904" t="s">
        <v>17260</v>
      </c>
      <c r="BF904" t="str">
        <f>HYPERLINK("http://dx.doi.org/10.7546/CRABS.2020.02.10","http://dx.doi.org/10.7546/CRABS.2020.02.10")</f>
        <v>http://dx.doi.org/10.7546/CRABS.2020.02.10</v>
      </c>
      <c r="BG904" t="s">
        <v>74</v>
      </c>
      <c r="BH904" t="s">
        <v>74</v>
      </c>
      <c r="BI904">
        <v>7</v>
      </c>
      <c r="BJ904" t="s">
        <v>322</v>
      </c>
      <c r="BK904" t="s">
        <v>103</v>
      </c>
      <c r="BL904" t="s">
        <v>323</v>
      </c>
      <c r="BM904" t="s">
        <v>17261</v>
      </c>
      <c r="BN904" t="s">
        <v>74</v>
      </c>
      <c r="BO904" t="s">
        <v>74</v>
      </c>
      <c r="BP904" t="s">
        <v>74</v>
      </c>
      <c r="BQ904" t="s">
        <v>74</v>
      </c>
      <c r="BR904" t="s">
        <v>106</v>
      </c>
      <c r="BS904" t="s">
        <v>17262</v>
      </c>
      <c r="BT904" t="str">
        <f>HYPERLINK("https%3A%2F%2Fwww.webofscience.com%2Fwos%2Fwoscc%2Ffull-record%2FWOS:000518600900010","View Full Record in Web of Science")</f>
        <v>View Full Record in Web of Science</v>
      </c>
    </row>
    <row r="905" spans="1:72" x14ac:dyDescent="0.15">
      <c r="A905" t="s">
        <v>72</v>
      </c>
      <c r="B905" t="s">
        <v>17263</v>
      </c>
      <c r="C905" t="s">
        <v>74</v>
      </c>
      <c r="D905" t="s">
        <v>74</v>
      </c>
      <c r="E905" t="s">
        <v>74</v>
      </c>
      <c r="F905" t="s">
        <v>17264</v>
      </c>
      <c r="G905" t="s">
        <v>74</v>
      </c>
      <c r="H905" t="s">
        <v>74</v>
      </c>
      <c r="I905" t="s">
        <v>17265</v>
      </c>
      <c r="J905" t="s">
        <v>14398</v>
      </c>
      <c r="K905" t="s">
        <v>74</v>
      </c>
      <c r="L905" t="s">
        <v>74</v>
      </c>
      <c r="M905" t="s">
        <v>78</v>
      </c>
      <c r="N905" t="s">
        <v>79</v>
      </c>
      <c r="O905" t="s">
        <v>74</v>
      </c>
      <c r="P905" t="s">
        <v>74</v>
      </c>
      <c r="Q905" t="s">
        <v>74</v>
      </c>
      <c r="R905" t="s">
        <v>74</v>
      </c>
      <c r="S905" t="s">
        <v>74</v>
      </c>
      <c r="T905" t="s">
        <v>17266</v>
      </c>
      <c r="U905" t="s">
        <v>17267</v>
      </c>
      <c r="V905" t="s">
        <v>17268</v>
      </c>
      <c r="W905" t="s">
        <v>17269</v>
      </c>
      <c r="X905" t="s">
        <v>17270</v>
      </c>
      <c r="Y905" t="s">
        <v>17271</v>
      </c>
      <c r="Z905" t="s">
        <v>17272</v>
      </c>
      <c r="AA905" t="s">
        <v>17273</v>
      </c>
      <c r="AB905" t="s">
        <v>17274</v>
      </c>
      <c r="AC905" t="s">
        <v>17275</v>
      </c>
      <c r="AD905" t="s">
        <v>17276</v>
      </c>
      <c r="AE905" t="s">
        <v>17277</v>
      </c>
      <c r="AF905" t="s">
        <v>74</v>
      </c>
      <c r="AG905">
        <v>43</v>
      </c>
      <c r="AH905">
        <v>25</v>
      </c>
      <c r="AI905">
        <v>25</v>
      </c>
      <c r="AJ905">
        <v>1</v>
      </c>
      <c r="AK905">
        <v>25</v>
      </c>
      <c r="AL905" t="s">
        <v>14008</v>
      </c>
      <c r="AM905" t="s">
        <v>14009</v>
      </c>
      <c r="AN905" t="s">
        <v>14010</v>
      </c>
      <c r="AO905" t="s">
        <v>14404</v>
      </c>
      <c r="AP905" t="s">
        <v>14405</v>
      </c>
      <c r="AQ905" t="s">
        <v>74</v>
      </c>
      <c r="AR905" t="s">
        <v>14406</v>
      </c>
      <c r="AS905" t="s">
        <v>14407</v>
      </c>
      <c r="AT905" t="s">
        <v>74</v>
      </c>
      <c r="AU905">
        <v>2020</v>
      </c>
      <c r="AV905">
        <v>71</v>
      </c>
      <c r="AW905">
        <v>3</v>
      </c>
      <c r="AX905" t="s">
        <v>74</v>
      </c>
      <c r="AY905" t="s">
        <v>74</v>
      </c>
      <c r="AZ905" t="s">
        <v>74</v>
      </c>
      <c r="BA905" t="s">
        <v>74</v>
      </c>
      <c r="BB905">
        <v>275</v>
      </c>
      <c r="BC905">
        <v>280</v>
      </c>
      <c r="BD905" t="s">
        <v>74</v>
      </c>
      <c r="BE905" t="s">
        <v>17278</v>
      </c>
      <c r="BF905" t="str">
        <f>HYPERLINK("http://dx.doi.org/10.1071/MF19134","http://dx.doi.org/10.1071/MF19134")</f>
        <v>http://dx.doi.org/10.1071/MF19134</v>
      </c>
      <c r="BG905" t="s">
        <v>74</v>
      </c>
      <c r="BH905" t="s">
        <v>74</v>
      </c>
      <c r="BI905">
        <v>6</v>
      </c>
      <c r="BJ905" t="s">
        <v>14411</v>
      </c>
      <c r="BK905" t="s">
        <v>103</v>
      </c>
      <c r="BL905" t="s">
        <v>3491</v>
      </c>
      <c r="BM905" t="s">
        <v>14412</v>
      </c>
      <c r="BN905" t="s">
        <v>74</v>
      </c>
      <c r="BO905" t="s">
        <v>74</v>
      </c>
      <c r="BP905" t="s">
        <v>74</v>
      </c>
      <c r="BQ905" t="s">
        <v>74</v>
      </c>
      <c r="BR905" t="s">
        <v>106</v>
      </c>
      <c r="BS905" t="s">
        <v>17279</v>
      </c>
      <c r="BT905" t="str">
        <f>HYPERLINK("https%3A%2F%2Fwww.webofscience.com%2Fwos%2Fwoscc%2Ffull-record%2FWOS:000517577700003","View Full Record in Web of Science")</f>
        <v>View Full Record in Web of Science</v>
      </c>
    </row>
    <row r="906" spans="1:72" x14ac:dyDescent="0.15">
      <c r="A906" t="s">
        <v>72</v>
      </c>
      <c r="B906" t="s">
        <v>17280</v>
      </c>
      <c r="C906" t="s">
        <v>74</v>
      </c>
      <c r="D906" t="s">
        <v>74</v>
      </c>
      <c r="E906" t="s">
        <v>74</v>
      </c>
      <c r="F906" t="s">
        <v>17281</v>
      </c>
      <c r="G906" t="s">
        <v>74</v>
      </c>
      <c r="H906" t="s">
        <v>74</v>
      </c>
      <c r="I906" t="s">
        <v>17282</v>
      </c>
      <c r="J906" t="s">
        <v>14398</v>
      </c>
      <c r="K906" t="s">
        <v>74</v>
      </c>
      <c r="L906" t="s">
        <v>74</v>
      </c>
      <c r="M906" t="s">
        <v>78</v>
      </c>
      <c r="N906" t="s">
        <v>79</v>
      </c>
      <c r="O906" t="s">
        <v>74</v>
      </c>
      <c r="P906" t="s">
        <v>74</v>
      </c>
      <c r="Q906" t="s">
        <v>74</v>
      </c>
      <c r="R906" t="s">
        <v>74</v>
      </c>
      <c r="S906" t="s">
        <v>74</v>
      </c>
      <c r="T906" t="s">
        <v>74</v>
      </c>
      <c r="U906" t="s">
        <v>17283</v>
      </c>
      <c r="V906" t="s">
        <v>17284</v>
      </c>
      <c r="W906" t="s">
        <v>17285</v>
      </c>
      <c r="X906" t="s">
        <v>17286</v>
      </c>
      <c r="Y906" t="s">
        <v>17287</v>
      </c>
      <c r="Z906" t="s">
        <v>17288</v>
      </c>
      <c r="AA906" t="s">
        <v>17289</v>
      </c>
      <c r="AB906" t="s">
        <v>17290</v>
      </c>
      <c r="AC906" t="s">
        <v>17291</v>
      </c>
      <c r="AD906" t="s">
        <v>17291</v>
      </c>
      <c r="AE906" t="s">
        <v>17292</v>
      </c>
      <c r="AF906" t="s">
        <v>74</v>
      </c>
      <c r="AG906">
        <v>75</v>
      </c>
      <c r="AH906">
        <v>4</v>
      </c>
      <c r="AI906">
        <v>4</v>
      </c>
      <c r="AJ906">
        <v>0</v>
      </c>
      <c r="AK906">
        <v>13</v>
      </c>
      <c r="AL906" t="s">
        <v>14008</v>
      </c>
      <c r="AM906" t="s">
        <v>14009</v>
      </c>
      <c r="AN906" t="s">
        <v>14010</v>
      </c>
      <c r="AO906" t="s">
        <v>14404</v>
      </c>
      <c r="AP906" t="s">
        <v>14405</v>
      </c>
      <c r="AQ906" t="s">
        <v>74</v>
      </c>
      <c r="AR906" t="s">
        <v>14406</v>
      </c>
      <c r="AS906" t="s">
        <v>14407</v>
      </c>
      <c r="AT906" t="s">
        <v>74</v>
      </c>
      <c r="AU906">
        <v>2020</v>
      </c>
      <c r="AV906">
        <v>71</v>
      </c>
      <c r="AW906">
        <v>3</v>
      </c>
      <c r="AX906" t="s">
        <v>74</v>
      </c>
      <c r="AY906" t="s">
        <v>74</v>
      </c>
      <c r="AZ906" t="s">
        <v>74</v>
      </c>
      <c r="BA906" t="s">
        <v>74</v>
      </c>
      <c r="BB906">
        <v>345</v>
      </c>
      <c r="BC906">
        <v>354</v>
      </c>
      <c r="BD906" t="s">
        <v>74</v>
      </c>
      <c r="BE906" t="s">
        <v>17293</v>
      </c>
      <c r="BF906" t="str">
        <f>HYPERLINK("http://dx.doi.org/10.1071/MF19216","http://dx.doi.org/10.1071/MF19216")</f>
        <v>http://dx.doi.org/10.1071/MF19216</v>
      </c>
      <c r="BG906" t="s">
        <v>74</v>
      </c>
      <c r="BH906" t="s">
        <v>74</v>
      </c>
      <c r="BI906">
        <v>10</v>
      </c>
      <c r="BJ906" t="s">
        <v>14411</v>
      </c>
      <c r="BK906" t="s">
        <v>103</v>
      </c>
      <c r="BL906" t="s">
        <v>3491</v>
      </c>
      <c r="BM906" t="s">
        <v>14412</v>
      </c>
      <c r="BN906" t="s">
        <v>74</v>
      </c>
      <c r="BO906" t="s">
        <v>74</v>
      </c>
      <c r="BP906" t="s">
        <v>74</v>
      </c>
      <c r="BQ906" t="s">
        <v>74</v>
      </c>
      <c r="BR906" t="s">
        <v>106</v>
      </c>
      <c r="BS906" t="s">
        <v>17294</v>
      </c>
      <c r="BT906" t="str">
        <f>HYPERLINK("https%3A%2F%2Fwww.webofscience.com%2Fwos%2Fwoscc%2Ffull-record%2FWOS:000517577700008","View Full Record in Web of Science")</f>
        <v>View Full Record in Web of Science</v>
      </c>
    </row>
    <row r="907" spans="1:72" x14ac:dyDescent="0.15">
      <c r="A907" t="s">
        <v>72</v>
      </c>
      <c r="B907" t="s">
        <v>17295</v>
      </c>
      <c r="C907" t="s">
        <v>74</v>
      </c>
      <c r="D907" t="s">
        <v>74</v>
      </c>
      <c r="E907" t="s">
        <v>74</v>
      </c>
      <c r="F907" t="s">
        <v>17296</v>
      </c>
      <c r="G907" t="s">
        <v>74</v>
      </c>
      <c r="H907" t="s">
        <v>74</v>
      </c>
      <c r="I907" t="s">
        <v>17297</v>
      </c>
      <c r="J907" t="s">
        <v>14398</v>
      </c>
      <c r="K907" t="s">
        <v>74</v>
      </c>
      <c r="L907" t="s">
        <v>74</v>
      </c>
      <c r="M907" t="s">
        <v>78</v>
      </c>
      <c r="N907" t="s">
        <v>79</v>
      </c>
      <c r="O907" t="s">
        <v>74</v>
      </c>
      <c r="P907" t="s">
        <v>74</v>
      </c>
      <c r="Q907" t="s">
        <v>74</v>
      </c>
      <c r="R907" t="s">
        <v>74</v>
      </c>
      <c r="S907" t="s">
        <v>74</v>
      </c>
      <c r="T907" t="s">
        <v>74</v>
      </c>
      <c r="U907" t="s">
        <v>17298</v>
      </c>
      <c r="V907" t="s">
        <v>17299</v>
      </c>
      <c r="W907" t="s">
        <v>17300</v>
      </c>
      <c r="X907" t="s">
        <v>17301</v>
      </c>
      <c r="Y907" t="s">
        <v>14401</v>
      </c>
      <c r="Z907" t="s">
        <v>17302</v>
      </c>
      <c r="AA907" t="s">
        <v>17303</v>
      </c>
      <c r="AB907" t="s">
        <v>17304</v>
      </c>
      <c r="AC907" t="s">
        <v>17305</v>
      </c>
      <c r="AD907" t="s">
        <v>7271</v>
      </c>
      <c r="AE907" t="s">
        <v>17306</v>
      </c>
      <c r="AF907" t="s">
        <v>74</v>
      </c>
      <c r="AG907">
        <v>70</v>
      </c>
      <c r="AH907">
        <v>11</v>
      </c>
      <c r="AI907">
        <v>11</v>
      </c>
      <c r="AJ907">
        <v>0</v>
      </c>
      <c r="AK907">
        <v>11</v>
      </c>
      <c r="AL907" t="s">
        <v>14008</v>
      </c>
      <c r="AM907" t="s">
        <v>14009</v>
      </c>
      <c r="AN907" t="s">
        <v>14010</v>
      </c>
      <c r="AO907" t="s">
        <v>14404</v>
      </c>
      <c r="AP907" t="s">
        <v>14405</v>
      </c>
      <c r="AQ907" t="s">
        <v>74</v>
      </c>
      <c r="AR907" t="s">
        <v>14406</v>
      </c>
      <c r="AS907" t="s">
        <v>14407</v>
      </c>
      <c r="AT907" t="s">
        <v>74</v>
      </c>
      <c r="AU907">
        <v>2020</v>
      </c>
      <c r="AV907">
        <v>71</v>
      </c>
      <c r="AW907">
        <v>3</v>
      </c>
      <c r="AX907" t="s">
        <v>74</v>
      </c>
      <c r="AY907" t="s">
        <v>74</v>
      </c>
      <c r="AZ907" t="s">
        <v>74</v>
      </c>
      <c r="BA907" t="s">
        <v>74</v>
      </c>
      <c r="BB907">
        <v>355</v>
      </c>
      <c r="BC907">
        <v>373</v>
      </c>
      <c r="BD907" t="s">
        <v>74</v>
      </c>
      <c r="BE907" t="s">
        <v>17307</v>
      </c>
      <c r="BF907" t="str">
        <f>HYPERLINK("http://dx.doi.org/10.1071/MF19200","http://dx.doi.org/10.1071/MF19200")</f>
        <v>http://dx.doi.org/10.1071/MF19200</v>
      </c>
      <c r="BG907" t="s">
        <v>74</v>
      </c>
      <c r="BH907" t="s">
        <v>74</v>
      </c>
      <c r="BI907">
        <v>19</v>
      </c>
      <c r="BJ907" t="s">
        <v>14411</v>
      </c>
      <c r="BK907" t="s">
        <v>103</v>
      </c>
      <c r="BL907" t="s">
        <v>3491</v>
      </c>
      <c r="BM907" t="s">
        <v>14412</v>
      </c>
      <c r="BN907" t="s">
        <v>74</v>
      </c>
      <c r="BO907" t="s">
        <v>416</v>
      </c>
      <c r="BP907" t="s">
        <v>74</v>
      </c>
      <c r="BQ907" t="s">
        <v>74</v>
      </c>
      <c r="BR907" t="s">
        <v>106</v>
      </c>
      <c r="BS907" t="s">
        <v>17308</v>
      </c>
      <c r="BT907" t="str">
        <f>HYPERLINK("https%3A%2F%2Fwww.webofscience.com%2Fwos%2Fwoscc%2Ffull-record%2FWOS:000517577700009","View Full Record in Web of Science")</f>
        <v>View Full Record in Web of Science</v>
      </c>
    </row>
    <row r="908" spans="1:72" x14ac:dyDescent="0.15">
      <c r="A908" t="s">
        <v>72</v>
      </c>
      <c r="B908" t="s">
        <v>17309</v>
      </c>
      <c r="C908" t="s">
        <v>74</v>
      </c>
      <c r="D908" t="s">
        <v>74</v>
      </c>
      <c r="E908" t="s">
        <v>74</v>
      </c>
      <c r="F908" t="s">
        <v>17310</v>
      </c>
      <c r="G908" t="s">
        <v>74</v>
      </c>
      <c r="H908" t="s">
        <v>74</v>
      </c>
      <c r="I908" t="s">
        <v>17311</v>
      </c>
      <c r="J908" t="s">
        <v>4097</v>
      </c>
      <c r="K908" t="s">
        <v>74</v>
      </c>
      <c r="L908" t="s">
        <v>74</v>
      </c>
      <c r="M908" t="s">
        <v>78</v>
      </c>
      <c r="N908" t="s">
        <v>79</v>
      </c>
      <c r="O908" t="s">
        <v>74</v>
      </c>
      <c r="P908" t="s">
        <v>74</v>
      </c>
      <c r="Q908" t="s">
        <v>74</v>
      </c>
      <c r="R908" t="s">
        <v>74</v>
      </c>
      <c r="S908" t="s">
        <v>74</v>
      </c>
      <c r="T908" t="s">
        <v>17312</v>
      </c>
      <c r="U908" t="s">
        <v>17313</v>
      </c>
      <c r="V908" t="s">
        <v>17314</v>
      </c>
      <c r="W908" t="s">
        <v>17315</v>
      </c>
      <c r="X908" t="s">
        <v>17316</v>
      </c>
      <c r="Y908" t="s">
        <v>17317</v>
      </c>
      <c r="Z908" t="s">
        <v>17318</v>
      </c>
      <c r="AA908" t="s">
        <v>17319</v>
      </c>
      <c r="AB908" t="s">
        <v>17320</v>
      </c>
      <c r="AC908" t="s">
        <v>17321</v>
      </c>
      <c r="AD908" t="s">
        <v>17322</v>
      </c>
      <c r="AE908" t="s">
        <v>17323</v>
      </c>
      <c r="AF908" t="s">
        <v>74</v>
      </c>
      <c r="AG908">
        <v>81</v>
      </c>
      <c r="AH908">
        <v>7</v>
      </c>
      <c r="AI908">
        <v>7</v>
      </c>
      <c r="AJ908">
        <v>8</v>
      </c>
      <c r="AK908">
        <v>39</v>
      </c>
      <c r="AL908" t="s">
        <v>3817</v>
      </c>
      <c r="AM908" t="s">
        <v>3818</v>
      </c>
      <c r="AN908" t="s">
        <v>3819</v>
      </c>
      <c r="AO908" t="s">
        <v>74</v>
      </c>
      <c r="AP908" t="s">
        <v>4110</v>
      </c>
      <c r="AQ908" t="s">
        <v>74</v>
      </c>
      <c r="AR908" t="s">
        <v>4097</v>
      </c>
      <c r="AS908" t="s">
        <v>4111</v>
      </c>
      <c r="AT908" t="s">
        <v>1033</v>
      </c>
      <c r="AU908">
        <v>2020</v>
      </c>
      <c r="AV908">
        <v>8</v>
      </c>
      <c r="AW908">
        <v>1</v>
      </c>
      <c r="AX908" t="s">
        <v>74</v>
      </c>
      <c r="AY908" t="s">
        <v>74</v>
      </c>
      <c r="AZ908" t="s">
        <v>74</v>
      </c>
      <c r="BA908" t="s">
        <v>74</v>
      </c>
      <c r="BB908" t="s">
        <v>74</v>
      </c>
      <c r="BC908" t="s">
        <v>74</v>
      </c>
      <c r="BD908">
        <v>107</v>
      </c>
      <c r="BE908" t="s">
        <v>17324</v>
      </c>
      <c r="BF908" t="str">
        <f>HYPERLINK("http://dx.doi.org/10.3390/microorganisms8010107","http://dx.doi.org/10.3390/microorganisms8010107")</f>
        <v>http://dx.doi.org/10.3390/microorganisms8010107</v>
      </c>
      <c r="BG908" t="s">
        <v>74</v>
      </c>
      <c r="BH908" t="s">
        <v>74</v>
      </c>
      <c r="BI908">
        <v>15</v>
      </c>
      <c r="BJ908" t="s">
        <v>273</v>
      </c>
      <c r="BK908" t="s">
        <v>103</v>
      </c>
      <c r="BL908" t="s">
        <v>273</v>
      </c>
      <c r="BM908" t="s">
        <v>17325</v>
      </c>
      <c r="BN908">
        <v>31940944</v>
      </c>
      <c r="BO908" t="s">
        <v>276</v>
      </c>
      <c r="BP908" t="s">
        <v>74</v>
      </c>
      <c r="BQ908" t="s">
        <v>74</v>
      </c>
      <c r="BR908" t="s">
        <v>106</v>
      </c>
      <c r="BS908" t="s">
        <v>17326</v>
      </c>
      <c r="BT908" t="str">
        <f>HYPERLINK("https%3A%2F%2Fwww.webofscience.com%2Fwos%2Fwoscc%2Ffull-record%2FWOS:000514650700072","View Full Record in Web of Science")</f>
        <v>View Full Record in Web of Science</v>
      </c>
    </row>
    <row r="909" spans="1:72" x14ac:dyDescent="0.15">
      <c r="A909" t="s">
        <v>72</v>
      </c>
      <c r="B909" t="s">
        <v>17327</v>
      </c>
      <c r="C909" t="s">
        <v>74</v>
      </c>
      <c r="D909" t="s">
        <v>74</v>
      </c>
      <c r="E909" t="s">
        <v>74</v>
      </c>
      <c r="F909" t="s">
        <v>17328</v>
      </c>
      <c r="G909" t="s">
        <v>74</v>
      </c>
      <c r="H909" t="s">
        <v>74</v>
      </c>
      <c r="I909" t="s">
        <v>17329</v>
      </c>
      <c r="J909" t="s">
        <v>4097</v>
      </c>
      <c r="K909" t="s">
        <v>74</v>
      </c>
      <c r="L909" t="s">
        <v>74</v>
      </c>
      <c r="M909" t="s">
        <v>78</v>
      </c>
      <c r="N909" t="s">
        <v>79</v>
      </c>
      <c r="O909" t="s">
        <v>74</v>
      </c>
      <c r="P909" t="s">
        <v>74</v>
      </c>
      <c r="Q909" t="s">
        <v>74</v>
      </c>
      <c r="R909" t="s">
        <v>74</v>
      </c>
      <c r="S909" t="s">
        <v>74</v>
      </c>
      <c r="T909" t="s">
        <v>17330</v>
      </c>
      <c r="U909" t="s">
        <v>17331</v>
      </c>
      <c r="V909" t="s">
        <v>17332</v>
      </c>
      <c r="W909" t="s">
        <v>17333</v>
      </c>
      <c r="X909" t="s">
        <v>13287</v>
      </c>
      <c r="Y909" t="s">
        <v>17334</v>
      </c>
      <c r="Z909" t="s">
        <v>17335</v>
      </c>
      <c r="AA909" t="s">
        <v>17336</v>
      </c>
      <c r="AB909" t="s">
        <v>17337</v>
      </c>
      <c r="AC909" t="s">
        <v>17338</v>
      </c>
      <c r="AD909" t="s">
        <v>17339</v>
      </c>
      <c r="AE909" t="s">
        <v>17340</v>
      </c>
      <c r="AF909" t="s">
        <v>74</v>
      </c>
      <c r="AG909">
        <v>61</v>
      </c>
      <c r="AH909">
        <v>22</v>
      </c>
      <c r="AI909">
        <v>22</v>
      </c>
      <c r="AJ909">
        <v>2</v>
      </c>
      <c r="AK909">
        <v>15</v>
      </c>
      <c r="AL909" t="s">
        <v>3817</v>
      </c>
      <c r="AM909" t="s">
        <v>3818</v>
      </c>
      <c r="AN909" t="s">
        <v>3819</v>
      </c>
      <c r="AO909" t="s">
        <v>74</v>
      </c>
      <c r="AP909" t="s">
        <v>4110</v>
      </c>
      <c r="AQ909" t="s">
        <v>74</v>
      </c>
      <c r="AR909" t="s">
        <v>4097</v>
      </c>
      <c r="AS909" t="s">
        <v>4111</v>
      </c>
      <c r="AT909" t="s">
        <v>1033</v>
      </c>
      <c r="AU909">
        <v>2020</v>
      </c>
      <c r="AV909">
        <v>8</v>
      </c>
      <c r="AW909">
        <v>1</v>
      </c>
      <c r="AX909" t="s">
        <v>74</v>
      </c>
      <c r="AY909" t="s">
        <v>74</v>
      </c>
      <c r="AZ909" t="s">
        <v>74</v>
      </c>
      <c r="BA909" t="s">
        <v>74</v>
      </c>
      <c r="BB909" t="s">
        <v>74</v>
      </c>
      <c r="BC909" t="s">
        <v>74</v>
      </c>
      <c r="BD909">
        <v>95</v>
      </c>
      <c r="BE909" t="s">
        <v>17341</v>
      </c>
      <c r="BF909" t="str">
        <f>HYPERLINK("http://dx.doi.org/10.3390/microorganisms8010095","http://dx.doi.org/10.3390/microorganisms8010095")</f>
        <v>http://dx.doi.org/10.3390/microorganisms8010095</v>
      </c>
      <c r="BG909" t="s">
        <v>74</v>
      </c>
      <c r="BH909" t="s">
        <v>74</v>
      </c>
      <c r="BI909">
        <v>16</v>
      </c>
      <c r="BJ909" t="s">
        <v>273</v>
      </c>
      <c r="BK909" t="s">
        <v>103</v>
      </c>
      <c r="BL909" t="s">
        <v>273</v>
      </c>
      <c r="BM909" t="s">
        <v>17325</v>
      </c>
      <c r="BN909">
        <v>31936717</v>
      </c>
      <c r="BO909" t="s">
        <v>276</v>
      </c>
      <c r="BP909" t="s">
        <v>74</v>
      </c>
      <c r="BQ909" t="s">
        <v>74</v>
      </c>
      <c r="BR909" t="s">
        <v>106</v>
      </c>
      <c r="BS909" t="s">
        <v>17342</v>
      </c>
      <c r="BT909" t="str">
        <f>HYPERLINK("https%3A%2F%2Fwww.webofscience.com%2Fwos%2Fwoscc%2Ffull-record%2FWOS:000514650700057","View Full Record in Web of Science")</f>
        <v>View Full Record in Web of Science</v>
      </c>
    </row>
    <row r="910" spans="1:72" x14ac:dyDescent="0.15">
      <c r="A910" t="s">
        <v>72</v>
      </c>
      <c r="B910" t="s">
        <v>17343</v>
      </c>
      <c r="C910" t="s">
        <v>74</v>
      </c>
      <c r="D910" t="s">
        <v>74</v>
      </c>
      <c r="E910" t="s">
        <v>74</v>
      </c>
      <c r="F910" t="s">
        <v>17344</v>
      </c>
      <c r="G910" t="s">
        <v>74</v>
      </c>
      <c r="H910" t="s">
        <v>74</v>
      </c>
      <c r="I910" t="s">
        <v>17345</v>
      </c>
      <c r="J910" t="s">
        <v>5327</v>
      </c>
      <c r="K910" t="s">
        <v>74</v>
      </c>
      <c r="L910" t="s">
        <v>74</v>
      </c>
      <c r="M910" t="s">
        <v>78</v>
      </c>
      <c r="N910" t="s">
        <v>79</v>
      </c>
      <c r="O910" t="s">
        <v>74</v>
      </c>
      <c r="P910" t="s">
        <v>74</v>
      </c>
      <c r="Q910" t="s">
        <v>74</v>
      </c>
      <c r="R910" t="s">
        <v>74</v>
      </c>
      <c r="S910" t="s">
        <v>74</v>
      </c>
      <c r="T910" t="s">
        <v>17346</v>
      </c>
      <c r="U910" t="s">
        <v>17347</v>
      </c>
      <c r="V910" t="s">
        <v>17348</v>
      </c>
      <c r="W910" t="s">
        <v>17349</v>
      </c>
      <c r="X910" t="s">
        <v>17350</v>
      </c>
      <c r="Y910" t="s">
        <v>17351</v>
      </c>
      <c r="Z910" t="s">
        <v>17352</v>
      </c>
      <c r="AA910" t="s">
        <v>17353</v>
      </c>
      <c r="AB910" t="s">
        <v>17354</v>
      </c>
      <c r="AC910" t="s">
        <v>17355</v>
      </c>
      <c r="AD910" t="s">
        <v>17356</v>
      </c>
      <c r="AE910" t="s">
        <v>17357</v>
      </c>
      <c r="AF910" t="s">
        <v>74</v>
      </c>
      <c r="AG910">
        <v>49</v>
      </c>
      <c r="AH910">
        <v>45</v>
      </c>
      <c r="AI910">
        <v>50</v>
      </c>
      <c r="AJ910">
        <v>7</v>
      </c>
      <c r="AK910">
        <v>34</v>
      </c>
      <c r="AL910" t="s">
        <v>3817</v>
      </c>
      <c r="AM910" t="s">
        <v>3818</v>
      </c>
      <c r="AN910" t="s">
        <v>3819</v>
      </c>
      <c r="AO910" t="s">
        <v>74</v>
      </c>
      <c r="AP910" t="s">
        <v>5340</v>
      </c>
      <c r="AQ910" t="s">
        <v>74</v>
      </c>
      <c r="AR910" t="s">
        <v>5341</v>
      </c>
      <c r="AS910" t="s">
        <v>5342</v>
      </c>
      <c r="AT910" t="s">
        <v>1033</v>
      </c>
      <c r="AU910">
        <v>2020</v>
      </c>
      <c r="AV910">
        <v>12</v>
      </c>
      <c r="AW910">
        <v>1</v>
      </c>
      <c r="AX910" t="s">
        <v>74</v>
      </c>
      <c r="AY910" t="s">
        <v>74</v>
      </c>
      <c r="AZ910" t="s">
        <v>74</v>
      </c>
      <c r="BA910" t="s">
        <v>74</v>
      </c>
      <c r="BB910" t="s">
        <v>74</v>
      </c>
      <c r="BC910" t="s">
        <v>74</v>
      </c>
      <c r="BD910">
        <v>134</v>
      </c>
      <c r="BE910" t="s">
        <v>17358</v>
      </c>
      <c r="BF910" t="str">
        <f>HYPERLINK("http://dx.doi.org/10.3390/rs12010134","http://dx.doi.org/10.3390/rs12010134")</f>
        <v>http://dx.doi.org/10.3390/rs12010134</v>
      </c>
      <c r="BG910" t="s">
        <v>74</v>
      </c>
      <c r="BH910" t="s">
        <v>74</v>
      </c>
      <c r="BI910">
        <v>19</v>
      </c>
      <c r="BJ910" t="s">
        <v>5344</v>
      </c>
      <c r="BK910" t="s">
        <v>103</v>
      </c>
      <c r="BL910" t="s">
        <v>5345</v>
      </c>
      <c r="BM910" t="s">
        <v>17359</v>
      </c>
      <c r="BN910" t="s">
        <v>74</v>
      </c>
      <c r="BO910" t="s">
        <v>276</v>
      </c>
      <c r="BP910" t="s">
        <v>74</v>
      </c>
      <c r="BQ910" t="s">
        <v>74</v>
      </c>
      <c r="BR910" t="s">
        <v>106</v>
      </c>
      <c r="BS910" t="s">
        <v>17360</v>
      </c>
      <c r="BT910" t="str">
        <f>HYPERLINK("https%3A%2F%2Fwww.webofscience.com%2Fwos%2Fwoscc%2Ffull-record%2FWOS:000515391700134","View Full Record in Web of Science")</f>
        <v>View Full Record in Web of Science</v>
      </c>
    </row>
    <row r="911" spans="1:72" x14ac:dyDescent="0.15">
      <c r="A911" t="s">
        <v>72</v>
      </c>
      <c r="B911" t="s">
        <v>17361</v>
      </c>
      <c r="C911" t="s">
        <v>74</v>
      </c>
      <c r="D911" t="s">
        <v>74</v>
      </c>
      <c r="E911" t="s">
        <v>74</v>
      </c>
      <c r="F911" t="s">
        <v>17362</v>
      </c>
      <c r="G911" t="s">
        <v>74</v>
      </c>
      <c r="H911" t="s">
        <v>74</v>
      </c>
      <c r="I911" t="s">
        <v>17363</v>
      </c>
      <c r="J911" t="s">
        <v>5327</v>
      </c>
      <c r="K911" t="s">
        <v>74</v>
      </c>
      <c r="L911" t="s">
        <v>74</v>
      </c>
      <c r="M911" t="s">
        <v>78</v>
      </c>
      <c r="N911" t="s">
        <v>79</v>
      </c>
      <c r="O911" t="s">
        <v>74</v>
      </c>
      <c r="P911" t="s">
        <v>74</v>
      </c>
      <c r="Q911" t="s">
        <v>74</v>
      </c>
      <c r="R911" t="s">
        <v>74</v>
      </c>
      <c r="S911" t="s">
        <v>74</v>
      </c>
      <c r="T911" t="s">
        <v>17364</v>
      </c>
      <c r="U911" t="s">
        <v>17365</v>
      </c>
      <c r="V911" t="s">
        <v>17366</v>
      </c>
      <c r="W911" t="s">
        <v>17367</v>
      </c>
      <c r="X911" t="s">
        <v>17368</v>
      </c>
      <c r="Y911" t="s">
        <v>17369</v>
      </c>
      <c r="Z911" t="s">
        <v>17370</v>
      </c>
      <c r="AA911" t="s">
        <v>17371</v>
      </c>
      <c r="AB911" t="s">
        <v>17372</v>
      </c>
      <c r="AC911" t="s">
        <v>17373</v>
      </c>
      <c r="AD911" t="s">
        <v>17374</v>
      </c>
      <c r="AE911" t="s">
        <v>17375</v>
      </c>
      <c r="AF911" t="s">
        <v>74</v>
      </c>
      <c r="AG911">
        <v>54</v>
      </c>
      <c r="AH911">
        <v>4</v>
      </c>
      <c r="AI911">
        <v>7</v>
      </c>
      <c r="AJ911">
        <v>1</v>
      </c>
      <c r="AK911">
        <v>14</v>
      </c>
      <c r="AL911" t="s">
        <v>3817</v>
      </c>
      <c r="AM911" t="s">
        <v>3818</v>
      </c>
      <c r="AN911" t="s">
        <v>3819</v>
      </c>
      <c r="AO911" t="s">
        <v>74</v>
      </c>
      <c r="AP911" t="s">
        <v>5340</v>
      </c>
      <c r="AQ911" t="s">
        <v>74</v>
      </c>
      <c r="AR911" t="s">
        <v>5341</v>
      </c>
      <c r="AS911" t="s">
        <v>5342</v>
      </c>
      <c r="AT911" t="s">
        <v>1033</v>
      </c>
      <c r="AU911">
        <v>2020</v>
      </c>
      <c r="AV911">
        <v>12</v>
      </c>
      <c r="AW911">
        <v>1</v>
      </c>
      <c r="AX911" t="s">
        <v>74</v>
      </c>
      <c r="AY911" t="s">
        <v>74</v>
      </c>
      <c r="AZ911" t="s">
        <v>74</v>
      </c>
      <c r="BA911" t="s">
        <v>74</v>
      </c>
      <c r="BB911" t="s">
        <v>74</v>
      </c>
      <c r="BC911" t="s">
        <v>74</v>
      </c>
      <c r="BD911">
        <v>36</v>
      </c>
      <c r="BE911" t="s">
        <v>17376</v>
      </c>
      <c r="BF911" t="str">
        <f>HYPERLINK("http://dx.doi.org/10.3390/rs12010036","http://dx.doi.org/10.3390/rs12010036")</f>
        <v>http://dx.doi.org/10.3390/rs12010036</v>
      </c>
      <c r="BG911" t="s">
        <v>74</v>
      </c>
      <c r="BH911" t="s">
        <v>74</v>
      </c>
      <c r="BI911">
        <v>20</v>
      </c>
      <c r="BJ911" t="s">
        <v>5344</v>
      </c>
      <c r="BK911" t="s">
        <v>103</v>
      </c>
      <c r="BL911" t="s">
        <v>5345</v>
      </c>
      <c r="BM911" t="s">
        <v>17359</v>
      </c>
      <c r="BN911" t="s">
        <v>74</v>
      </c>
      <c r="BO911" t="s">
        <v>2592</v>
      </c>
      <c r="BP911" t="s">
        <v>74</v>
      </c>
      <c r="BQ911" t="s">
        <v>74</v>
      </c>
      <c r="BR911" t="s">
        <v>106</v>
      </c>
      <c r="BS911" t="s">
        <v>17377</v>
      </c>
      <c r="BT911" t="str">
        <f>HYPERLINK("https%3A%2F%2Fwww.webofscience.com%2Fwos%2Fwoscc%2Ffull-record%2FWOS:000515391700036","View Full Record in Web of Science")</f>
        <v>View Full Record in Web of Science</v>
      </c>
    </row>
    <row r="912" spans="1:72" x14ac:dyDescent="0.15">
      <c r="A912" t="s">
        <v>72</v>
      </c>
      <c r="B912" t="s">
        <v>17378</v>
      </c>
      <c r="C912" t="s">
        <v>74</v>
      </c>
      <c r="D912" t="s">
        <v>74</v>
      </c>
      <c r="E912" t="s">
        <v>74</v>
      </c>
      <c r="F912" t="s">
        <v>17379</v>
      </c>
      <c r="G912" t="s">
        <v>74</v>
      </c>
      <c r="H912" t="s">
        <v>74</v>
      </c>
      <c r="I912" t="s">
        <v>17380</v>
      </c>
      <c r="J912" t="s">
        <v>17381</v>
      </c>
      <c r="K912" t="s">
        <v>74</v>
      </c>
      <c r="L912" t="s">
        <v>74</v>
      </c>
      <c r="M912" t="s">
        <v>78</v>
      </c>
      <c r="N912" t="s">
        <v>79</v>
      </c>
      <c r="O912" t="s">
        <v>74</v>
      </c>
      <c r="P912" t="s">
        <v>74</v>
      </c>
      <c r="Q912" t="s">
        <v>74</v>
      </c>
      <c r="R912" t="s">
        <v>74</v>
      </c>
      <c r="S912" t="s">
        <v>74</v>
      </c>
      <c r="T912" t="s">
        <v>17382</v>
      </c>
      <c r="U912" t="s">
        <v>17383</v>
      </c>
      <c r="V912" t="s">
        <v>17384</v>
      </c>
      <c r="W912" t="s">
        <v>17385</v>
      </c>
      <c r="X912" t="s">
        <v>17386</v>
      </c>
      <c r="Y912" t="s">
        <v>17387</v>
      </c>
      <c r="Z912" t="s">
        <v>17388</v>
      </c>
      <c r="AA912" t="s">
        <v>17389</v>
      </c>
      <c r="AB912" t="s">
        <v>17390</v>
      </c>
      <c r="AC912" t="s">
        <v>17391</v>
      </c>
      <c r="AD912" t="s">
        <v>9392</v>
      </c>
      <c r="AE912" t="s">
        <v>17392</v>
      </c>
      <c r="AF912" t="s">
        <v>74</v>
      </c>
      <c r="AG912">
        <v>57</v>
      </c>
      <c r="AH912">
        <v>85</v>
      </c>
      <c r="AI912">
        <v>87</v>
      </c>
      <c r="AJ912">
        <v>12</v>
      </c>
      <c r="AK912">
        <v>49</v>
      </c>
      <c r="AL912" t="s">
        <v>4959</v>
      </c>
      <c r="AM912" t="s">
        <v>435</v>
      </c>
      <c r="AN912" t="s">
        <v>4960</v>
      </c>
      <c r="AO912" t="s">
        <v>17393</v>
      </c>
      <c r="AP912" t="s">
        <v>17394</v>
      </c>
      <c r="AQ912" t="s">
        <v>74</v>
      </c>
      <c r="AR912" t="s">
        <v>17395</v>
      </c>
      <c r="AS912" t="s">
        <v>17396</v>
      </c>
      <c r="AT912" t="s">
        <v>1033</v>
      </c>
      <c r="AU912">
        <v>2020</v>
      </c>
      <c r="AV912">
        <v>60</v>
      </c>
      <c r="AW912" t="s">
        <v>74</v>
      </c>
      <c r="AX912" t="s">
        <v>74</v>
      </c>
      <c r="AY912" t="s">
        <v>74</v>
      </c>
      <c r="AZ912" t="s">
        <v>74</v>
      </c>
      <c r="BA912" t="s">
        <v>74</v>
      </c>
      <c r="BB912" t="s">
        <v>74</v>
      </c>
      <c r="BC912" t="s">
        <v>74</v>
      </c>
      <c r="BD912">
        <v>102025</v>
      </c>
      <c r="BE912" t="s">
        <v>17397</v>
      </c>
      <c r="BF912" t="str">
        <f>HYPERLINK("http://dx.doi.org/10.1016/j.gloenvcha.2019.102025","http://dx.doi.org/10.1016/j.gloenvcha.2019.102025")</f>
        <v>http://dx.doi.org/10.1016/j.gloenvcha.2019.102025</v>
      </c>
      <c r="BG912" t="s">
        <v>74</v>
      </c>
      <c r="BH912" t="s">
        <v>74</v>
      </c>
      <c r="BI912">
        <v>8</v>
      </c>
      <c r="BJ912" t="s">
        <v>17398</v>
      </c>
      <c r="BK912" t="s">
        <v>1149</v>
      </c>
      <c r="BL912" t="s">
        <v>14329</v>
      </c>
      <c r="BM912" t="s">
        <v>17399</v>
      </c>
      <c r="BN912" t="s">
        <v>74</v>
      </c>
      <c r="BO912" t="s">
        <v>17400</v>
      </c>
      <c r="BP912" t="s">
        <v>1869</v>
      </c>
      <c r="BQ912" t="s">
        <v>1870</v>
      </c>
      <c r="BR912" t="s">
        <v>106</v>
      </c>
      <c r="BS912" t="s">
        <v>17401</v>
      </c>
      <c r="BT912" t="str">
        <f>HYPERLINK("https%3A%2F%2Fwww.webofscience.com%2Fwos%2Fwoscc%2Ffull-record%2FWOS:000515200100013","View Full Record in Web of Science")</f>
        <v>View Full Record in Web of Science</v>
      </c>
    </row>
    <row r="913" spans="1:72" x14ac:dyDescent="0.15">
      <c r="A913" t="s">
        <v>72</v>
      </c>
      <c r="B913" t="s">
        <v>17402</v>
      </c>
      <c r="C913" t="s">
        <v>74</v>
      </c>
      <c r="D913" t="s">
        <v>74</v>
      </c>
      <c r="E913" t="s">
        <v>74</v>
      </c>
      <c r="F913" t="s">
        <v>17403</v>
      </c>
      <c r="G913" t="s">
        <v>74</v>
      </c>
      <c r="H913" t="s">
        <v>74</v>
      </c>
      <c r="I913" t="s">
        <v>17404</v>
      </c>
      <c r="J913" t="s">
        <v>8941</v>
      </c>
      <c r="K913" t="s">
        <v>74</v>
      </c>
      <c r="L913" t="s">
        <v>74</v>
      </c>
      <c r="M913" t="s">
        <v>78</v>
      </c>
      <c r="N913" t="s">
        <v>79</v>
      </c>
      <c r="O913" t="s">
        <v>74</v>
      </c>
      <c r="P913" t="s">
        <v>74</v>
      </c>
      <c r="Q913" t="s">
        <v>74</v>
      </c>
      <c r="R913" t="s">
        <v>74</v>
      </c>
      <c r="S913" t="s">
        <v>74</v>
      </c>
      <c r="T913" t="s">
        <v>74</v>
      </c>
      <c r="U913" t="s">
        <v>17405</v>
      </c>
      <c r="V913" t="s">
        <v>17406</v>
      </c>
      <c r="W913" t="s">
        <v>17407</v>
      </c>
      <c r="X913" t="s">
        <v>16895</v>
      </c>
      <c r="Y913" t="s">
        <v>17408</v>
      </c>
      <c r="Z913" t="s">
        <v>17409</v>
      </c>
      <c r="AA913" t="s">
        <v>17410</v>
      </c>
      <c r="AB913" t="s">
        <v>17411</v>
      </c>
      <c r="AC913" t="s">
        <v>17412</v>
      </c>
      <c r="AD913" t="s">
        <v>17412</v>
      </c>
      <c r="AE913" t="s">
        <v>17413</v>
      </c>
      <c r="AF913" t="s">
        <v>74</v>
      </c>
      <c r="AG913">
        <v>24</v>
      </c>
      <c r="AH913">
        <v>1</v>
      </c>
      <c r="AI913">
        <v>1</v>
      </c>
      <c r="AJ913">
        <v>0</v>
      </c>
      <c r="AK913">
        <v>11</v>
      </c>
      <c r="AL913" t="s">
        <v>8952</v>
      </c>
      <c r="AM913" t="s">
        <v>4254</v>
      </c>
      <c r="AN913" t="s">
        <v>8953</v>
      </c>
      <c r="AO913" t="s">
        <v>8954</v>
      </c>
      <c r="AP913" t="s">
        <v>8955</v>
      </c>
      <c r="AQ913" t="s">
        <v>74</v>
      </c>
      <c r="AR913" t="s">
        <v>8956</v>
      </c>
      <c r="AS913" t="s">
        <v>8957</v>
      </c>
      <c r="AT913" t="s">
        <v>1033</v>
      </c>
      <c r="AU913">
        <v>2020</v>
      </c>
      <c r="AV913">
        <v>147</v>
      </c>
      <c r="AW913">
        <v>1</v>
      </c>
      <c r="AX913" t="s">
        <v>74</v>
      </c>
      <c r="AY913" t="s">
        <v>74</v>
      </c>
      <c r="AZ913" t="s">
        <v>74</v>
      </c>
      <c r="BA913" t="s">
        <v>74</v>
      </c>
      <c r="BB913">
        <v>260</v>
      </c>
      <c r="BC913">
        <v>266</v>
      </c>
      <c r="BD913" t="s">
        <v>74</v>
      </c>
      <c r="BE913" t="s">
        <v>17414</v>
      </c>
      <c r="BF913" t="str">
        <f>HYPERLINK("http://dx.doi.org/10.1121/10.0000609","http://dx.doi.org/10.1121/10.0000609")</f>
        <v>http://dx.doi.org/10.1121/10.0000609</v>
      </c>
      <c r="BG913" t="s">
        <v>74</v>
      </c>
      <c r="BH913" t="s">
        <v>74</v>
      </c>
      <c r="BI913">
        <v>7</v>
      </c>
      <c r="BJ913" t="s">
        <v>8959</v>
      </c>
      <c r="BK913" t="s">
        <v>103</v>
      </c>
      <c r="BL913" t="s">
        <v>8959</v>
      </c>
      <c r="BM913" t="s">
        <v>17415</v>
      </c>
      <c r="BN913">
        <v>32006980</v>
      </c>
      <c r="BO913" t="s">
        <v>74</v>
      </c>
      <c r="BP913" t="s">
        <v>74</v>
      </c>
      <c r="BQ913" t="s">
        <v>74</v>
      </c>
      <c r="BR913" t="s">
        <v>106</v>
      </c>
      <c r="BS913" t="s">
        <v>17416</v>
      </c>
      <c r="BT913" t="str">
        <f>HYPERLINK("https%3A%2F%2Fwww.webofscience.com%2Fwos%2Fwoscc%2Ffull-record%2FWOS:000515500300002","View Full Record in Web of Science")</f>
        <v>View Full Record in Web of Science</v>
      </c>
    </row>
    <row r="914" spans="1:72" x14ac:dyDescent="0.15">
      <c r="A914" t="s">
        <v>72</v>
      </c>
      <c r="B914" t="s">
        <v>17417</v>
      </c>
      <c r="C914" t="s">
        <v>74</v>
      </c>
      <c r="D914" t="s">
        <v>74</v>
      </c>
      <c r="E914" t="s">
        <v>74</v>
      </c>
      <c r="F914" t="s">
        <v>17418</v>
      </c>
      <c r="G914" t="s">
        <v>74</v>
      </c>
      <c r="H914" t="s">
        <v>74</v>
      </c>
      <c r="I914" t="s">
        <v>17419</v>
      </c>
      <c r="J914" t="s">
        <v>13911</v>
      </c>
      <c r="K914" t="s">
        <v>74</v>
      </c>
      <c r="L914" t="s">
        <v>74</v>
      </c>
      <c r="M914" t="s">
        <v>78</v>
      </c>
      <c r="N914" t="s">
        <v>79</v>
      </c>
      <c r="O914" t="s">
        <v>74</v>
      </c>
      <c r="P914" t="s">
        <v>74</v>
      </c>
      <c r="Q914" t="s">
        <v>74</v>
      </c>
      <c r="R914" t="s">
        <v>74</v>
      </c>
      <c r="S914" t="s">
        <v>74</v>
      </c>
      <c r="T914" t="s">
        <v>17420</v>
      </c>
      <c r="U914" t="s">
        <v>17421</v>
      </c>
      <c r="V914" t="s">
        <v>17422</v>
      </c>
      <c r="W914" t="s">
        <v>17423</v>
      </c>
      <c r="X914" t="s">
        <v>17424</v>
      </c>
      <c r="Y914" t="s">
        <v>17425</v>
      </c>
      <c r="Z914" t="s">
        <v>17426</v>
      </c>
      <c r="AA914" t="s">
        <v>17427</v>
      </c>
      <c r="AB914" t="s">
        <v>17428</v>
      </c>
      <c r="AC914" t="s">
        <v>17429</v>
      </c>
      <c r="AD914" t="s">
        <v>17430</v>
      </c>
      <c r="AE914" t="s">
        <v>17431</v>
      </c>
      <c r="AF914" t="s">
        <v>74</v>
      </c>
      <c r="AG914">
        <v>43</v>
      </c>
      <c r="AH914">
        <v>15</v>
      </c>
      <c r="AI914">
        <v>19</v>
      </c>
      <c r="AJ914">
        <v>24</v>
      </c>
      <c r="AK914">
        <v>107</v>
      </c>
      <c r="AL914" t="s">
        <v>2627</v>
      </c>
      <c r="AM914" t="s">
        <v>2628</v>
      </c>
      <c r="AN914" t="s">
        <v>2629</v>
      </c>
      <c r="AO914" t="s">
        <v>13924</v>
      </c>
      <c r="AP914" t="s">
        <v>13925</v>
      </c>
      <c r="AQ914" t="s">
        <v>74</v>
      </c>
      <c r="AR914" t="s">
        <v>13926</v>
      </c>
      <c r="AS914" t="s">
        <v>13927</v>
      </c>
      <c r="AT914" t="s">
        <v>12161</v>
      </c>
      <c r="AU914">
        <v>2020</v>
      </c>
      <c r="AV914">
        <v>52</v>
      </c>
      <c r="AW914">
        <v>1</v>
      </c>
      <c r="AX914" t="s">
        <v>74</v>
      </c>
      <c r="AY914" t="s">
        <v>74</v>
      </c>
      <c r="AZ914" t="s">
        <v>74</v>
      </c>
      <c r="BA914" t="s">
        <v>74</v>
      </c>
      <c r="BB914">
        <v>60</v>
      </c>
      <c r="BC914">
        <v>69</v>
      </c>
      <c r="BD914" t="s">
        <v>74</v>
      </c>
      <c r="BE914" t="s">
        <v>17432</v>
      </c>
      <c r="BF914" t="str">
        <f>HYPERLINK("http://dx.doi.org/10.1080/15230430.2020.1712875","http://dx.doi.org/10.1080/15230430.2020.1712875")</f>
        <v>http://dx.doi.org/10.1080/15230430.2020.1712875</v>
      </c>
      <c r="BG914" t="s">
        <v>74</v>
      </c>
      <c r="BH914" t="s">
        <v>74</v>
      </c>
      <c r="BI914">
        <v>10</v>
      </c>
      <c r="BJ914" t="s">
        <v>13929</v>
      </c>
      <c r="BK914" t="s">
        <v>103</v>
      </c>
      <c r="BL914" t="s">
        <v>1828</v>
      </c>
      <c r="BM914" t="s">
        <v>17433</v>
      </c>
      <c r="BN914" t="s">
        <v>74</v>
      </c>
      <c r="BO914" t="s">
        <v>2592</v>
      </c>
      <c r="BP914" t="s">
        <v>74</v>
      </c>
      <c r="BQ914" t="s">
        <v>74</v>
      </c>
      <c r="BR914" t="s">
        <v>106</v>
      </c>
      <c r="BS914" t="s">
        <v>17434</v>
      </c>
      <c r="BT914" t="str">
        <f>HYPERLINK("https%3A%2F%2Fwww.webofscience.com%2Fwos%2Fwoscc%2Ffull-record%2FWOS:000514684100001","View Full Record in Web of Science")</f>
        <v>View Full Record in Web of Science</v>
      </c>
    </row>
    <row r="915" spans="1:72" x14ac:dyDescent="0.15">
      <c r="A915" t="s">
        <v>72</v>
      </c>
      <c r="B915" t="s">
        <v>17435</v>
      </c>
      <c r="C915" t="s">
        <v>74</v>
      </c>
      <c r="D915" t="s">
        <v>74</v>
      </c>
      <c r="E915" t="s">
        <v>74</v>
      </c>
      <c r="F915" t="s">
        <v>17436</v>
      </c>
      <c r="G915" t="s">
        <v>74</v>
      </c>
      <c r="H915" t="s">
        <v>74</v>
      </c>
      <c r="I915" t="s">
        <v>17437</v>
      </c>
      <c r="J915" t="s">
        <v>13911</v>
      </c>
      <c r="K915" t="s">
        <v>74</v>
      </c>
      <c r="L915" t="s">
        <v>74</v>
      </c>
      <c r="M915" t="s">
        <v>78</v>
      </c>
      <c r="N915" t="s">
        <v>79</v>
      </c>
      <c r="O915" t="s">
        <v>74</v>
      </c>
      <c r="P915" t="s">
        <v>74</v>
      </c>
      <c r="Q915" t="s">
        <v>74</v>
      </c>
      <c r="R915" t="s">
        <v>74</v>
      </c>
      <c r="S915" t="s">
        <v>74</v>
      </c>
      <c r="T915" t="s">
        <v>17438</v>
      </c>
      <c r="U915" t="s">
        <v>17439</v>
      </c>
      <c r="V915" t="s">
        <v>17440</v>
      </c>
      <c r="W915" t="s">
        <v>17441</v>
      </c>
      <c r="X915" t="s">
        <v>17442</v>
      </c>
      <c r="Y915" t="s">
        <v>17443</v>
      </c>
      <c r="Z915" t="s">
        <v>17444</v>
      </c>
      <c r="AA915" t="s">
        <v>74</v>
      </c>
      <c r="AB915" t="s">
        <v>74</v>
      </c>
      <c r="AC915" t="s">
        <v>17445</v>
      </c>
      <c r="AD915" t="s">
        <v>17446</v>
      </c>
      <c r="AE915" t="s">
        <v>17447</v>
      </c>
      <c r="AF915" t="s">
        <v>74</v>
      </c>
      <c r="AG915">
        <v>27</v>
      </c>
      <c r="AH915">
        <v>5</v>
      </c>
      <c r="AI915">
        <v>5</v>
      </c>
      <c r="AJ915">
        <v>1</v>
      </c>
      <c r="AK915">
        <v>9</v>
      </c>
      <c r="AL915" t="s">
        <v>2627</v>
      </c>
      <c r="AM915" t="s">
        <v>2628</v>
      </c>
      <c r="AN915" t="s">
        <v>2629</v>
      </c>
      <c r="AO915" t="s">
        <v>13924</v>
      </c>
      <c r="AP915" t="s">
        <v>13925</v>
      </c>
      <c r="AQ915" t="s">
        <v>74</v>
      </c>
      <c r="AR915" t="s">
        <v>13926</v>
      </c>
      <c r="AS915" t="s">
        <v>13927</v>
      </c>
      <c r="AT915" t="s">
        <v>12161</v>
      </c>
      <c r="AU915">
        <v>2020</v>
      </c>
      <c r="AV915">
        <v>52</v>
      </c>
      <c r="AW915">
        <v>1</v>
      </c>
      <c r="AX915" t="s">
        <v>74</v>
      </c>
      <c r="AY915" t="s">
        <v>74</v>
      </c>
      <c r="AZ915" t="s">
        <v>74</v>
      </c>
      <c r="BA915" t="s">
        <v>74</v>
      </c>
      <c r="BB915">
        <v>47</v>
      </c>
      <c r="BC915">
        <v>59</v>
      </c>
      <c r="BD915" t="s">
        <v>74</v>
      </c>
      <c r="BE915" t="s">
        <v>17448</v>
      </c>
      <c r="BF915" t="str">
        <f>HYPERLINK("http://dx.doi.org/10.1080/15230430.2020.1712858","http://dx.doi.org/10.1080/15230430.2020.1712858")</f>
        <v>http://dx.doi.org/10.1080/15230430.2020.1712858</v>
      </c>
      <c r="BG915" t="s">
        <v>74</v>
      </c>
      <c r="BH915" t="s">
        <v>74</v>
      </c>
      <c r="BI915">
        <v>13</v>
      </c>
      <c r="BJ915" t="s">
        <v>13929</v>
      </c>
      <c r="BK915" t="s">
        <v>103</v>
      </c>
      <c r="BL915" t="s">
        <v>1828</v>
      </c>
      <c r="BM915" t="s">
        <v>17449</v>
      </c>
      <c r="BN915" t="s">
        <v>74</v>
      </c>
      <c r="BO915" t="s">
        <v>2592</v>
      </c>
      <c r="BP915" t="s">
        <v>74</v>
      </c>
      <c r="BQ915" t="s">
        <v>74</v>
      </c>
      <c r="BR915" t="s">
        <v>106</v>
      </c>
      <c r="BS915" t="s">
        <v>17450</v>
      </c>
      <c r="BT915" t="str">
        <f>HYPERLINK("https%3A%2F%2Fwww.webofscience.com%2Fwos%2Fwoscc%2Ffull-record%2FWOS:000514170900001","View Full Record in Web of Science")</f>
        <v>View Full Record in Web of Science</v>
      </c>
    </row>
    <row r="916" spans="1:72" x14ac:dyDescent="0.15">
      <c r="A916" t="s">
        <v>72</v>
      </c>
      <c r="B916" t="s">
        <v>17451</v>
      </c>
      <c r="C916" t="s">
        <v>74</v>
      </c>
      <c r="D916" t="s">
        <v>74</v>
      </c>
      <c r="E916" t="s">
        <v>74</v>
      </c>
      <c r="F916" t="s">
        <v>17452</v>
      </c>
      <c r="G916" t="s">
        <v>74</v>
      </c>
      <c r="H916" t="s">
        <v>74</v>
      </c>
      <c r="I916" t="s">
        <v>17453</v>
      </c>
      <c r="J916" t="s">
        <v>13530</v>
      </c>
      <c r="K916" t="s">
        <v>74</v>
      </c>
      <c r="L916" t="s">
        <v>74</v>
      </c>
      <c r="M916" t="s">
        <v>78</v>
      </c>
      <c r="N916" t="s">
        <v>79</v>
      </c>
      <c r="O916" t="s">
        <v>74</v>
      </c>
      <c r="P916" t="s">
        <v>74</v>
      </c>
      <c r="Q916" t="s">
        <v>74</v>
      </c>
      <c r="R916" t="s">
        <v>74</v>
      </c>
      <c r="S916" t="s">
        <v>74</v>
      </c>
      <c r="T916" t="s">
        <v>17454</v>
      </c>
      <c r="U916" t="s">
        <v>17455</v>
      </c>
      <c r="V916" t="s">
        <v>17456</v>
      </c>
      <c r="W916" t="s">
        <v>17457</v>
      </c>
      <c r="X916" t="s">
        <v>17458</v>
      </c>
      <c r="Y916" t="s">
        <v>17459</v>
      </c>
      <c r="Z916" t="s">
        <v>17460</v>
      </c>
      <c r="AA916" t="s">
        <v>17461</v>
      </c>
      <c r="AB916" t="s">
        <v>17462</v>
      </c>
      <c r="AC916" t="s">
        <v>17463</v>
      </c>
      <c r="AD916" t="s">
        <v>17464</v>
      </c>
      <c r="AE916" t="s">
        <v>17465</v>
      </c>
      <c r="AF916" t="s">
        <v>74</v>
      </c>
      <c r="AG916">
        <v>92</v>
      </c>
      <c r="AH916">
        <v>5</v>
      </c>
      <c r="AI916">
        <v>6</v>
      </c>
      <c r="AJ916">
        <v>0</v>
      </c>
      <c r="AK916">
        <v>8</v>
      </c>
      <c r="AL916" t="s">
        <v>2627</v>
      </c>
      <c r="AM916" t="s">
        <v>2628</v>
      </c>
      <c r="AN916" t="s">
        <v>2629</v>
      </c>
      <c r="AO916" t="s">
        <v>13542</v>
      </c>
      <c r="AP916" t="s">
        <v>74</v>
      </c>
      <c r="AQ916" t="s">
        <v>74</v>
      </c>
      <c r="AR916" t="s">
        <v>13543</v>
      </c>
      <c r="AS916" t="s">
        <v>13544</v>
      </c>
      <c r="AT916" t="s">
        <v>12161</v>
      </c>
      <c r="AU916">
        <v>2020</v>
      </c>
      <c r="AV916">
        <v>87</v>
      </c>
      <c r="AW916">
        <v>1</v>
      </c>
      <c r="AX916" t="s">
        <v>74</v>
      </c>
      <c r="AY916" t="s">
        <v>74</v>
      </c>
      <c r="AZ916" t="s">
        <v>74</v>
      </c>
      <c r="BA916" t="s">
        <v>74</v>
      </c>
      <c r="BB916">
        <v>94</v>
      </c>
      <c r="BC916">
        <v>104</v>
      </c>
      <c r="BD916" t="s">
        <v>74</v>
      </c>
      <c r="BE916" t="s">
        <v>17466</v>
      </c>
      <c r="BF916" t="str">
        <f>HYPERLINK("http://dx.doi.org/10.1080/24750263.2020.1720832","http://dx.doi.org/10.1080/24750263.2020.1720832")</f>
        <v>http://dx.doi.org/10.1080/24750263.2020.1720832</v>
      </c>
      <c r="BG916" t="s">
        <v>74</v>
      </c>
      <c r="BH916" t="s">
        <v>74</v>
      </c>
      <c r="BI916">
        <v>11</v>
      </c>
      <c r="BJ916" t="s">
        <v>2510</v>
      </c>
      <c r="BK916" t="s">
        <v>103</v>
      </c>
      <c r="BL916" t="s">
        <v>2510</v>
      </c>
      <c r="BM916" t="s">
        <v>17467</v>
      </c>
      <c r="BN916" t="s">
        <v>74</v>
      </c>
      <c r="BO916" t="s">
        <v>276</v>
      </c>
      <c r="BP916" t="s">
        <v>74</v>
      </c>
      <c r="BQ916" t="s">
        <v>74</v>
      </c>
      <c r="BR916" t="s">
        <v>106</v>
      </c>
      <c r="BS916" t="s">
        <v>17468</v>
      </c>
      <c r="BT916" t="str">
        <f>HYPERLINK("https%3A%2F%2Fwww.webofscience.com%2Fwos%2Fwoscc%2Ffull-record%2FWOS:000514429200001","View Full Record in Web of Science")</f>
        <v>View Full Record in Web of Science</v>
      </c>
    </row>
    <row r="917" spans="1:72" x14ac:dyDescent="0.15">
      <c r="A917" t="s">
        <v>72</v>
      </c>
      <c r="B917" t="s">
        <v>17469</v>
      </c>
      <c r="C917" t="s">
        <v>74</v>
      </c>
      <c r="D917" t="s">
        <v>74</v>
      </c>
      <c r="E917" t="s">
        <v>74</v>
      </c>
      <c r="F917" t="s">
        <v>17470</v>
      </c>
      <c r="G917" t="s">
        <v>74</v>
      </c>
      <c r="H917" t="s">
        <v>74</v>
      </c>
      <c r="I917" t="s">
        <v>17471</v>
      </c>
      <c r="J917" t="s">
        <v>17472</v>
      </c>
      <c r="K917" t="s">
        <v>74</v>
      </c>
      <c r="L917" t="s">
        <v>74</v>
      </c>
      <c r="M917" t="s">
        <v>13514</v>
      </c>
      <c r="N917" t="s">
        <v>79</v>
      </c>
      <c r="O917" t="s">
        <v>74</v>
      </c>
      <c r="P917" t="s">
        <v>74</v>
      </c>
      <c r="Q917" t="s">
        <v>74</v>
      </c>
      <c r="R917" t="s">
        <v>74</v>
      </c>
      <c r="S917" t="s">
        <v>74</v>
      </c>
      <c r="T917" t="s">
        <v>17473</v>
      </c>
      <c r="U917" t="s">
        <v>74</v>
      </c>
      <c r="V917" t="s">
        <v>17474</v>
      </c>
      <c r="W917" t="s">
        <v>17475</v>
      </c>
      <c r="X917" t="s">
        <v>17476</v>
      </c>
      <c r="Y917" t="s">
        <v>17477</v>
      </c>
      <c r="Z917" t="s">
        <v>17478</v>
      </c>
      <c r="AA917" t="s">
        <v>74</v>
      </c>
      <c r="AB917" t="s">
        <v>74</v>
      </c>
      <c r="AC917" t="s">
        <v>74</v>
      </c>
      <c r="AD917" t="s">
        <v>74</v>
      </c>
      <c r="AE917" t="s">
        <v>74</v>
      </c>
      <c r="AF917" t="s">
        <v>74</v>
      </c>
      <c r="AG917">
        <v>37</v>
      </c>
      <c r="AH917">
        <v>0</v>
      </c>
      <c r="AI917">
        <v>0</v>
      </c>
      <c r="AJ917">
        <v>0</v>
      </c>
      <c r="AK917">
        <v>5</v>
      </c>
      <c r="AL917" t="s">
        <v>17479</v>
      </c>
      <c r="AM917" t="s">
        <v>14089</v>
      </c>
      <c r="AN917" t="s">
        <v>17480</v>
      </c>
      <c r="AO917" t="s">
        <v>17481</v>
      </c>
      <c r="AP917" t="s">
        <v>17482</v>
      </c>
      <c r="AQ917" t="s">
        <v>74</v>
      </c>
      <c r="AR917" t="s">
        <v>17483</v>
      </c>
      <c r="AS917" t="s">
        <v>17484</v>
      </c>
      <c r="AT917" t="s">
        <v>1033</v>
      </c>
      <c r="AU917">
        <v>2020</v>
      </c>
      <c r="AV917" t="s">
        <v>74</v>
      </c>
      <c r="AW917">
        <v>450</v>
      </c>
      <c r="AX917" t="s">
        <v>74</v>
      </c>
      <c r="AY917" t="s">
        <v>74</v>
      </c>
      <c r="AZ917" t="s">
        <v>74</v>
      </c>
      <c r="BA917" t="s">
        <v>74</v>
      </c>
      <c r="BB917">
        <v>218</v>
      </c>
      <c r="BC917">
        <v>225</v>
      </c>
      <c r="BD917" t="s">
        <v>74</v>
      </c>
      <c r="BE917" t="s">
        <v>17485</v>
      </c>
      <c r="BF917" t="str">
        <f>HYPERLINK("http://dx.doi.org/10.17223/15617793/450/26","http://dx.doi.org/10.17223/15617793/450/26")</f>
        <v>http://dx.doi.org/10.17223/15617793/450/26</v>
      </c>
      <c r="BG917" t="s">
        <v>74</v>
      </c>
      <c r="BH917" t="s">
        <v>74</v>
      </c>
      <c r="BI917">
        <v>8</v>
      </c>
      <c r="BJ917" t="s">
        <v>322</v>
      </c>
      <c r="BK917" t="s">
        <v>274</v>
      </c>
      <c r="BL917" t="s">
        <v>323</v>
      </c>
      <c r="BM917" t="s">
        <v>17486</v>
      </c>
      <c r="BN917" t="s">
        <v>74</v>
      </c>
      <c r="BO917" t="s">
        <v>517</v>
      </c>
      <c r="BP917" t="s">
        <v>74</v>
      </c>
      <c r="BQ917" t="s">
        <v>74</v>
      </c>
      <c r="BR917" t="s">
        <v>106</v>
      </c>
      <c r="BS917" t="s">
        <v>17487</v>
      </c>
      <c r="BT917" t="str">
        <f>HYPERLINK("https%3A%2F%2Fwww.webofscience.com%2Fwos%2Fwoscc%2Ffull-record%2FWOS:000513895200026","View Full Record in Web of Science")</f>
        <v>View Full Record in Web of Science</v>
      </c>
    </row>
    <row r="918" spans="1:72" x14ac:dyDescent="0.15">
      <c r="A918" t="s">
        <v>72</v>
      </c>
      <c r="B918" t="s">
        <v>17488</v>
      </c>
      <c r="C918" t="s">
        <v>74</v>
      </c>
      <c r="D918" t="s">
        <v>74</v>
      </c>
      <c r="E918" t="s">
        <v>74</v>
      </c>
      <c r="F918" t="s">
        <v>17489</v>
      </c>
      <c r="G918" t="s">
        <v>74</v>
      </c>
      <c r="H918" t="s">
        <v>74</v>
      </c>
      <c r="I918" t="s">
        <v>17490</v>
      </c>
      <c r="J918" t="s">
        <v>3956</v>
      </c>
      <c r="K918" t="s">
        <v>74</v>
      </c>
      <c r="L918" t="s">
        <v>74</v>
      </c>
      <c r="M918" t="s">
        <v>78</v>
      </c>
      <c r="N918" t="s">
        <v>79</v>
      </c>
      <c r="O918" t="s">
        <v>74</v>
      </c>
      <c r="P918" t="s">
        <v>74</v>
      </c>
      <c r="Q918" t="s">
        <v>74</v>
      </c>
      <c r="R918" t="s">
        <v>74</v>
      </c>
      <c r="S918" t="s">
        <v>74</v>
      </c>
      <c r="T918" t="s">
        <v>17491</v>
      </c>
      <c r="U918" t="s">
        <v>17492</v>
      </c>
      <c r="V918" t="s">
        <v>17493</v>
      </c>
      <c r="W918" t="s">
        <v>17494</v>
      </c>
      <c r="X918" t="s">
        <v>17495</v>
      </c>
      <c r="Y918" t="s">
        <v>7992</v>
      </c>
      <c r="Z918" t="s">
        <v>17496</v>
      </c>
      <c r="AA918" t="s">
        <v>7993</v>
      </c>
      <c r="AB918" t="s">
        <v>17497</v>
      </c>
      <c r="AC918" t="s">
        <v>17498</v>
      </c>
      <c r="AD918" t="s">
        <v>17499</v>
      </c>
      <c r="AE918" t="s">
        <v>17500</v>
      </c>
      <c r="AF918" t="s">
        <v>74</v>
      </c>
      <c r="AG918">
        <v>39</v>
      </c>
      <c r="AH918">
        <v>12</v>
      </c>
      <c r="AI918">
        <v>12</v>
      </c>
      <c r="AJ918">
        <v>4</v>
      </c>
      <c r="AK918">
        <v>10</v>
      </c>
      <c r="AL918" t="s">
        <v>3817</v>
      </c>
      <c r="AM918" t="s">
        <v>3818</v>
      </c>
      <c r="AN918" t="s">
        <v>3819</v>
      </c>
      <c r="AO918" t="s">
        <v>74</v>
      </c>
      <c r="AP918" t="s">
        <v>3969</v>
      </c>
      <c r="AQ918" t="s">
        <v>74</v>
      </c>
      <c r="AR918" t="s">
        <v>3956</v>
      </c>
      <c r="AS918" t="s">
        <v>3970</v>
      </c>
      <c r="AT918" t="s">
        <v>1033</v>
      </c>
      <c r="AU918">
        <v>2020</v>
      </c>
      <c r="AV918">
        <v>11</v>
      </c>
      <c r="AW918">
        <v>1</v>
      </c>
      <c r="AX918" t="s">
        <v>74</v>
      </c>
      <c r="AY918" t="s">
        <v>74</v>
      </c>
      <c r="AZ918" t="s">
        <v>74</v>
      </c>
      <c r="BA918" t="s">
        <v>74</v>
      </c>
      <c r="BB918" t="s">
        <v>74</v>
      </c>
      <c r="BC918" t="s">
        <v>74</v>
      </c>
      <c r="BD918">
        <v>18</v>
      </c>
      <c r="BE918" t="s">
        <v>17501</v>
      </c>
      <c r="BF918" t="str">
        <f>HYPERLINK("http://dx.doi.org/10.3390/insects11010018","http://dx.doi.org/10.3390/insects11010018")</f>
        <v>http://dx.doi.org/10.3390/insects11010018</v>
      </c>
      <c r="BG918" t="s">
        <v>74</v>
      </c>
      <c r="BH918" t="s">
        <v>74</v>
      </c>
      <c r="BI918">
        <v>14</v>
      </c>
      <c r="BJ918" t="s">
        <v>3972</v>
      </c>
      <c r="BK918" t="s">
        <v>103</v>
      </c>
      <c r="BL918" t="s">
        <v>3972</v>
      </c>
      <c r="BM918" t="s">
        <v>17502</v>
      </c>
      <c r="BN918">
        <v>31878219</v>
      </c>
      <c r="BO918" t="s">
        <v>276</v>
      </c>
      <c r="BP918" t="s">
        <v>74</v>
      </c>
      <c r="BQ918" t="s">
        <v>74</v>
      </c>
      <c r="BR918" t="s">
        <v>106</v>
      </c>
      <c r="BS918" t="s">
        <v>17503</v>
      </c>
      <c r="BT918" t="str">
        <f>HYPERLINK("https%3A%2F%2Fwww.webofscience.com%2Fwos%2Fwoscc%2Ffull-record%2FWOS:000513130200028","View Full Record in Web of Science")</f>
        <v>View Full Record in Web of Science</v>
      </c>
    </row>
    <row r="919" spans="1:72" x14ac:dyDescent="0.15">
      <c r="A919" t="s">
        <v>72</v>
      </c>
      <c r="B919" t="s">
        <v>17504</v>
      </c>
      <c r="C919" t="s">
        <v>74</v>
      </c>
      <c r="D919" t="s">
        <v>74</v>
      </c>
      <c r="E919" t="s">
        <v>74</v>
      </c>
      <c r="F919" t="s">
        <v>17505</v>
      </c>
      <c r="G919" t="s">
        <v>74</v>
      </c>
      <c r="H919" t="s">
        <v>74</v>
      </c>
      <c r="I919" t="s">
        <v>17506</v>
      </c>
      <c r="J919" t="s">
        <v>17507</v>
      </c>
      <c r="K919" t="s">
        <v>74</v>
      </c>
      <c r="L919" t="s">
        <v>74</v>
      </c>
      <c r="M919" t="s">
        <v>78</v>
      </c>
      <c r="N919" t="s">
        <v>79</v>
      </c>
      <c r="O919" t="s">
        <v>74</v>
      </c>
      <c r="P919" t="s">
        <v>74</v>
      </c>
      <c r="Q919" t="s">
        <v>74</v>
      </c>
      <c r="R919" t="s">
        <v>74</v>
      </c>
      <c r="S919" t="s">
        <v>74</v>
      </c>
      <c r="T919" t="s">
        <v>17508</v>
      </c>
      <c r="U919" t="s">
        <v>17509</v>
      </c>
      <c r="V919" t="s">
        <v>17510</v>
      </c>
      <c r="W919" t="s">
        <v>17511</v>
      </c>
      <c r="X919" t="s">
        <v>17512</v>
      </c>
      <c r="Y919" t="s">
        <v>17513</v>
      </c>
      <c r="Z919" t="s">
        <v>17514</v>
      </c>
      <c r="AA919" t="s">
        <v>74</v>
      </c>
      <c r="AB919" t="s">
        <v>74</v>
      </c>
      <c r="AC919" t="s">
        <v>17515</v>
      </c>
      <c r="AD919" t="s">
        <v>17515</v>
      </c>
      <c r="AE919" t="s">
        <v>17516</v>
      </c>
      <c r="AF919" t="s">
        <v>74</v>
      </c>
      <c r="AG919">
        <v>41</v>
      </c>
      <c r="AH919">
        <v>5</v>
      </c>
      <c r="AI919">
        <v>5</v>
      </c>
      <c r="AJ919">
        <v>0</v>
      </c>
      <c r="AK919">
        <v>5</v>
      </c>
      <c r="AL919" t="s">
        <v>289</v>
      </c>
      <c r="AM919" t="s">
        <v>290</v>
      </c>
      <c r="AN919" t="s">
        <v>291</v>
      </c>
      <c r="AO919" t="s">
        <v>17517</v>
      </c>
      <c r="AP919" t="s">
        <v>74</v>
      </c>
      <c r="AQ919" t="s">
        <v>74</v>
      </c>
      <c r="AR919" t="s">
        <v>17518</v>
      </c>
      <c r="AS919" t="s">
        <v>17519</v>
      </c>
      <c r="AT919" t="s">
        <v>1033</v>
      </c>
      <c r="AU919">
        <v>2020</v>
      </c>
      <c r="AV919">
        <v>33</v>
      </c>
      <c r="AW919" t="s">
        <v>74</v>
      </c>
      <c r="AX919" t="s">
        <v>74</v>
      </c>
      <c r="AY919" t="s">
        <v>74</v>
      </c>
      <c r="AZ919" t="s">
        <v>74</v>
      </c>
      <c r="BA919" t="s">
        <v>74</v>
      </c>
      <c r="BB919" t="s">
        <v>74</v>
      </c>
      <c r="BC919" t="s">
        <v>74</v>
      </c>
      <c r="BD919">
        <v>100890</v>
      </c>
      <c r="BE919" t="s">
        <v>17520</v>
      </c>
      <c r="BF919" t="str">
        <f>HYPERLINK("http://dx.doi.org/10.1016/j.rsma.2019.100890","http://dx.doi.org/10.1016/j.rsma.2019.100890")</f>
        <v>http://dx.doi.org/10.1016/j.rsma.2019.100890</v>
      </c>
      <c r="BG919" t="s">
        <v>74</v>
      </c>
      <c r="BH919" t="s">
        <v>74</v>
      </c>
      <c r="BI919">
        <v>11</v>
      </c>
      <c r="BJ919" t="s">
        <v>5107</v>
      </c>
      <c r="BK919" t="s">
        <v>103</v>
      </c>
      <c r="BL919" t="s">
        <v>1357</v>
      </c>
      <c r="BM919" t="s">
        <v>17521</v>
      </c>
      <c r="BN919" t="s">
        <v>74</v>
      </c>
      <c r="BO919" t="s">
        <v>74</v>
      </c>
      <c r="BP919" t="s">
        <v>74</v>
      </c>
      <c r="BQ919" t="s">
        <v>74</v>
      </c>
      <c r="BR919" t="s">
        <v>106</v>
      </c>
      <c r="BS919" t="s">
        <v>17522</v>
      </c>
      <c r="BT919" t="str">
        <f>HYPERLINK("https%3A%2F%2Fwww.webofscience.com%2Fwos%2Fwoscc%2Ffull-record%2FWOS:000512766500003","View Full Record in Web of Science")</f>
        <v>View Full Record in Web of Science</v>
      </c>
    </row>
    <row r="920" spans="1:72" x14ac:dyDescent="0.15">
      <c r="A920" t="s">
        <v>72</v>
      </c>
      <c r="B920" t="s">
        <v>17523</v>
      </c>
      <c r="C920" t="s">
        <v>74</v>
      </c>
      <c r="D920" t="s">
        <v>74</v>
      </c>
      <c r="E920" t="s">
        <v>74</v>
      </c>
      <c r="F920" t="s">
        <v>17524</v>
      </c>
      <c r="G920" t="s">
        <v>74</v>
      </c>
      <c r="H920" t="s">
        <v>74</v>
      </c>
      <c r="I920" t="s">
        <v>17525</v>
      </c>
      <c r="J920" t="s">
        <v>4269</v>
      </c>
      <c r="K920" t="s">
        <v>74</v>
      </c>
      <c r="L920" t="s">
        <v>74</v>
      </c>
      <c r="M920" t="s">
        <v>78</v>
      </c>
      <c r="N920" t="s">
        <v>79</v>
      </c>
      <c r="O920" t="s">
        <v>74</v>
      </c>
      <c r="P920" t="s">
        <v>74</v>
      </c>
      <c r="Q920" t="s">
        <v>74</v>
      </c>
      <c r="R920" t="s">
        <v>74</v>
      </c>
      <c r="S920" t="s">
        <v>74</v>
      </c>
      <c r="T920" t="s">
        <v>17526</v>
      </c>
      <c r="U920" t="s">
        <v>17527</v>
      </c>
      <c r="V920" t="s">
        <v>17528</v>
      </c>
      <c r="W920" t="s">
        <v>17529</v>
      </c>
      <c r="X920" t="s">
        <v>17530</v>
      </c>
      <c r="Y920" t="s">
        <v>17531</v>
      </c>
      <c r="Z920" t="s">
        <v>17532</v>
      </c>
      <c r="AA920" t="s">
        <v>17533</v>
      </c>
      <c r="AB920" t="s">
        <v>17534</v>
      </c>
      <c r="AC920" t="s">
        <v>17535</v>
      </c>
      <c r="AD920" t="s">
        <v>17536</v>
      </c>
      <c r="AE920" t="s">
        <v>17537</v>
      </c>
      <c r="AF920" t="s">
        <v>74</v>
      </c>
      <c r="AG920">
        <v>40</v>
      </c>
      <c r="AH920">
        <v>4</v>
      </c>
      <c r="AI920">
        <v>4</v>
      </c>
      <c r="AJ920">
        <v>0</v>
      </c>
      <c r="AK920">
        <v>3</v>
      </c>
      <c r="AL920" t="s">
        <v>3817</v>
      </c>
      <c r="AM920" t="s">
        <v>3818</v>
      </c>
      <c r="AN920" t="s">
        <v>3819</v>
      </c>
      <c r="AO920" t="s">
        <v>74</v>
      </c>
      <c r="AP920" t="s">
        <v>4281</v>
      </c>
      <c r="AQ920" t="s">
        <v>74</v>
      </c>
      <c r="AR920" t="s">
        <v>4269</v>
      </c>
      <c r="AS920" t="s">
        <v>4282</v>
      </c>
      <c r="AT920" t="s">
        <v>1033</v>
      </c>
      <c r="AU920">
        <v>2020</v>
      </c>
      <c r="AV920">
        <v>10</v>
      </c>
      <c r="AW920">
        <v>1</v>
      </c>
      <c r="AX920" t="s">
        <v>74</v>
      </c>
      <c r="AY920" t="s">
        <v>74</v>
      </c>
      <c r="AZ920" t="s">
        <v>74</v>
      </c>
      <c r="BA920" t="s">
        <v>74</v>
      </c>
      <c r="BB920" t="s">
        <v>74</v>
      </c>
      <c r="BC920" t="s">
        <v>74</v>
      </c>
      <c r="BD920">
        <v>12</v>
      </c>
      <c r="BE920" t="s">
        <v>17538</v>
      </c>
      <c r="BF920" t="str">
        <f>HYPERLINK("http://dx.doi.org/10.3390/geosciences10010012","http://dx.doi.org/10.3390/geosciences10010012")</f>
        <v>http://dx.doi.org/10.3390/geosciences10010012</v>
      </c>
      <c r="BG920" t="s">
        <v>74</v>
      </c>
      <c r="BH920" t="s">
        <v>74</v>
      </c>
      <c r="BI920">
        <v>25</v>
      </c>
      <c r="BJ920" t="s">
        <v>246</v>
      </c>
      <c r="BK920" t="s">
        <v>274</v>
      </c>
      <c r="BL920" t="s">
        <v>247</v>
      </c>
      <c r="BM920" t="s">
        <v>17539</v>
      </c>
      <c r="BN920" t="s">
        <v>74</v>
      </c>
      <c r="BO920" t="s">
        <v>987</v>
      </c>
      <c r="BP920" t="s">
        <v>74</v>
      </c>
      <c r="BQ920" t="s">
        <v>74</v>
      </c>
      <c r="BR920" t="s">
        <v>106</v>
      </c>
      <c r="BS920" t="s">
        <v>17540</v>
      </c>
      <c r="BT920" t="str">
        <f>HYPERLINK("https%3A%2F%2Fwww.webofscience.com%2Fwos%2Fwoscc%2Ffull-record%2FWOS:000513130700020","View Full Record in Web of Science")</f>
        <v>View Full Record in Web of Science</v>
      </c>
    </row>
    <row r="921" spans="1:72" x14ac:dyDescent="0.15">
      <c r="A921" t="s">
        <v>72</v>
      </c>
      <c r="B921" t="s">
        <v>17541</v>
      </c>
      <c r="C921" t="s">
        <v>74</v>
      </c>
      <c r="D921" t="s">
        <v>74</v>
      </c>
      <c r="E921" t="s">
        <v>74</v>
      </c>
      <c r="F921" t="s">
        <v>17542</v>
      </c>
      <c r="G921" t="s">
        <v>74</v>
      </c>
      <c r="H921" t="s">
        <v>74</v>
      </c>
      <c r="I921" t="s">
        <v>17543</v>
      </c>
      <c r="J921" t="s">
        <v>4269</v>
      </c>
      <c r="K921" t="s">
        <v>74</v>
      </c>
      <c r="L921" t="s">
        <v>74</v>
      </c>
      <c r="M921" t="s">
        <v>78</v>
      </c>
      <c r="N921" t="s">
        <v>79</v>
      </c>
      <c r="O921" t="s">
        <v>74</v>
      </c>
      <c r="P921" t="s">
        <v>74</v>
      </c>
      <c r="Q921" t="s">
        <v>74</v>
      </c>
      <c r="R921" t="s">
        <v>74</v>
      </c>
      <c r="S921" t="s">
        <v>74</v>
      </c>
      <c r="T921" t="s">
        <v>17544</v>
      </c>
      <c r="U921" t="s">
        <v>17545</v>
      </c>
      <c r="V921" t="s">
        <v>17546</v>
      </c>
      <c r="W921" t="s">
        <v>17547</v>
      </c>
      <c r="X921" t="s">
        <v>17548</v>
      </c>
      <c r="Y921" t="s">
        <v>17549</v>
      </c>
      <c r="Z921" t="s">
        <v>17550</v>
      </c>
      <c r="AA921" t="s">
        <v>17551</v>
      </c>
      <c r="AB921" t="s">
        <v>17552</v>
      </c>
      <c r="AC921" t="s">
        <v>17553</v>
      </c>
      <c r="AD921" t="s">
        <v>17554</v>
      </c>
      <c r="AE921" t="s">
        <v>17555</v>
      </c>
      <c r="AF921" t="s">
        <v>74</v>
      </c>
      <c r="AG921">
        <v>64</v>
      </c>
      <c r="AH921">
        <v>10</v>
      </c>
      <c r="AI921">
        <v>10</v>
      </c>
      <c r="AJ921">
        <v>1</v>
      </c>
      <c r="AK921">
        <v>11</v>
      </c>
      <c r="AL921" t="s">
        <v>3817</v>
      </c>
      <c r="AM921" t="s">
        <v>3818</v>
      </c>
      <c r="AN921" t="s">
        <v>3819</v>
      </c>
      <c r="AO921" t="s">
        <v>74</v>
      </c>
      <c r="AP921" t="s">
        <v>4281</v>
      </c>
      <c r="AQ921" t="s">
        <v>74</v>
      </c>
      <c r="AR921" t="s">
        <v>4269</v>
      </c>
      <c r="AS921" t="s">
        <v>4282</v>
      </c>
      <c r="AT921" t="s">
        <v>1033</v>
      </c>
      <c r="AU921">
        <v>2020</v>
      </c>
      <c r="AV921">
        <v>10</v>
      </c>
      <c r="AW921">
        <v>1</v>
      </c>
      <c r="AX921" t="s">
        <v>74</v>
      </c>
      <c r="AY921" t="s">
        <v>74</v>
      </c>
      <c r="AZ921" t="s">
        <v>74</v>
      </c>
      <c r="BA921" t="s">
        <v>74</v>
      </c>
      <c r="BB921" t="s">
        <v>74</v>
      </c>
      <c r="BC921" t="s">
        <v>74</v>
      </c>
      <c r="BD921">
        <v>38</v>
      </c>
      <c r="BE921" t="s">
        <v>17556</v>
      </c>
      <c r="BF921" t="str">
        <f>HYPERLINK("http://dx.doi.org/10.3390/geosciences10010038","http://dx.doi.org/10.3390/geosciences10010038")</f>
        <v>http://dx.doi.org/10.3390/geosciences10010038</v>
      </c>
      <c r="BG921" t="s">
        <v>74</v>
      </c>
      <c r="BH921" t="s">
        <v>74</v>
      </c>
      <c r="BI921">
        <v>15</v>
      </c>
      <c r="BJ921" t="s">
        <v>246</v>
      </c>
      <c r="BK921" t="s">
        <v>274</v>
      </c>
      <c r="BL921" t="s">
        <v>247</v>
      </c>
      <c r="BM921" t="s">
        <v>17539</v>
      </c>
      <c r="BN921" t="s">
        <v>74</v>
      </c>
      <c r="BO921" t="s">
        <v>276</v>
      </c>
      <c r="BP921" t="s">
        <v>74</v>
      </c>
      <c r="BQ921" t="s">
        <v>74</v>
      </c>
      <c r="BR921" t="s">
        <v>106</v>
      </c>
      <c r="BS921" t="s">
        <v>17557</v>
      </c>
      <c r="BT921" t="str">
        <f>HYPERLINK("https%3A%2F%2Fwww.webofscience.com%2Fwos%2Fwoscc%2Ffull-record%2FWOS:000513130700033","View Full Record in Web of Science")</f>
        <v>View Full Record in Web of Science</v>
      </c>
    </row>
    <row r="922" spans="1:72" x14ac:dyDescent="0.15">
      <c r="A922" t="s">
        <v>72</v>
      </c>
      <c r="B922" t="s">
        <v>17558</v>
      </c>
      <c r="C922" t="s">
        <v>74</v>
      </c>
      <c r="D922" t="s">
        <v>74</v>
      </c>
      <c r="E922" t="s">
        <v>74</v>
      </c>
      <c r="F922" t="s">
        <v>17559</v>
      </c>
      <c r="G922" t="s">
        <v>74</v>
      </c>
      <c r="H922" t="s">
        <v>74</v>
      </c>
      <c r="I922" t="s">
        <v>17560</v>
      </c>
      <c r="J922" t="s">
        <v>4269</v>
      </c>
      <c r="K922" t="s">
        <v>74</v>
      </c>
      <c r="L922" t="s">
        <v>74</v>
      </c>
      <c r="M922" t="s">
        <v>78</v>
      </c>
      <c r="N922" t="s">
        <v>79</v>
      </c>
      <c r="O922" t="s">
        <v>74</v>
      </c>
      <c r="P922" t="s">
        <v>74</v>
      </c>
      <c r="Q922" t="s">
        <v>74</v>
      </c>
      <c r="R922" t="s">
        <v>74</v>
      </c>
      <c r="S922" t="s">
        <v>74</v>
      </c>
      <c r="T922" t="s">
        <v>17561</v>
      </c>
      <c r="U922" t="s">
        <v>17562</v>
      </c>
      <c r="V922" t="s">
        <v>17563</v>
      </c>
      <c r="W922" t="s">
        <v>17564</v>
      </c>
      <c r="X922" t="s">
        <v>14846</v>
      </c>
      <c r="Y922" t="s">
        <v>17565</v>
      </c>
      <c r="Z922" t="s">
        <v>17566</v>
      </c>
      <c r="AA922" t="s">
        <v>17567</v>
      </c>
      <c r="AB922" t="s">
        <v>17568</v>
      </c>
      <c r="AC922" t="s">
        <v>17569</v>
      </c>
      <c r="AD922" t="s">
        <v>17570</v>
      </c>
      <c r="AE922" t="s">
        <v>17571</v>
      </c>
      <c r="AF922" t="s">
        <v>74</v>
      </c>
      <c r="AG922">
        <v>53</v>
      </c>
      <c r="AH922">
        <v>9</v>
      </c>
      <c r="AI922">
        <v>9</v>
      </c>
      <c r="AJ922">
        <v>2</v>
      </c>
      <c r="AK922">
        <v>11</v>
      </c>
      <c r="AL922" t="s">
        <v>3817</v>
      </c>
      <c r="AM922" t="s">
        <v>3818</v>
      </c>
      <c r="AN922" t="s">
        <v>3819</v>
      </c>
      <c r="AO922" t="s">
        <v>74</v>
      </c>
      <c r="AP922" t="s">
        <v>4281</v>
      </c>
      <c r="AQ922" t="s">
        <v>74</v>
      </c>
      <c r="AR922" t="s">
        <v>4269</v>
      </c>
      <c r="AS922" t="s">
        <v>4282</v>
      </c>
      <c r="AT922" t="s">
        <v>1033</v>
      </c>
      <c r="AU922">
        <v>2020</v>
      </c>
      <c r="AV922">
        <v>10</v>
      </c>
      <c r="AW922">
        <v>1</v>
      </c>
      <c r="AX922" t="s">
        <v>74</v>
      </c>
      <c r="AY922" t="s">
        <v>74</v>
      </c>
      <c r="AZ922" t="s">
        <v>74</v>
      </c>
      <c r="BA922" t="s">
        <v>74</v>
      </c>
      <c r="BB922" t="s">
        <v>74</v>
      </c>
      <c r="BC922" t="s">
        <v>74</v>
      </c>
      <c r="BD922">
        <v>15</v>
      </c>
      <c r="BE922" t="s">
        <v>17572</v>
      </c>
      <c r="BF922" t="str">
        <f>HYPERLINK("http://dx.doi.org/10.3390/geosciences10010015","http://dx.doi.org/10.3390/geosciences10010015")</f>
        <v>http://dx.doi.org/10.3390/geosciences10010015</v>
      </c>
      <c r="BG922" t="s">
        <v>74</v>
      </c>
      <c r="BH922" t="s">
        <v>74</v>
      </c>
      <c r="BI922">
        <v>13</v>
      </c>
      <c r="BJ922" t="s">
        <v>246</v>
      </c>
      <c r="BK922" t="s">
        <v>274</v>
      </c>
      <c r="BL922" t="s">
        <v>247</v>
      </c>
      <c r="BM922" t="s">
        <v>17539</v>
      </c>
      <c r="BN922" t="s">
        <v>74</v>
      </c>
      <c r="BO922" t="s">
        <v>1359</v>
      </c>
      <c r="BP922" t="s">
        <v>74</v>
      </c>
      <c r="BQ922" t="s">
        <v>74</v>
      </c>
      <c r="BR922" t="s">
        <v>106</v>
      </c>
      <c r="BS922" t="s">
        <v>17573</v>
      </c>
      <c r="BT922" t="str">
        <f>HYPERLINK("https%3A%2F%2Fwww.webofscience.com%2Fwos%2Fwoscc%2Ffull-record%2FWOS:000513130700034","View Full Record in Web of Science")</f>
        <v>View Full Record in Web of Science</v>
      </c>
    </row>
    <row r="923" spans="1:72" x14ac:dyDescent="0.15">
      <c r="A923" t="s">
        <v>72</v>
      </c>
      <c r="B923" t="s">
        <v>17574</v>
      </c>
      <c r="C923" t="s">
        <v>74</v>
      </c>
      <c r="D923" t="s">
        <v>74</v>
      </c>
      <c r="E923" t="s">
        <v>74</v>
      </c>
      <c r="F923" t="s">
        <v>17575</v>
      </c>
      <c r="G923" t="s">
        <v>74</v>
      </c>
      <c r="H923" t="s">
        <v>74</v>
      </c>
      <c r="I923" t="s">
        <v>17576</v>
      </c>
      <c r="J923" t="s">
        <v>17577</v>
      </c>
      <c r="K923" t="s">
        <v>74</v>
      </c>
      <c r="L923" t="s">
        <v>74</v>
      </c>
      <c r="M923" t="s">
        <v>78</v>
      </c>
      <c r="N923" t="s">
        <v>79</v>
      </c>
      <c r="O923" t="s">
        <v>74</v>
      </c>
      <c r="P923" t="s">
        <v>74</v>
      </c>
      <c r="Q923" t="s">
        <v>74</v>
      </c>
      <c r="R923" t="s">
        <v>74</v>
      </c>
      <c r="S923" t="s">
        <v>74</v>
      </c>
      <c r="T923" t="s">
        <v>17578</v>
      </c>
      <c r="U923" t="s">
        <v>17579</v>
      </c>
      <c r="V923" t="s">
        <v>17580</v>
      </c>
      <c r="W923" t="s">
        <v>17581</v>
      </c>
      <c r="X923" t="s">
        <v>17582</v>
      </c>
      <c r="Y923" t="s">
        <v>17583</v>
      </c>
      <c r="Z923" t="s">
        <v>17584</v>
      </c>
      <c r="AA923" t="s">
        <v>17585</v>
      </c>
      <c r="AB923" t="s">
        <v>17586</v>
      </c>
      <c r="AC923" t="s">
        <v>17587</v>
      </c>
      <c r="AD923" t="s">
        <v>17588</v>
      </c>
      <c r="AE923" t="s">
        <v>17589</v>
      </c>
      <c r="AF923" t="s">
        <v>74</v>
      </c>
      <c r="AG923">
        <v>59</v>
      </c>
      <c r="AH923">
        <v>9</v>
      </c>
      <c r="AI923">
        <v>9</v>
      </c>
      <c r="AJ923">
        <v>5</v>
      </c>
      <c r="AK923">
        <v>30</v>
      </c>
      <c r="AL923" t="s">
        <v>289</v>
      </c>
      <c r="AM923" t="s">
        <v>290</v>
      </c>
      <c r="AN923" t="s">
        <v>291</v>
      </c>
      <c r="AO923" t="s">
        <v>17590</v>
      </c>
      <c r="AP923" t="s">
        <v>17591</v>
      </c>
      <c r="AQ923" t="s">
        <v>74</v>
      </c>
      <c r="AR923" t="s">
        <v>17592</v>
      </c>
      <c r="AS923" t="s">
        <v>17593</v>
      </c>
      <c r="AT923" t="s">
        <v>1033</v>
      </c>
      <c r="AU923">
        <v>2020</v>
      </c>
      <c r="AV923">
        <v>580</v>
      </c>
      <c r="AW923" t="s">
        <v>74</v>
      </c>
      <c r="AX923" t="s">
        <v>74</v>
      </c>
      <c r="AY923" t="s">
        <v>74</v>
      </c>
      <c r="AZ923" t="s">
        <v>74</v>
      </c>
      <c r="BA923" t="s">
        <v>74</v>
      </c>
      <c r="BB923" t="s">
        <v>74</v>
      </c>
      <c r="BC923" t="s">
        <v>74</v>
      </c>
      <c r="BD923">
        <v>124232</v>
      </c>
      <c r="BE923" t="s">
        <v>17594</v>
      </c>
      <c r="BF923" t="str">
        <f>HYPERLINK("http://dx.doi.org/10.1016/j.jhydrol.2019.124232","http://dx.doi.org/10.1016/j.jhydrol.2019.124232")</f>
        <v>http://dx.doi.org/10.1016/j.jhydrol.2019.124232</v>
      </c>
      <c r="BG923" t="s">
        <v>74</v>
      </c>
      <c r="BH923" t="s">
        <v>74</v>
      </c>
      <c r="BI923">
        <v>9</v>
      </c>
      <c r="BJ923" t="s">
        <v>17595</v>
      </c>
      <c r="BK923" t="s">
        <v>103</v>
      </c>
      <c r="BL923" t="s">
        <v>1638</v>
      </c>
      <c r="BM923" t="s">
        <v>17596</v>
      </c>
      <c r="BN923" t="s">
        <v>74</v>
      </c>
      <c r="BO923" t="s">
        <v>74</v>
      </c>
      <c r="BP923" t="s">
        <v>74</v>
      </c>
      <c r="BQ923" t="s">
        <v>74</v>
      </c>
      <c r="BR923" t="s">
        <v>106</v>
      </c>
      <c r="BS923" t="s">
        <v>17597</v>
      </c>
      <c r="BT923" t="str">
        <f>HYPERLINK("https%3A%2F%2Fwww.webofscience.com%2Fwos%2Fwoscc%2Ffull-record%2FWOS:000509620900001","View Full Record in Web of Science")</f>
        <v>View Full Record in Web of Science</v>
      </c>
    </row>
    <row r="924" spans="1:72" x14ac:dyDescent="0.15">
      <c r="A924" t="s">
        <v>72</v>
      </c>
      <c r="B924" t="s">
        <v>17598</v>
      </c>
      <c r="C924" t="s">
        <v>74</v>
      </c>
      <c r="D924" t="s">
        <v>74</v>
      </c>
      <c r="E924" t="s">
        <v>74</v>
      </c>
      <c r="F924" t="s">
        <v>17599</v>
      </c>
      <c r="G924" t="s">
        <v>74</v>
      </c>
      <c r="H924" t="s">
        <v>74</v>
      </c>
      <c r="I924" t="s">
        <v>17600</v>
      </c>
      <c r="J924" t="s">
        <v>3198</v>
      </c>
      <c r="K924" t="s">
        <v>74</v>
      </c>
      <c r="L924" t="s">
        <v>74</v>
      </c>
      <c r="M924" t="s">
        <v>78</v>
      </c>
      <c r="N924" t="s">
        <v>79</v>
      </c>
      <c r="O924" t="s">
        <v>74</v>
      </c>
      <c r="P924" t="s">
        <v>74</v>
      </c>
      <c r="Q924" t="s">
        <v>74</v>
      </c>
      <c r="R924" t="s">
        <v>74</v>
      </c>
      <c r="S924" t="s">
        <v>74</v>
      </c>
      <c r="T924" t="s">
        <v>17601</v>
      </c>
      <c r="U924" t="s">
        <v>17602</v>
      </c>
      <c r="V924" t="s">
        <v>17603</v>
      </c>
      <c r="W924" t="s">
        <v>17604</v>
      </c>
      <c r="X924" t="s">
        <v>17605</v>
      </c>
      <c r="Y924" t="s">
        <v>17606</v>
      </c>
      <c r="Z924" t="s">
        <v>17607</v>
      </c>
      <c r="AA924" t="s">
        <v>17608</v>
      </c>
      <c r="AB924" t="s">
        <v>17609</v>
      </c>
      <c r="AC924" t="s">
        <v>17610</v>
      </c>
      <c r="AD924" t="s">
        <v>17610</v>
      </c>
      <c r="AE924" t="s">
        <v>17611</v>
      </c>
      <c r="AF924" t="s">
        <v>74</v>
      </c>
      <c r="AG924">
        <v>114</v>
      </c>
      <c r="AH924">
        <v>10</v>
      </c>
      <c r="AI924">
        <v>10</v>
      </c>
      <c r="AJ924">
        <v>1</v>
      </c>
      <c r="AK924">
        <v>18</v>
      </c>
      <c r="AL924" t="s">
        <v>434</v>
      </c>
      <c r="AM924" t="s">
        <v>435</v>
      </c>
      <c r="AN924" t="s">
        <v>436</v>
      </c>
      <c r="AO924" t="s">
        <v>3210</v>
      </c>
      <c r="AP924" t="s">
        <v>3211</v>
      </c>
      <c r="AQ924" t="s">
        <v>74</v>
      </c>
      <c r="AR924" t="s">
        <v>3212</v>
      </c>
      <c r="AS924" t="s">
        <v>3213</v>
      </c>
      <c r="AT924" t="s">
        <v>1033</v>
      </c>
      <c r="AU924">
        <v>2020</v>
      </c>
      <c r="AV924">
        <v>150</v>
      </c>
      <c r="AW924" t="s">
        <v>74</v>
      </c>
      <c r="AX924" t="s">
        <v>74</v>
      </c>
      <c r="AY924" t="s">
        <v>74</v>
      </c>
      <c r="AZ924" t="s">
        <v>74</v>
      </c>
      <c r="BA924" t="s">
        <v>74</v>
      </c>
      <c r="BB924" t="s">
        <v>74</v>
      </c>
      <c r="BC924" t="s">
        <v>74</v>
      </c>
      <c r="BD924">
        <v>110710</v>
      </c>
      <c r="BE924" t="s">
        <v>17612</v>
      </c>
      <c r="BF924" t="str">
        <f>HYPERLINK("http://dx.doi.org/10.1016/j.marpolbul.2019.110710","http://dx.doi.org/10.1016/j.marpolbul.2019.110710")</f>
        <v>http://dx.doi.org/10.1016/j.marpolbul.2019.110710</v>
      </c>
      <c r="BG924" t="s">
        <v>74</v>
      </c>
      <c r="BH924" t="s">
        <v>74</v>
      </c>
      <c r="BI924">
        <v>13</v>
      </c>
      <c r="BJ924" t="s">
        <v>1356</v>
      </c>
      <c r="BK924" t="s">
        <v>1149</v>
      </c>
      <c r="BL924" t="s">
        <v>1357</v>
      </c>
      <c r="BM924" t="s">
        <v>17613</v>
      </c>
      <c r="BN924">
        <v>31753567</v>
      </c>
      <c r="BO924" t="s">
        <v>17614</v>
      </c>
      <c r="BP924" t="s">
        <v>74</v>
      </c>
      <c r="BQ924" t="s">
        <v>74</v>
      </c>
      <c r="BR924" t="s">
        <v>106</v>
      </c>
      <c r="BS924" t="s">
        <v>17615</v>
      </c>
      <c r="BT924" t="str">
        <f>HYPERLINK("https%3A%2F%2Fwww.webofscience.com%2Fwos%2Fwoscc%2Ffull-record%2FWOS:000509611200072","View Full Record in Web of Science")</f>
        <v>View Full Record in Web of Science</v>
      </c>
    </row>
    <row r="925" spans="1:72" x14ac:dyDescent="0.15">
      <c r="A925" t="s">
        <v>72</v>
      </c>
      <c r="B925" t="s">
        <v>17616</v>
      </c>
      <c r="C925" t="s">
        <v>74</v>
      </c>
      <c r="D925" t="s">
        <v>74</v>
      </c>
      <c r="E925" t="s">
        <v>74</v>
      </c>
      <c r="F925" t="s">
        <v>17617</v>
      </c>
      <c r="G925" t="s">
        <v>74</v>
      </c>
      <c r="H925" t="s">
        <v>74</v>
      </c>
      <c r="I925" t="s">
        <v>17618</v>
      </c>
      <c r="J925" t="s">
        <v>3198</v>
      </c>
      <c r="K925" t="s">
        <v>74</v>
      </c>
      <c r="L925" t="s">
        <v>74</v>
      </c>
      <c r="M925" t="s">
        <v>78</v>
      </c>
      <c r="N925" t="s">
        <v>79</v>
      </c>
      <c r="O925" t="s">
        <v>74</v>
      </c>
      <c r="P925" t="s">
        <v>74</v>
      </c>
      <c r="Q925" t="s">
        <v>74</v>
      </c>
      <c r="R925" t="s">
        <v>74</v>
      </c>
      <c r="S925" t="s">
        <v>74</v>
      </c>
      <c r="T925" t="s">
        <v>17619</v>
      </c>
      <c r="U925" t="s">
        <v>17620</v>
      </c>
      <c r="V925" t="s">
        <v>17621</v>
      </c>
      <c r="W925" t="s">
        <v>17622</v>
      </c>
      <c r="X925" t="s">
        <v>17623</v>
      </c>
      <c r="Y925" t="s">
        <v>17624</v>
      </c>
      <c r="Z925" t="s">
        <v>17625</v>
      </c>
      <c r="AA925" t="s">
        <v>17626</v>
      </c>
      <c r="AB925" t="s">
        <v>17627</v>
      </c>
      <c r="AC925" t="s">
        <v>17628</v>
      </c>
      <c r="AD925" t="s">
        <v>17628</v>
      </c>
      <c r="AE925" t="s">
        <v>17629</v>
      </c>
      <c r="AF925" t="s">
        <v>74</v>
      </c>
      <c r="AG925">
        <v>36</v>
      </c>
      <c r="AH925">
        <v>19</v>
      </c>
      <c r="AI925">
        <v>21</v>
      </c>
      <c r="AJ925">
        <v>1</v>
      </c>
      <c r="AK925">
        <v>14</v>
      </c>
      <c r="AL925" t="s">
        <v>434</v>
      </c>
      <c r="AM925" t="s">
        <v>435</v>
      </c>
      <c r="AN925" t="s">
        <v>436</v>
      </c>
      <c r="AO925" t="s">
        <v>3210</v>
      </c>
      <c r="AP925" t="s">
        <v>3211</v>
      </c>
      <c r="AQ925" t="s">
        <v>74</v>
      </c>
      <c r="AR925" t="s">
        <v>3212</v>
      </c>
      <c r="AS925" t="s">
        <v>3213</v>
      </c>
      <c r="AT925" t="s">
        <v>1033</v>
      </c>
      <c r="AU925">
        <v>2020</v>
      </c>
      <c r="AV925">
        <v>150</v>
      </c>
      <c r="AW925" t="s">
        <v>74</v>
      </c>
      <c r="AX925" t="s">
        <v>74</v>
      </c>
      <c r="AY925" t="s">
        <v>74</v>
      </c>
      <c r="AZ925" t="s">
        <v>74</v>
      </c>
      <c r="BA925" t="s">
        <v>74</v>
      </c>
      <c r="BB925" t="s">
        <v>74</v>
      </c>
      <c r="BC925" t="s">
        <v>74</v>
      </c>
      <c r="BD925">
        <v>110671</v>
      </c>
      <c r="BE925" t="s">
        <v>17630</v>
      </c>
      <c r="BF925" t="str">
        <f>HYPERLINK("http://dx.doi.org/10.1016/j.marpolbul.2019.110671","http://dx.doi.org/10.1016/j.marpolbul.2019.110671")</f>
        <v>http://dx.doi.org/10.1016/j.marpolbul.2019.110671</v>
      </c>
      <c r="BG925" t="s">
        <v>74</v>
      </c>
      <c r="BH925" t="s">
        <v>74</v>
      </c>
      <c r="BI925">
        <v>5</v>
      </c>
      <c r="BJ925" t="s">
        <v>1356</v>
      </c>
      <c r="BK925" t="s">
        <v>103</v>
      </c>
      <c r="BL925" t="s">
        <v>1357</v>
      </c>
      <c r="BM925" t="s">
        <v>17613</v>
      </c>
      <c r="BN925">
        <v>31669710</v>
      </c>
      <c r="BO925" t="s">
        <v>74</v>
      </c>
      <c r="BP925" t="s">
        <v>74</v>
      </c>
      <c r="BQ925" t="s">
        <v>74</v>
      </c>
      <c r="BR925" t="s">
        <v>106</v>
      </c>
      <c r="BS925" t="s">
        <v>17631</v>
      </c>
      <c r="BT925" t="str">
        <f>HYPERLINK("https%3A%2F%2Fwww.webofscience.com%2Fwos%2Fwoscc%2Ffull-record%2FWOS:000509611200028","View Full Record in Web of Science")</f>
        <v>View Full Record in Web of Science</v>
      </c>
    </row>
    <row r="926" spans="1:72" x14ac:dyDescent="0.15">
      <c r="A926" t="s">
        <v>72</v>
      </c>
      <c r="B926" t="s">
        <v>17632</v>
      </c>
      <c r="C926" t="s">
        <v>74</v>
      </c>
      <c r="D926" t="s">
        <v>74</v>
      </c>
      <c r="E926" t="s">
        <v>74</v>
      </c>
      <c r="F926" t="s">
        <v>17633</v>
      </c>
      <c r="G926" t="s">
        <v>74</v>
      </c>
      <c r="H926" t="s">
        <v>74</v>
      </c>
      <c r="I926" t="s">
        <v>17634</v>
      </c>
      <c r="J926" t="s">
        <v>17635</v>
      </c>
      <c r="K926" t="s">
        <v>74</v>
      </c>
      <c r="L926" t="s">
        <v>74</v>
      </c>
      <c r="M926" t="s">
        <v>78</v>
      </c>
      <c r="N926" t="s">
        <v>79</v>
      </c>
      <c r="O926" t="s">
        <v>74</v>
      </c>
      <c r="P926" t="s">
        <v>74</v>
      </c>
      <c r="Q926" t="s">
        <v>74</v>
      </c>
      <c r="R926" t="s">
        <v>74</v>
      </c>
      <c r="S926" t="s">
        <v>74</v>
      </c>
      <c r="T926" t="s">
        <v>17636</v>
      </c>
      <c r="U926" t="s">
        <v>17637</v>
      </c>
      <c r="V926" t="s">
        <v>17638</v>
      </c>
      <c r="W926" t="s">
        <v>17639</v>
      </c>
      <c r="X926" t="s">
        <v>17640</v>
      </c>
      <c r="Y926" t="s">
        <v>17641</v>
      </c>
      <c r="Z926" t="s">
        <v>17642</v>
      </c>
      <c r="AA926" t="s">
        <v>74</v>
      </c>
      <c r="AB926" t="s">
        <v>17643</v>
      </c>
      <c r="AC926" t="s">
        <v>13982</v>
      </c>
      <c r="AD926" t="s">
        <v>5836</v>
      </c>
      <c r="AE926" t="s">
        <v>17644</v>
      </c>
      <c r="AF926" t="s">
        <v>74</v>
      </c>
      <c r="AG926">
        <v>86</v>
      </c>
      <c r="AH926">
        <v>17</v>
      </c>
      <c r="AI926">
        <v>18</v>
      </c>
      <c r="AJ926">
        <v>3</v>
      </c>
      <c r="AK926">
        <v>18</v>
      </c>
      <c r="AL926" t="s">
        <v>3817</v>
      </c>
      <c r="AM926" t="s">
        <v>3818</v>
      </c>
      <c r="AN926" t="s">
        <v>3819</v>
      </c>
      <c r="AO926" t="s">
        <v>74</v>
      </c>
      <c r="AP926" t="s">
        <v>17645</v>
      </c>
      <c r="AQ926" t="s">
        <v>74</v>
      </c>
      <c r="AR926" t="s">
        <v>17635</v>
      </c>
      <c r="AS926" t="s">
        <v>17646</v>
      </c>
      <c r="AT926" t="s">
        <v>1033</v>
      </c>
      <c r="AU926">
        <v>2020</v>
      </c>
      <c r="AV926">
        <v>9</v>
      </c>
      <c r="AW926">
        <v>1</v>
      </c>
      <c r="AX926" t="s">
        <v>74</v>
      </c>
      <c r="AY926" t="s">
        <v>74</v>
      </c>
      <c r="AZ926" t="s">
        <v>74</v>
      </c>
      <c r="BA926" t="s">
        <v>74</v>
      </c>
      <c r="BB926" t="s">
        <v>74</v>
      </c>
      <c r="BC926" t="s">
        <v>74</v>
      </c>
      <c r="BD926">
        <v>85</v>
      </c>
      <c r="BE926" t="s">
        <v>17647</v>
      </c>
      <c r="BF926" t="str">
        <f>HYPERLINK("http://dx.doi.org/10.3390/plants9010085","http://dx.doi.org/10.3390/plants9010085")</f>
        <v>http://dx.doi.org/10.3390/plants9010085</v>
      </c>
      <c r="BG926" t="s">
        <v>74</v>
      </c>
      <c r="BH926" t="s">
        <v>74</v>
      </c>
      <c r="BI926">
        <v>20</v>
      </c>
      <c r="BJ926" t="s">
        <v>6008</v>
      </c>
      <c r="BK926" t="s">
        <v>103</v>
      </c>
      <c r="BL926" t="s">
        <v>6008</v>
      </c>
      <c r="BM926" t="s">
        <v>17648</v>
      </c>
      <c r="BN926">
        <v>31936612</v>
      </c>
      <c r="BO926" t="s">
        <v>276</v>
      </c>
      <c r="BP926" t="s">
        <v>74</v>
      </c>
      <c r="BQ926" t="s">
        <v>74</v>
      </c>
      <c r="BR926" t="s">
        <v>106</v>
      </c>
      <c r="BS926" t="s">
        <v>17649</v>
      </c>
      <c r="BT926" t="str">
        <f>HYPERLINK("https%3A%2F%2Fwww.webofscience.com%2Fwos%2Fwoscc%2Ffull-record%2FWOS:000513238700085","View Full Record in Web of Science")</f>
        <v>View Full Record in Web of Science</v>
      </c>
    </row>
    <row r="927" spans="1:72" x14ac:dyDescent="0.15">
      <c r="A927" t="s">
        <v>72</v>
      </c>
      <c r="B927" t="s">
        <v>17650</v>
      </c>
      <c r="C927" t="s">
        <v>74</v>
      </c>
      <c r="D927" t="s">
        <v>74</v>
      </c>
      <c r="E927" t="s">
        <v>74</v>
      </c>
      <c r="F927" t="s">
        <v>17651</v>
      </c>
      <c r="G927" t="s">
        <v>74</v>
      </c>
      <c r="H927" t="s">
        <v>74</v>
      </c>
      <c r="I927" t="s">
        <v>17652</v>
      </c>
      <c r="J927" t="s">
        <v>17653</v>
      </c>
      <c r="K927" t="s">
        <v>74</v>
      </c>
      <c r="L927" t="s">
        <v>74</v>
      </c>
      <c r="M927" t="s">
        <v>78</v>
      </c>
      <c r="N927" t="s">
        <v>79</v>
      </c>
      <c r="O927" t="s">
        <v>74</v>
      </c>
      <c r="P927" t="s">
        <v>74</v>
      </c>
      <c r="Q927" t="s">
        <v>74</v>
      </c>
      <c r="R927" t="s">
        <v>74</v>
      </c>
      <c r="S927" t="s">
        <v>74</v>
      </c>
      <c r="T927" t="s">
        <v>17654</v>
      </c>
      <c r="U927" t="s">
        <v>17655</v>
      </c>
      <c r="V927" t="s">
        <v>17656</v>
      </c>
      <c r="W927" t="s">
        <v>17657</v>
      </c>
      <c r="X927" t="s">
        <v>17658</v>
      </c>
      <c r="Y927" t="s">
        <v>17659</v>
      </c>
      <c r="Z927" t="s">
        <v>17660</v>
      </c>
      <c r="AA927" t="s">
        <v>17661</v>
      </c>
      <c r="AB927" t="s">
        <v>17662</v>
      </c>
      <c r="AC927" t="s">
        <v>17663</v>
      </c>
      <c r="AD927" t="s">
        <v>17664</v>
      </c>
      <c r="AE927" t="s">
        <v>17665</v>
      </c>
      <c r="AF927" t="s">
        <v>74</v>
      </c>
      <c r="AG927">
        <v>214</v>
      </c>
      <c r="AH927">
        <v>20</v>
      </c>
      <c r="AI927">
        <v>20</v>
      </c>
      <c r="AJ927">
        <v>0</v>
      </c>
      <c r="AK927">
        <v>9</v>
      </c>
      <c r="AL927" t="s">
        <v>3817</v>
      </c>
      <c r="AM927" t="s">
        <v>3818</v>
      </c>
      <c r="AN927" t="s">
        <v>3819</v>
      </c>
      <c r="AO927" t="s">
        <v>74</v>
      </c>
      <c r="AP927" t="s">
        <v>17666</v>
      </c>
      <c r="AQ927" t="s">
        <v>74</v>
      </c>
      <c r="AR927" t="s">
        <v>17653</v>
      </c>
      <c r="AS927" t="s">
        <v>17667</v>
      </c>
      <c r="AT927" t="s">
        <v>1033</v>
      </c>
      <c r="AU927">
        <v>2020</v>
      </c>
      <c r="AV927">
        <v>9</v>
      </c>
      <c r="AW927">
        <v>1</v>
      </c>
      <c r="AX927" t="s">
        <v>74</v>
      </c>
      <c r="AY927" t="s">
        <v>74</v>
      </c>
      <c r="AZ927" t="s">
        <v>74</v>
      </c>
      <c r="BA927" t="s">
        <v>74</v>
      </c>
      <c r="BB927" t="s">
        <v>74</v>
      </c>
      <c r="BC927" t="s">
        <v>74</v>
      </c>
      <c r="BD927">
        <v>15</v>
      </c>
      <c r="BE927" t="s">
        <v>17668</v>
      </c>
      <c r="BF927" t="str">
        <f>HYPERLINK("http://dx.doi.org/10.3390/biology9010015","http://dx.doi.org/10.3390/biology9010015")</f>
        <v>http://dx.doi.org/10.3390/biology9010015</v>
      </c>
      <c r="BG927" t="s">
        <v>74</v>
      </c>
      <c r="BH927" t="s">
        <v>74</v>
      </c>
      <c r="BI927">
        <v>44</v>
      </c>
      <c r="BJ927" t="s">
        <v>1498</v>
      </c>
      <c r="BK927" t="s">
        <v>103</v>
      </c>
      <c r="BL927" t="s">
        <v>1499</v>
      </c>
      <c r="BM927" t="s">
        <v>17669</v>
      </c>
      <c r="BN927">
        <v>31936359</v>
      </c>
      <c r="BO927" t="s">
        <v>1286</v>
      </c>
      <c r="BP927" t="s">
        <v>74</v>
      </c>
      <c r="BQ927" t="s">
        <v>74</v>
      </c>
      <c r="BR927" t="s">
        <v>106</v>
      </c>
      <c r="BS927" t="s">
        <v>17670</v>
      </c>
      <c r="BT927" t="str">
        <f>HYPERLINK("https%3A%2F%2Fwww.webofscience.com%2Fwos%2Fwoscc%2Ffull-record%2FWOS:000513130900009","View Full Record in Web of Science")</f>
        <v>View Full Record in Web of Science</v>
      </c>
    </row>
    <row r="928" spans="1:72" x14ac:dyDescent="0.15">
      <c r="A928" t="s">
        <v>72</v>
      </c>
      <c r="B928" t="s">
        <v>17671</v>
      </c>
      <c r="C928" t="s">
        <v>74</v>
      </c>
      <c r="D928" t="s">
        <v>74</v>
      </c>
      <c r="E928" t="s">
        <v>74</v>
      </c>
      <c r="F928" t="s">
        <v>17672</v>
      </c>
      <c r="G928" t="s">
        <v>74</v>
      </c>
      <c r="H928" t="s">
        <v>74</v>
      </c>
      <c r="I928" t="s">
        <v>17673</v>
      </c>
      <c r="J928" t="s">
        <v>17674</v>
      </c>
      <c r="K928" t="s">
        <v>74</v>
      </c>
      <c r="L928" t="s">
        <v>74</v>
      </c>
      <c r="M928" t="s">
        <v>78</v>
      </c>
      <c r="N928" t="s">
        <v>79</v>
      </c>
      <c r="O928" t="s">
        <v>74</v>
      </c>
      <c r="P928" t="s">
        <v>74</v>
      </c>
      <c r="Q928" t="s">
        <v>74</v>
      </c>
      <c r="R928" t="s">
        <v>74</v>
      </c>
      <c r="S928" t="s">
        <v>74</v>
      </c>
      <c r="T928" t="s">
        <v>74</v>
      </c>
      <c r="U928" t="s">
        <v>74</v>
      </c>
      <c r="V928" t="s">
        <v>17675</v>
      </c>
      <c r="W928" t="s">
        <v>17676</v>
      </c>
      <c r="X928" t="s">
        <v>74</v>
      </c>
      <c r="Y928" t="s">
        <v>17677</v>
      </c>
      <c r="Z928" t="s">
        <v>17678</v>
      </c>
      <c r="AA928" t="s">
        <v>74</v>
      </c>
      <c r="AB928" t="s">
        <v>74</v>
      </c>
      <c r="AC928" t="s">
        <v>17679</v>
      </c>
      <c r="AD928" t="s">
        <v>17679</v>
      </c>
      <c r="AE928" t="s">
        <v>17680</v>
      </c>
      <c r="AF928" t="s">
        <v>74</v>
      </c>
      <c r="AG928">
        <v>0</v>
      </c>
      <c r="AH928">
        <v>0</v>
      </c>
      <c r="AI928">
        <v>0</v>
      </c>
      <c r="AJ928">
        <v>0</v>
      </c>
      <c r="AK928">
        <v>9</v>
      </c>
      <c r="AL928" t="s">
        <v>17681</v>
      </c>
      <c r="AM928" t="s">
        <v>17682</v>
      </c>
      <c r="AN928" t="s">
        <v>17683</v>
      </c>
      <c r="AO928" t="s">
        <v>17684</v>
      </c>
      <c r="AP928" t="s">
        <v>74</v>
      </c>
      <c r="AQ928" t="s">
        <v>74</v>
      </c>
      <c r="AR928" t="s">
        <v>17685</v>
      </c>
      <c r="AS928" t="s">
        <v>17686</v>
      </c>
      <c r="AT928" t="s">
        <v>17236</v>
      </c>
      <c r="AU928">
        <v>2020</v>
      </c>
      <c r="AV928">
        <v>34</v>
      </c>
      <c r="AW928">
        <v>1</v>
      </c>
      <c r="AX928" t="s">
        <v>74</v>
      </c>
      <c r="AY928" t="s">
        <v>74</v>
      </c>
      <c r="AZ928" t="s">
        <v>74</v>
      </c>
      <c r="BA928" t="s">
        <v>74</v>
      </c>
      <c r="BB928">
        <v>25</v>
      </c>
      <c r="BC928">
        <v>27</v>
      </c>
      <c r="BD928" t="s">
        <v>74</v>
      </c>
      <c r="BE928" t="s">
        <v>74</v>
      </c>
      <c r="BF928" t="s">
        <v>74</v>
      </c>
      <c r="BG928" t="s">
        <v>74</v>
      </c>
      <c r="BH928" t="s">
        <v>74</v>
      </c>
      <c r="BI928">
        <v>3</v>
      </c>
      <c r="BJ928" t="s">
        <v>17687</v>
      </c>
      <c r="BK928" t="s">
        <v>274</v>
      </c>
      <c r="BL928" t="s">
        <v>17687</v>
      </c>
      <c r="BM928" t="s">
        <v>17688</v>
      </c>
      <c r="BN928" t="s">
        <v>74</v>
      </c>
      <c r="BO928" t="s">
        <v>74</v>
      </c>
      <c r="BP928" t="s">
        <v>74</v>
      </c>
      <c r="BQ928" t="s">
        <v>74</v>
      </c>
      <c r="BR928" t="s">
        <v>106</v>
      </c>
      <c r="BS928" t="s">
        <v>17689</v>
      </c>
      <c r="BT928" t="str">
        <f>HYPERLINK("https%3A%2F%2Fwww.webofscience.com%2Fwos%2Fwoscc%2Ffull-record%2FWOS:000513923700009","View Full Record in Web of Science")</f>
        <v>View Full Record in Web of Science</v>
      </c>
    </row>
    <row r="929" spans="1:72" x14ac:dyDescent="0.15">
      <c r="A929" t="s">
        <v>72</v>
      </c>
      <c r="B929" t="s">
        <v>17690</v>
      </c>
      <c r="C929" t="s">
        <v>74</v>
      </c>
      <c r="D929" t="s">
        <v>74</v>
      </c>
      <c r="E929" t="s">
        <v>74</v>
      </c>
      <c r="F929" t="s">
        <v>17691</v>
      </c>
      <c r="G929" t="s">
        <v>74</v>
      </c>
      <c r="H929" t="s">
        <v>74</v>
      </c>
      <c r="I929" t="s">
        <v>17692</v>
      </c>
      <c r="J929" t="s">
        <v>17693</v>
      </c>
      <c r="K929" t="s">
        <v>74</v>
      </c>
      <c r="L929" t="s">
        <v>74</v>
      </c>
      <c r="M929" t="s">
        <v>78</v>
      </c>
      <c r="N929" t="s">
        <v>79</v>
      </c>
      <c r="O929" t="s">
        <v>74</v>
      </c>
      <c r="P929" t="s">
        <v>74</v>
      </c>
      <c r="Q929" t="s">
        <v>74</v>
      </c>
      <c r="R929" t="s">
        <v>74</v>
      </c>
      <c r="S929" t="s">
        <v>74</v>
      </c>
      <c r="T929" t="s">
        <v>17694</v>
      </c>
      <c r="U929" t="s">
        <v>17695</v>
      </c>
      <c r="V929" t="s">
        <v>17696</v>
      </c>
      <c r="W929" t="s">
        <v>17697</v>
      </c>
      <c r="X929" t="s">
        <v>17698</v>
      </c>
      <c r="Y929" t="s">
        <v>17699</v>
      </c>
      <c r="Z929" t="s">
        <v>17700</v>
      </c>
      <c r="AA929" t="s">
        <v>17701</v>
      </c>
      <c r="AB929" t="s">
        <v>17702</v>
      </c>
      <c r="AC929" t="s">
        <v>74</v>
      </c>
      <c r="AD929" t="s">
        <v>74</v>
      </c>
      <c r="AE929" t="s">
        <v>74</v>
      </c>
      <c r="AF929" t="s">
        <v>74</v>
      </c>
      <c r="AG929">
        <v>22</v>
      </c>
      <c r="AH929">
        <v>6</v>
      </c>
      <c r="AI929">
        <v>6</v>
      </c>
      <c r="AJ929">
        <v>2</v>
      </c>
      <c r="AK929">
        <v>3</v>
      </c>
      <c r="AL929" t="s">
        <v>382</v>
      </c>
      <c r="AM929" t="s">
        <v>383</v>
      </c>
      <c r="AN929" t="s">
        <v>384</v>
      </c>
      <c r="AO929" t="s">
        <v>17703</v>
      </c>
      <c r="AP929" t="s">
        <v>17704</v>
      </c>
      <c r="AQ929" t="s">
        <v>74</v>
      </c>
      <c r="AR929" t="s">
        <v>17705</v>
      </c>
      <c r="AS929" t="s">
        <v>17706</v>
      </c>
      <c r="AT929" t="s">
        <v>1033</v>
      </c>
      <c r="AU929">
        <v>2020</v>
      </c>
      <c r="AV929">
        <v>12</v>
      </c>
      <c r="AW929">
        <v>1</v>
      </c>
      <c r="AX929" t="s">
        <v>74</v>
      </c>
      <c r="AY929" t="s">
        <v>74</v>
      </c>
      <c r="AZ929" t="s">
        <v>74</v>
      </c>
      <c r="BA929" t="s">
        <v>74</v>
      </c>
      <c r="BB929">
        <v>115</v>
      </c>
      <c r="BC929">
        <v>122</v>
      </c>
      <c r="BD929" t="s">
        <v>74</v>
      </c>
      <c r="BE929" t="s">
        <v>17707</v>
      </c>
      <c r="BF929" t="str">
        <f>HYPERLINK("http://dx.doi.org/10.1007/s12567-019-00275-7","http://dx.doi.org/10.1007/s12567-019-00275-7")</f>
        <v>http://dx.doi.org/10.1007/s12567-019-00275-7</v>
      </c>
      <c r="BG929" t="s">
        <v>74</v>
      </c>
      <c r="BH929" t="s">
        <v>74</v>
      </c>
      <c r="BI929">
        <v>8</v>
      </c>
      <c r="BJ929" t="s">
        <v>17708</v>
      </c>
      <c r="BK929" t="s">
        <v>274</v>
      </c>
      <c r="BL929" t="s">
        <v>3997</v>
      </c>
      <c r="BM929" t="s">
        <v>17709</v>
      </c>
      <c r="BN929" t="s">
        <v>74</v>
      </c>
      <c r="BO929" t="s">
        <v>74</v>
      </c>
      <c r="BP929" t="s">
        <v>74</v>
      </c>
      <c r="BQ929" t="s">
        <v>74</v>
      </c>
      <c r="BR929" t="s">
        <v>106</v>
      </c>
      <c r="BS929" t="s">
        <v>17710</v>
      </c>
      <c r="BT929" t="str">
        <f>HYPERLINK("https%3A%2F%2Fwww.webofscience.com%2Fwos%2Fwoscc%2Ffull-record%2FWOS:000512094900009","View Full Record in Web of Science")</f>
        <v>View Full Record in Web of Science</v>
      </c>
    </row>
    <row r="930" spans="1:72" x14ac:dyDescent="0.15">
      <c r="A930" t="s">
        <v>72</v>
      </c>
      <c r="B930" t="s">
        <v>17711</v>
      </c>
      <c r="C930" t="s">
        <v>74</v>
      </c>
      <c r="D930" t="s">
        <v>74</v>
      </c>
      <c r="E930" t="s">
        <v>74</v>
      </c>
      <c r="F930" t="s">
        <v>17712</v>
      </c>
      <c r="G930" t="s">
        <v>74</v>
      </c>
      <c r="H930" t="s">
        <v>74</v>
      </c>
      <c r="I930" t="s">
        <v>17713</v>
      </c>
      <c r="J930" t="s">
        <v>1155</v>
      </c>
      <c r="K930" t="s">
        <v>74</v>
      </c>
      <c r="L930" t="s">
        <v>74</v>
      </c>
      <c r="M930" t="s">
        <v>78</v>
      </c>
      <c r="N930" t="s">
        <v>79</v>
      </c>
      <c r="O930" t="s">
        <v>74</v>
      </c>
      <c r="P930" t="s">
        <v>74</v>
      </c>
      <c r="Q930" t="s">
        <v>74</v>
      </c>
      <c r="R930" t="s">
        <v>74</v>
      </c>
      <c r="S930" t="s">
        <v>74</v>
      </c>
      <c r="T930" t="s">
        <v>17714</v>
      </c>
      <c r="U930" t="s">
        <v>17715</v>
      </c>
      <c r="V930" t="s">
        <v>17716</v>
      </c>
      <c r="W930" t="s">
        <v>17717</v>
      </c>
      <c r="X930" t="s">
        <v>17718</v>
      </c>
      <c r="Y930" t="s">
        <v>17719</v>
      </c>
      <c r="Z930" t="s">
        <v>17720</v>
      </c>
      <c r="AA930" t="s">
        <v>17721</v>
      </c>
      <c r="AB930" t="s">
        <v>17722</v>
      </c>
      <c r="AC930" t="s">
        <v>74</v>
      </c>
      <c r="AD930" t="s">
        <v>74</v>
      </c>
      <c r="AE930" t="s">
        <v>74</v>
      </c>
      <c r="AF930" t="s">
        <v>74</v>
      </c>
      <c r="AG930">
        <v>53</v>
      </c>
      <c r="AH930">
        <v>14</v>
      </c>
      <c r="AI930">
        <v>14</v>
      </c>
      <c r="AJ930">
        <v>4</v>
      </c>
      <c r="AK930">
        <v>12</v>
      </c>
      <c r="AL930" t="s">
        <v>121</v>
      </c>
      <c r="AM930" t="s">
        <v>122</v>
      </c>
      <c r="AN930" t="s">
        <v>123</v>
      </c>
      <c r="AO930" t="s">
        <v>1167</v>
      </c>
      <c r="AP930" t="s">
        <v>1168</v>
      </c>
      <c r="AQ930" t="s">
        <v>74</v>
      </c>
      <c r="AR930" t="s">
        <v>1169</v>
      </c>
      <c r="AS930" t="s">
        <v>1170</v>
      </c>
      <c r="AT930" t="s">
        <v>1033</v>
      </c>
      <c r="AU930">
        <v>2020</v>
      </c>
      <c r="AV930">
        <v>25</v>
      </c>
      <c r="AW930">
        <v>1</v>
      </c>
      <c r="AX930" t="s">
        <v>74</v>
      </c>
      <c r="AY930" t="s">
        <v>74</v>
      </c>
      <c r="AZ930" t="s">
        <v>74</v>
      </c>
      <c r="BA930" t="s">
        <v>74</v>
      </c>
      <c r="BB930">
        <v>93</v>
      </c>
      <c r="BC930">
        <v>104</v>
      </c>
      <c r="BD930" t="s">
        <v>74</v>
      </c>
      <c r="BE930" t="s">
        <v>17723</v>
      </c>
      <c r="BF930" t="str">
        <f>HYPERLINK("http://dx.doi.org/10.1007/s12192-019-01051-6","http://dx.doi.org/10.1007/s12192-019-01051-6")</f>
        <v>http://dx.doi.org/10.1007/s12192-019-01051-6</v>
      </c>
      <c r="BG930" t="s">
        <v>74</v>
      </c>
      <c r="BH930" t="s">
        <v>74</v>
      </c>
      <c r="BI930">
        <v>12</v>
      </c>
      <c r="BJ930" t="s">
        <v>1172</v>
      </c>
      <c r="BK930" t="s">
        <v>103</v>
      </c>
      <c r="BL930" t="s">
        <v>1172</v>
      </c>
      <c r="BM930" t="s">
        <v>17724</v>
      </c>
      <c r="BN930">
        <v>31834618</v>
      </c>
      <c r="BO930" t="s">
        <v>461</v>
      </c>
      <c r="BP930" t="s">
        <v>74</v>
      </c>
      <c r="BQ930" t="s">
        <v>74</v>
      </c>
      <c r="BR930" t="s">
        <v>106</v>
      </c>
      <c r="BS930" t="s">
        <v>17725</v>
      </c>
      <c r="BT930" t="str">
        <f>HYPERLINK("https%3A%2F%2Fwww.webofscience.com%2Fwos%2Fwoscc%2Ffull-record%2FWOS:000512089400009","View Full Record in Web of Science")</f>
        <v>View Full Record in Web of Science</v>
      </c>
    </row>
    <row r="931" spans="1:72" x14ac:dyDescent="0.15">
      <c r="A931" t="s">
        <v>72</v>
      </c>
      <c r="B931" t="s">
        <v>17726</v>
      </c>
      <c r="C931" t="s">
        <v>74</v>
      </c>
      <c r="D931" t="s">
        <v>74</v>
      </c>
      <c r="E931" t="s">
        <v>74</v>
      </c>
      <c r="F931" t="s">
        <v>17727</v>
      </c>
      <c r="G931" t="s">
        <v>74</v>
      </c>
      <c r="H931" t="s">
        <v>74</v>
      </c>
      <c r="I931" t="s">
        <v>17728</v>
      </c>
      <c r="J931" t="s">
        <v>4815</v>
      </c>
      <c r="K931" t="s">
        <v>74</v>
      </c>
      <c r="L931" t="s">
        <v>74</v>
      </c>
      <c r="M931" t="s">
        <v>78</v>
      </c>
      <c r="N931" t="s">
        <v>3031</v>
      </c>
      <c r="O931" t="s">
        <v>17729</v>
      </c>
      <c r="P931" t="s">
        <v>17730</v>
      </c>
      <c r="Q931" t="s">
        <v>17731</v>
      </c>
      <c r="R931" t="s">
        <v>74</v>
      </c>
      <c r="S931" t="s">
        <v>74</v>
      </c>
      <c r="T931" t="s">
        <v>17732</v>
      </c>
      <c r="U931" t="s">
        <v>17733</v>
      </c>
      <c r="V931" t="s">
        <v>17734</v>
      </c>
      <c r="W931" t="s">
        <v>17735</v>
      </c>
      <c r="X931" t="s">
        <v>17736</v>
      </c>
      <c r="Y931" t="s">
        <v>17737</v>
      </c>
      <c r="Z931" t="s">
        <v>17738</v>
      </c>
      <c r="AA931" t="s">
        <v>17739</v>
      </c>
      <c r="AB931" t="s">
        <v>17740</v>
      </c>
      <c r="AC931" t="s">
        <v>17741</v>
      </c>
      <c r="AD931" t="s">
        <v>17742</v>
      </c>
      <c r="AE931" t="s">
        <v>74</v>
      </c>
      <c r="AF931" t="s">
        <v>74</v>
      </c>
      <c r="AG931">
        <v>22</v>
      </c>
      <c r="AH931">
        <v>15</v>
      </c>
      <c r="AI931">
        <v>18</v>
      </c>
      <c r="AJ931">
        <v>8</v>
      </c>
      <c r="AK931">
        <v>28</v>
      </c>
      <c r="AL931" t="s">
        <v>4824</v>
      </c>
      <c r="AM931" t="s">
        <v>4825</v>
      </c>
      <c r="AN931" t="s">
        <v>4826</v>
      </c>
      <c r="AO931" t="s">
        <v>4827</v>
      </c>
      <c r="AP931" t="s">
        <v>4828</v>
      </c>
      <c r="AQ931" t="s">
        <v>74</v>
      </c>
      <c r="AR931" t="s">
        <v>4815</v>
      </c>
      <c r="AS931" t="s">
        <v>4829</v>
      </c>
      <c r="AT931" t="s">
        <v>1033</v>
      </c>
      <c r="AU931">
        <v>2020</v>
      </c>
      <c r="AV931">
        <v>24</v>
      </c>
      <c r="AW931">
        <v>1</v>
      </c>
      <c r="AX931" t="s">
        <v>74</v>
      </c>
      <c r="AY931" t="s">
        <v>74</v>
      </c>
      <c r="AZ931" t="s">
        <v>342</v>
      </c>
      <c r="BA931" t="s">
        <v>74</v>
      </c>
      <c r="BB931">
        <v>43</v>
      </c>
      <c r="BC931">
        <v>52</v>
      </c>
      <c r="BD931" t="s">
        <v>74</v>
      </c>
      <c r="BE931" t="s">
        <v>17743</v>
      </c>
      <c r="BF931" t="str">
        <f>HYPERLINK("http://dx.doi.org/10.1007/s00792-019-01111-w","http://dx.doi.org/10.1007/s00792-019-01111-w")</f>
        <v>http://dx.doi.org/10.1007/s00792-019-01111-w</v>
      </c>
      <c r="BG931" t="s">
        <v>74</v>
      </c>
      <c r="BH931" t="s">
        <v>74</v>
      </c>
      <c r="BI931">
        <v>10</v>
      </c>
      <c r="BJ931" t="s">
        <v>4831</v>
      </c>
      <c r="BK931" t="s">
        <v>3261</v>
      </c>
      <c r="BL931" t="s">
        <v>4831</v>
      </c>
      <c r="BM931" t="s">
        <v>17744</v>
      </c>
      <c r="BN931">
        <v>31324985</v>
      </c>
      <c r="BO931" t="s">
        <v>74</v>
      </c>
      <c r="BP931" t="s">
        <v>74</v>
      </c>
      <c r="BQ931" t="s">
        <v>74</v>
      </c>
      <c r="BR931" t="s">
        <v>106</v>
      </c>
      <c r="BS931" t="s">
        <v>17745</v>
      </c>
      <c r="BT931" t="str">
        <f>HYPERLINK("https%3A%2F%2Fwww.webofscience.com%2Fwos%2Fwoscc%2Ffull-record%2FWOS:000511855700004","View Full Record in Web of Science")</f>
        <v>View Full Record in Web of Science</v>
      </c>
    </row>
    <row r="932" spans="1:72" x14ac:dyDescent="0.15">
      <c r="A932" t="s">
        <v>72</v>
      </c>
      <c r="B932" t="s">
        <v>17746</v>
      </c>
      <c r="C932" t="s">
        <v>74</v>
      </c>
      <c r="D932" t="s">
        <v>74</v>
      </c>
      <c r="E932" t="s">
        <v>74</v>
      </c>
      <c r="F932" t="s">
        <v>17747</v>
      </c>
      <c r="G932" t="s">
        <v>74</v>
      </c>
      <c r="H932" t="s">
        <v>74</v>
      </c>
      <c r="I932" t="s">
        <v>17748</v>
      </c>
      <c r="J932" t="s">
        <v>17749</v>
      </c>
      <c r="K932" t="s">
        <v>74</v>
      </c>
      <c r="L932" t="s">
        <v>74</v>
      </c>
      <c r="M932" t="s">
        <v>78</v>
      </c>
      <c r="N932" t="s">
        <v>79</v>
      </c>
      <c r="O932" t="s">
        <v>74</v>
      </c>
      <c r="P932" t="s">
        <v>74</v>
      </c>
      <c r="Q932" t="s">
        <v>74</v>
      </c>
      <c r="R932" t="s">
        <v>74</v>
      </c>
      <c r="S932" t="s">
        <v>74</v>
      </c>
      <c r="T932" t="s">
        <v>17750</v>
      </c>
      <c r="U932" t="s">
        <v>17751</v>
      </c>
      <c r="V932" t="s">
        <v>17752</v>
      </c>
      <c r="W932" t="s">
        <v>17753</v>
      </c>
      <c r="X932" t="s">
        <v>17754</v>
      </c>
      <c r="Y932" t="s">
        <v>17755</v>
      </c>
      <c r="Z932" t="s">
        <v>17756</v>
      </c>
      <c r="AA932" t="s">
        <v>17757</v>
      </c>
      <c r="AB932" t="s">
        <v>74</v>
      </c>
      <c r="AC932" t="s">
        <v>17758</v>
      </c>
      <c r="AD932" t="s">
        <v>17759</v>
      </c>
      <c r="AE932" t="s">
        <v>17760</v>
      </c>
      <c r="AF932" t="s">
        <v>74</v>
      </c>
      <c r="AG932">
        <v>32</v>
      </c>
      <c r="AH932">
        <v>1</v>
      </c>
      <c r="AI932">
        <v>1</v>
      </c>
      <c r="AJ932">
        <v>0</v>
      </c>
      <c r="AK932">
        <v>2</v>
      </c>
      <c r="AL932" t="s">
        <v>289</v>
      </c>
      <c r="AM932" t="s">
        <v>290</v>
      </c>
      <c r="AN932" t="s">
        <v>291</v>
      </c>
      <c r="AO932" t="s">
        <v>17761</v>
      </c>
      <c r="AP932" t="s">
        <v>17762</v>
      </c>
      <c r="AQ932" t="s">
        <v>74</v>
      </c>
      <c r="AR932" t="s">
        <v>17763</v>
      </c>
      <c r="AS932" t="s">
        <v>17764</v>
      </c>
      <c r="AT932" t="s">
        <v>1033</v>
      </c>
      <c r="AU932">
        <v>2020</v>
      </c>
      <c r="AV932">
        <v>172</v>
      </c>
      <c r="AW932" t="s">
        <v>74</v>
      </c>
      <c r="AX932" t="s">
        <v>74</v>
      </c>
      <c r="AY932" t="s">
        <v>74</v>
      </c>
      <c r="AZ932" t="s">
        <v>74</v>
      </c>
      <c r="BA932" t="s">
        <v>74</v>
      </c>
      <c r="BB932" t="s">
        <v>74</v>
      </c>
      <c r="BC932" t="s">
        <v>74</v>
      </c>
      <c r="BD932">
        <v>103901</v>
      </c>
      <c r="BE932" t="s">
        <v>17765</v>
      </c>
      <c r="BF932" t="str">
        <f>HYPERLINK("http://dx.doi.org/10.1016/j.jappgeo.2019.103901","http://dx.doi.org/10.1016/j.jappgeo.2019.103901")</f>
        <v>http://dx.doi.org/10.1016/j.jappgeo.2019.103901</v>
      </c>
      <c r="BG932" t="s">
        <v>74</v>
      </c>
      <c r="BH932" t="s">
        <v>74</v>
      </c>
      <c r="BI932">
        <v>7</v>
      </c>
      <c r="BJ932" t="s">
        <v>17766</v>
      </c>
      <c r="BK932" t="s">
        <v>103</v>
      </c>
      <c r="BL932" t="s">
        <v>17767</v>
      </c>
      <c r="BM932" t="s">
        <v>17768</v>
      </c>
      <c r="BN932" t="s">
        <v>74</v>
      </c>
      <c r="BO932" t="s">
        <v>74</v>
      </c>
      <c r="BP932" t="s">
        <v>74</v>
      </c>
      <c r="BQ932" t="s">
        <v>74</v>
      </c>
      <c r="BR932" t="s">
        <v>106</v>
      </c>
      <c r="BS932" t="s">
        <v>17769</v>
      </c>
      <c r="BT932" t="str">
        <f>HYPERLINK("https%3A%2F%2Fwww.webofscience.com%2Fwos%2Fwoscc%2Ffull-record%2FWOS:000512481700018","View Full Record in Web of Science")</f>
        <v>View Full Record in Web of Science</v>
      </c>
    </row>
    <row r="933" spans="1:72" x14ac:dyDescent="0.15">
      <c r="A933" t="s">
        <v>72</v>
      </c>
      <c r="B933" t="s">
        <v>17770</v>
      </c>
      <c r="C933" t="s">
        <v>74</v>
      </c>
      <c r="D933" t="s">
        <v>74</v>
      </c>
      <c r="E933" t="s">
        <v>74</v>
      </c>
      <c r="F933" t="s">
        <v>17771</v>
      </c>
      <c r="G933" t="s">
        <v>74</v>
      </c>
      <c r="H933" t="s">
        <v>74</v>
      </c>
      <c r="I933" t="s">
        <v>17772</v>
      </c>
      <c r="J933" t="s">
        <v>741</v>
      </c>
      <c r="K933" t="s">
        <v>74</v>
      </c>
      <c r="L933" t="s">
        <v>74</v>
      </c>
      <c r="M933" t="s">
        <v>78</v>
      </c>
      <c r="N933" t="s">
        <v>79</v>
      </c>
      <c r="O933" t="s">
        <v>74</v>
      </c>
      <c r="P933" t="s">
        <v>74</v>
      </c>
      <c r="Q933" t="s">
        <v>74</v>
      </c>
      <c r="R933" t="s">
        <v>74</v>
      </c>
      <c r="S933" t="s">
        <v>74</v>
      </c>
      <c r="T933" t="s">
        <v>74</v>
      </c>
      <c r="U933" t="s">
        <v>17773</v>
      </c>
      <c r="V933" t="s">
        <v>17774</v>
      </c>
      <c r="W933" t="s">
        <v>17775</v>
      </c>
      <c r="X933" t="s">
        <v>17776</v>
      </c>
      <c r="Y933" t="s">
        <v>17777</v>
      </c>
      <c r="Z933" t="s">
        <v>17778</v>
      </c>
      <c r="AA933" t="s">
        <v>17779</v>
      </c>
      <c r="AB933" t="s">
        <v>17780</v>
      </c>
      <c r="AC933" t="s">
        <v>17781</v>
      </c>
      <c r="AD933" t="s">
        <v>17782</v>
      </c>
      <c r="AE933" t="s">
        <v>17783</v>
      </c>
      <c r="AF933" t="s">
        <v>74</v>
      </c>
      <c r="AG933">
        <v>68</v>
      </c>
      <c r="AH933">
        <v>43</v>
      </c>
      <c r="AI933">
        <v>44</v>
      </c>
      <c r="AJ933">
        <v>2</v>
      </c>
      <c r="AK933">
        <v>34</v>
      </c>
      <c r="AL933" t="s">
        <v>753</v>
      </c>
      <c r="AM933" t="s">
        <v>166</v>
      </c>
      <c r="AN933" t="s">
        <v>754</v>
      </c>
      <c r="AO933" t="s">
        <v>755</v>
      </c>
      <c r="AP933" t="s">
        <v>756</v>
      </c>
      <c r="AQ933" t="s">
        <v>74</v>
      </c>
      <c r="AR933" t="s">
        <v>757</v>
      </c>
      <c r="AS933" t="s">
        <v>758</v>
      </c>
      <c r="AT933" t="s">
        <v>1033</v>
      </c>
      <c r="AU933">
        <v>2020</v>
      </c>
      <c r="AV933">
        <v>13</v>
      </c>
      <c r="AW933">
        <v>1</v>
      </c>
      <c r="AX933" t="s">
        <v>74</v>
      </c>
      <c r="AY933" t="s">
        <v>74</v>
      </c>
      <c r="AZ933" t="s">
        <v>74</v>
      </c>
      <c r="BA933" t="s">
        <v>74</v>
      </c>
      <c r="BB933">
        <v>35</v>
      </c>
      <c r="BC933" t="s">
        <v>759</v>
      </c>
      <c r="BD933" t="s">
        <v>74</v>
      </c>
      <c r="BE933" t="s">
        <v>17784</v>
      </c>
      <c r="BF933" t="str">
        <f>HYPERLINK("http://dx.doi.org/10.1038/s41561-019-0502-8","http://dx.doi.org/10.1038/s41561-019-0502-8")</f>
        <v>http://dx.doi.org/10.1038/s41561-019-0502-8</v>
      </c>
      <c r="BG933" t="s">
        <v>74</v>
      </c>
      <c r="BH933" t="s">
        <v>74</v>
      </c>
      <c r="BI933">
        <v>21</v>
      </c>
      <c r="BJ933" t="s">
        <v>246</v>
      </c>
      <c r="BK933" t="s">
        <v>103</v>
      </c>
      <c r="BL933" t="s">
        <v>247</v>
      </c>
      <c r="BM933" t="s">
        <v>14424</v>
      </c>
      <c r="BN933" t="s">
        <v>74</v>
      </c>
      <c r="BO933" t="s">
        <v>74</v>
      </c>
      <c r="BP933" t="s">
        <v>74</v>
      </c>
      <c r="BQ933" t="s">
        <v>74</v>
      </c>
      <c r="BR933" t="s">
        <v>106</v>
      </c>
      <c r="BS933" t="s">
        <v>17785</v>
      </c>
      <c r="BT933" t="str">
        <f>HYPERLINK("https%3A%2F%2Fwww.webofscience.com%2Fwos%2Fwoscc%2Ffull-record%2FWOS:000511618700011","View Full Record in Web of Science")</f>
        <v>View Full Record in Web of Science</v>
      </c>
    </row>
    <row r="934" spans="1:72" x14ac:dyDescent="0.15">
      <c r="A934" t="s">
        <v>72</v>
      </c>
      <c r="B934" t="s">
        <v>17786</v>
      </c>
      <c r="C934" t="s">
        <v>74</v>
      </c>
      <c r="D934" t="s">
        <v>74</v>
      </c>
      <c r="E934" t="s">
        <v>74</v>
      </c>
      <c r="F934" t="s">
        <v>17787</v>
      </c>
      <c r="G934" t="s">
        <v>74</v>
      </c>
      <c r="H934" t="s">
        <v>74</v>
      </c>
      <c r="I934" t="s">
        <v>17788</v>
      </c>
      <c r="J934" t="s">
        <v>672</v>
      </c>
      <c r="K934" t="s">
        <v>74</v>
      </c>
      <c r="L934" t="s">
        <v>74</v>
      </c>
      <c r="M934" t="s">
        <v>78</v>
      </c>
      <c r="N934" t="s">
        <v>79</v>
      </c>
      <c r="O934" t="s">
        <v>74</v>
      </c>
      <c r="P934" t="s">
        <v>74</v>
      </c>
      <c r="Q934" t="s">
        <v>74</v>
      </c>
      <c r="R934" t="s">
        <v>74</v>
      </c>
      <c r="S934" t="s">
        <v>74</v>
      </c>
      <c r="T934" t="s">
        <v>17789</v>
      </c>
      <c r="U934" t="s">
        <v>17790</v>
      </c>
      <c r="V934" t="s">
        <v>17791</v>
      </c>
      <c r="W934" t="s">
        <v>17792</v>
      </c>
      <c r="X934" t="s">
        <v>17793</v>
      </c>
      <c r="Y934" t="s">
        <v>17794</v>
      </c>
      <c r="Z934" t="s">
        <v>17795</v>
      </c>
      <c r="AA934" t="s">
        <v>17796</v>
      </c>
      <c r="AB934" t="s">
        <v>17797</v>
      </c>
      <c r="AC934" t="s">
        <v>74</v>
      </c>
      <c r="AD934" t="s">
        <v>74</v>
      </c>
      <c r="AE934" t="s">
        <v>74</v>
      </c>
      <c r="AF934" t="s">
        <v>74</v>
      </c>
      <c r="AG934">
        <v>71</v>
      </c>
      <c r="AH934">
        <v>20</v>
      </c>
      <c r="AI934">
        <v>21</v>
      </c>
      <c r="AJ934">
        <v>1</v>
      </c>
      <c r="AK934">
        <v>22</v>
      </c>
      <c r="AL934" t="s">
        <v>121</v>
      </c>
      <c r="AM934" t="s">
        <v>166</v>
      </c>
      <c r="AN934" t="s">
        <v>685</v>
      </c>
      <c r="AO934" t="s">
        <v>686</v>
      </c>
      <c r="AP934" t="s">
        <v>687</v>
      </c>
      <c r="AQ934" t="s">
        <v>74</v>
      </c>
      <c r="AR934" t="s">
        <v>688</v>
      </c>
      <c r="AS934" t="s">
        <v>689</v>
      </c>
      <c r="AT934" t="s">
        <v>1033</v>
      </c>
      <c r="AU934">
        <v>2020</v>
      </c>
      <c r="AV934">
        <v>43</v>
      </c>
      <c r="AW934">
        <v>1</v>
      </c>
      <c r="AX934" t="s">
        <v>74</v>
      </c>
      <c r="AY934" t="s">
        <v>74</v>
      </c>
      <c r="AZ934" t="s">
        <v>74</v>
      </c>
      <c r="BA934" t="s">
        <v>74</v>
      </c>
      <c r="BB934">
        <v>43</v>
      </c>
      <c r="BC934">
        <v>61</v>
      </c>
      <c r="BD934" t="s">
        <v>74</v>
      </c>
      <c r="BE934" t="s">
        <v>17798</v>
      </c>
      <c r="BF934" t="str">
        <f>HYPERLINK("http://dx.doi.org/10.1007/s00300-019-02611-3","http://dx.doi.org/10.1007/s00300-019-02611-3")</f>
        <v>http://dx.doi.org/10.1007/s00300-019-02611-3</v>
      </c>
      <c r="BG934" t="s">
        <v>74</v>
      </c>
      <c r="BH934" t="s">
        <v>74</v>
      </c>
      <c r="BI934">
        <v>19</v>
      </c>
      <c r="BJ934" t="s">
        <v>130</v>
      </c>
      <c r="BK934" t="s">
        <v>103</v>
      </c>
      <c r="BL934" t="s">
        <v>131</v>
      </c>
      <c r="BM934" t="s">
        <v>17799</v>
      </c>
      <c r="BN934" t="s">
        <v>74</v>
      </c>
      <c r="BO934" t="s">
        <v>74</v>
      </c>
      <c r="BP934" t="s">
        <v>74</v>
      </c>
      <c r="BQ934" t="s">
        <v>74</v>
      </c>
      <c r="BR934" t="s">
        <v>106</v>
      </c>
      <c r="BS934" t="s">
        <v>17800</v>
      </c>
      <c r="BT934" t="str">
        <f>HYPERLINK("https%3A%2F%2Fwww.webofscience.com%2Fwos%2Fwoscc%2Ffull-record%2FWOS:000511739000004","View Full Record in Web of Science")</f>
        <v>View Full Record in Web of Science</v>
      </c>
    </row>
    <row r="935" spans="1:72" x14ac:dyDescent="0.15">
      <c r="A935" t="s">
        <v>72</v>
      </c>
      <c r="B935" t="s">
        <v>17801</v>
      </c>
      <c r="C935" t="s">
        <v>74</v>
      </c>
      <c r="D935" t="s">
        <v>74</v>
      </c>
      <c r="E935" t="s">
        <v>74</v>
      </c>
      <c r="F935" t="s">
        <v>17802</v>
      </c>
      <c r="G935" t="s">
        <v>74</v>
      </c>
      <c r="H935" t="s">
        <v>74</v>
      </c>
      <c r="I935" t="s">
        <v>17803</v>
      </c>
      <c r="J935" t="s">
        <v>17804</v>
      </c>
      <c r="K935" t="s">
        <v>74</v>
      </c>
      <c r="L935" t="s">
        <v>74</v>
      </c>
      <c r="M935" t="s">
        <v>78</v>
      </c>
      <c r="N935" t="s">
        <v>79</v>
      </c>
      <c r="O935" t="s">
        <v>74</v>
      </c>
      <c r="P935" t="s">
        <v>74</v>
      </c>
      <c r="Q935" t="s">
        <v>74</v>
      </c>
      <c r="R935" t="s">
        <v>74</v>
      </c>
      <c r="S935" t="s">
        <v>74</v>
      </c>
      <c r="T935" t="s">
        <v>17805</v>
      </c>
      <c r="U935" t="s">
        <v>17806</v>
      </c>
      <c r="V935" t="s">
        <v>17807</v>
      </c>
      <c r="W935" t="s">
        <v>17808</v>
      </c>
      <c r="X935" t="s">
        <v>17809</v>
      </c>
      <c r="Y935" t="s">
        <v>17810</v>
      </c>
      <c r="Z935" t="s">
        <v>17811</v>
      </c>
      <c r="AA935" t="s">
        <v>17812</v>
      </c>
      <c r="AB935" t="s">
        <v>17813</v>
      </c>
      <c r="AC935" t="s">
        <v>17814</v>
      </c>
      <c r="AD935" t="s">
        <v>17814</v>
      </c>
      <c r="AE935" t="s">
        <v>17815</v>
      </c>
      <c r="AF935" t="s">
        <v>74</v>
      </c>
      <c r="AG935">
        <v>23</v>
      </c>
      <c r="AH935">
        <v>2</v>
      </c>
      <c r="AI935">
        <v>3</v>
      </c>
      <c r="AJ935">
        <v>0</v>
      </c>
      <c r="AK935">
        <v>4</v>
      </c>
      <c r="AL935" t="s">
        <v>17816</v>
      </c>
      <c r="AM935" t="s">
        <v>17817</v>
      </c>
      <c r="AN935" t="s">
        <v>17818</v>
      </c>
      <c r="AO935" t="s">
        <v>17819</v>
      </c>
      <c r="AP935" t="s">
        <v>74</v>
      </c>
      <c r="AQ935" t="s">
        <v>74</v>
      </c>
      <c r="AR935" t="s">
        <v>17820</v>
      </c>
      <c r="AS935" t="s">
        <v>17821</v>
      </c>
      <c r="AT935" t="s">
        <v>1033</v>
      </c>
      <c r="AU935">
        <v>2020</v>
      </c>
      <c r="AV935">
        <v>15</v>
      </c>
      <c r="AW935">
        <v>1</v>
      </c>
      <c r="AX935" t="s">
        <v>74</v>
      </c>
      <c r="AY935" t="s">
        <v>74</v>
      </c>
      <c r="AZ935" t="s">
        <v>74</v>
      </c>
      <c r="BA935" t="s">
        <v>74</v>
      </c>
      <c r="BB935">
        <v>62</v>
      </c>
      <c r="BC935">
        <v>68</v>
      </c>
      <c r="BD935" t="s">
        <v>74</v>
      </c>
      <c r="BE935" t="s">
        <v>74</v>
      </c>
      <c r="BF935" t="s">
        <v>74</v>
      </c>
      <c r="BG935" t="s">
        <v>74</v>
      </c>
      <c r="BH935" t="s">
        <v>74</v>
      </c>
      <c r="BI935">
        <v>7</v>
      </c>
      <c r="BJ935" t="s">
        <v>6453</v>
      </c>
      <c r="BK935" t="s">
        <v>274</v>
      </c>
      <c r="BL935" t="s">
        <v>6453</v>
      </c>
      <c r="BM935" t="s">
        <v>17822</v>
      </c>
      <c r="BN935" t="s">
        <v>74</v>
      </c>
      <c r="BO935" t="s">
        <v>74</v>
      </c>
      <c r="BP935" t="s">
        <v>74</v>
      </c>
      <c r="BQ935" t="s">
        <v>74</v>
      </c>
      <c r="BR935" t="s">
        <v>106</v>
      </c>
      <c r="BS935" t="s">
        <v>17823</v>
      </c>
      <c r="BT935" t="str">
        <f>HYPERLINK("https%3A%2F%2Fwww.webofscience.com%2Fwos%2Fwoscc%2Ffull-record%2FWOS:000504478100007","View Full Record in Web of Science")</f>
        <v>View Full Record in Web of Science</v>
      </c>
    </row>
    <row r="936" spans="1:72" x14ac:dyDescent="0.15">
      <c r="A936" t="s">
        <v>72</v>
      </c>
      <c r="B936" t="s">
        <v>17824</v>
      </c>
      <c r="C936" t="s">
        <v>74</v>
      </c>
      <c r="D936" t="s">
        <v>74</v>
      </c>
      <c r="E936" t="s">
        <v>74</v>
      </c>
      <c r="F936" t="s">
        <v>17825</v>
      </c>
      <c r="G936" t="s">
        <v>74</v>
      </c>
      <c r="H936" t="s">
        <v>74</v>
      </c>
      <c r="I936" t="s">
        <v>17826</v>
      </c>
      <c r="J936" t="s">
        <v>741</v>
      </c>
      <c r="K936" t="s">
        <v>74</v>
      </c>
      <c r="L936" t="s">
        <v>74</v>
      </c>
      <c r="M936" t="s">
        <v>78</v>
      </c>
      <c r="N936" t="s">
        <v>79</v>
      </c>
      <c r="O936" t="s">
        <v>74</v>
      </c>
      <c r="P936" t="s">
        <v>74</v>
      </c>
      <c r="Q936" t="s">
        <v>74</v>
      </c>
      <c r="R936" t="s">
        <v>74</v>
      </c>
      <c r="S936" t="s">
        <v>74</v>
      </c>
      <c r="T936" t="s">
        <v>74</v>
      </c>
      <c r="U936" t="s">
        <v>17827</v>
      </c>
      <c r="V936" t="s">
        <v>17828</v>
      </c>
      <c r="W936" t="s">
        <v>17829</v>
      </c>
      <c r="X936" t="s">
        <v>17830</v>
      </c>
      <c r="Y936" t="s">
        <v>17831</v>
      </c>
      <c r="Z936" t="s">
        <v>17832</v>
      </c>
      <c r="AA936" t="s">
        <v>17833</v>
      </c>
      <c r="AB936" t="s">
        <v>17834</v>
      </c>
      <c r="AC936" t="s">
        <v>17835</v>
      </c>
      <c r="AD936" t="s">
        <v>17836</v>
      </c>
      <c r="AE936" t="s">
        <v>17837</v>
      </c>
      <c r="AF936" t="s">
        <v>74</v>
      </c>
      <c r="AG936">
        <v>74</v>
      </c>
      <c r="AH936">
        <v>30</v>
      </c>
      <c r="AI936">
        <v>33</v>
      </c>
      <c r="AJ936">
        <v>1</v>
      </c>
      <c r="AK936">
        <v>42</v>
      </c>
      <c r="AL936" t="s">
        <v>5289</v>
      </c>
      <c r="AM936" t="s">
        <v>952</v>
      </c>
      <c r="AN936" t="s">
        <v>953</v>
      </c>
      <c r="AO936" t="s">
        <v>755</v>
      </c>
      <c r="AP936" t="s">
        <v>756</v>
      </c>
      <c r="AQ936" t="s">
        <v>74</v>
      </c>
      <c r="AR936" t="s">
        <v>757</v>
      </c>
      <c r="AS936" t="s">
        <v>758</v>
      </c>
      <c r="AT936" t="s">
        <v>1033</v>
      </c>
      <c r="AU936">
        <v>2020</v>
      </c>
      <c r="AV936">
        <v>13</v>
      </c>
      <c r="AW936">
        <v>1</v>
      </c>
      <c r="AX936" t="s">
        <v>74</v>
      </c>
      <c r="AY936" t="s">
        <v>74</v>
      </c>
      <c r="AZ936" t="s">
        <v>74</v>
      </c>
      <c r="BA936" t="s">
        <v>74</v>
      </c>
      <c r="BB936">
        <v>77</v>
      </c>
      <c r="BC936">
        <v>81</v>
      </c>
      <c r="BD936" t="s">
        <v>74</v>
      </c>
      <c r="BE936" t="s">
        <v>17838</v>
      </c>
      <c r="BF936" t="str">
        <f>HYPERLINK("http://dx.doi.org/10.1038/s41561-019-0498-0","http://dx.doi.org/10.1038/s41561-019-0498-0")</f>
        <v>http://dx.doi.org/10.1038/s41561-019-0498-0</v>
      </c>
      <c r="BG936" t="s">
        <v>74</v>
      </c>
      <c r="BH936" t="s">
        <v>74</v>
      </c>
      <c r="BI936">
        <v>5</v>
      </c>
      <c r="BJ936" t="s">
        <v>246</v>
      </c>
      <c r="BK936" t="s">
        <v>103</v>
      </c>
      <c r="BL936" t="s">
        <v>247</v>
      </c>
      <c r="BM936" t="s">
        <v>17839</v>
      </c>
      <c r="BN936" t="s">
        <v>74</v>
      </c>
      <c r="BO936" t="s">
        <v>5929</v>
      </c>
      <c r="BP936" t="s">
        <v>74</v>
      </c>
      <c r="BQ936" t="s">
        <v>74</v>
      </c>
      <c r="BR936" t="s">
        <v>106</v>
      </c>
      <c r="BS936" t="s">
        <v>17840</v>
      </c>
      <c r="BT936" t="str">
        <f>HYPERLINK("https%3A%2F%2Fwww.webofscience.com%2Fwos%2Fwoscc%2Ffull-record%2FWOS:000511610200001","View Full Record in Web of Science")</f>
        <v>View Full Record in Web of Science</v>
      </c>
    </row>
    <row r="937" spans="1:72" x14ac:dyDescent="0.15">
      <c r="A937" t="s">
        <v>72</v>
      </c>
      <c r="B937" t="s">
        <v>17841</v>
      </c>
      <c r="C937" t="s">
        <v>74</v>
      </c>
      <c r="D937" t="s">
        <v>74</v>
      </c>
      <c r="E937" t="s">
        <v>74</v>
      </c>
      <c r="F937" t="s">
        <v>17842</v>
      </c>
      <c r="G937" t="s">
        <v>74</v>
      </c>
      <c r="H937" t="s">
        <v>74</v>
      </c>
      <c r="I937" t="s">
        <v>17843</v>
      </c>
      <c r="J937" t="s">
        <v>17844</v>
      </c>
      <c r="K937" t="s">
        <v>74</v>
      </c>
      <c r="L937" t="s">
        <v>74</v>
      </c>
      <c r="M937" t="s">
        <v>78</v>
      </c>
      <c r="N937" t="s">
        <v>3031</v>
      </c>
      <c r="O937" t="s">
        <v>17845</v>
      </c>
      <c r="P937" t="s">
        <v>17846</v>
      </c>
      <c r="Q937" t="s">
        <v>17847</v>
      </c>
      <c r="R937" t="s">
        <v>74</v>
      </c>
      <c r="S937" t="s">
        <v>74</v>
      </c>
      <c r="T937" t="s">
        <v>17848</v>
      </c>
      <c r="U937" t="s">
        <v>17849</v>
      </c>
      <c r="V937" t="s">
        <v>17850</v>
      </c>
      <c r="W937" t="s">
        <v>17851</v>
      </c>
      <c r="X937" t="s">
        <v>17852</v>
      </c>
      <c r="Y937" t="s">
        <v>17853</v>
      </c>
      <c r="Z937" t="s">
        <v>17854</v>
      </c>
      <c r="AA937" t="s">
        <v>74</v>
      </c>
      <c r="AB937" t="s">
        <v>17855</v>
      </c>
      <c r="AC937" t="s">
        <v>74</v>
      </c>
      <c r="AD937" t="s">
        <v>74</v>
      </c>
      <c r="AE937" t="s">
        <v>74</v>
      </c>
      <c r="AF937" t="s">
        <v>74</v>
      </c>
      <c r="AG937">
        <v>222</v>
      </c>
      <c r="AH937">
        <v>12</v>
      </c>
      <c r="AI937">
        <v>13</v>
      </c>
      <c r="AJ937">
        <v>2</v>
      </c>
      <c r="AK937">
        <v>12</v>
      </c>
      <c r="AL937" t="s">
        <v>121</v>
      </c>
      <c r="AM937" t="s">
        <v>122</v>
      </c>
      <c r="AN937" t="s">
        <v>123</v>
      </c>
      <c r="AO937" t="s">
        <v>17856</v>
      </c>
      <c r="AP937" t="s">
        <v>17857</v>
      </c>
      <c r="AQ937" t="s">
        <v>74</v>
      </c>
      <c r="AR937" t="s">
        <v>17858</v>
      </c>
      <c r="AS937" t="s">
        <v>17859</v>
      </c>
      <c r="AT937" t="s">
        <v>1033</v>
      </c>
      <c r="AU937">
        <v>2020</v>
      </c>
      <c r="AV937">
        <v>41</v>
      </c>
      <c r="AW937">
        <v>1</v>
      </c>
      <c r="AX937" t="s">
        <v>74</v>
      </c>
      <c r="AY937" t="s">
        <v>74</v>
      </c>
      <c r="AZ937" t="s">
        <v>342</v>
      </c>
      <c r="BA937" t="s">
        <v>74</v>
      </c>
      <c r="BB937">
        <v>5</v>
      </c>
      <c r="BC937">
        <v>45</v>
      </c>
      <c r="BD937" t="s">
        <v>74</v>
      </c>
      <c r="BE937" t="s">
        <v>17860</v>
      </c>
      <c r="BF937" t="str">
        <f>HYPERLINK("http://dx.doi.org/10.1007/s10712-019-09570-8","http://dx.doi.org/10.1007/s10712-019-09570-8")</f>
        <v>http://dx.doi.org/10.1007/s10712-019-09570-8</v>
      </c>
      <c r="BG937" t="s">
        <v>74</v>
      </c>
      <c r="BH937" t="s">
        <v>74</v>
      </c>
      <c r="BI937">
        <v>41</v>
      </c>
      <c r="BJ937" t="s">
        <v>442</v>
      </c>
      <c r="BK937" t="s">
        <v>3261</v>
      </c>
      <c r="BL937" t="s">
        <v>442</v>
      </c>
      <c r="BM937" t="s">
        <v>17861</v>
      </c>
      <c r="BN937" t="s">
        <v>74</v>
      </c>
      <c r="BO937" t="s">
        <v>148</v>
      </c>
      <c r="BP937" t="s">
        <v>74</v>
      </c>
      <c r="BQ937" t="s">
        <v>74</v>
      </c>
      <c r="BR937" t="s">
        <v>106</v>
      </c>
      <c r="BS937" t="s">
        <v>17862</v>
      </c>
      <c r="BT937" t="str">
        <f>HYPERLINK("https%3A%2F%2Fwww.webofscience.com%2Fwos%2Fwoscc%2Ffull-record%2FWOS:000511696300002","View Full Record in Web of Science")</f>
        <v>View Full Record in Web of Science</v>
      </c>
    </row>
    <row r="938" spans="1:72" x14ac:dyDescent="0.15">
      <c r="A938" t="s">
        <v>72</v>
      </c>
      <c r="B938" t="s">
        <v>17863</v>
      </c>
      <c r="C938" t="s">
        <v>74</v>
      </c>
      <c r="D938" t="s">
        <v>74</v>
      </c>
      <c r="E938" t="s">
        <v>74</v>
      </c>
      <c r="F938" t="s">
        <v>17864</v>
      </c>
      <c r="G938" t="s">
        <v>74</v>
      </c>
      <c r="H938" t="s">
        <v>74</v>
      </c>
      <c r="I938" t="s">
        <v>17865</v>
      </c>
      <c r="J938" t="s">
        <v>8965</v>
      </c>
      <c r="K938" t="s">
        <v>74</v>
      </c>
      <c r="L938" t="s">
        <v>74</v>
      </c>
      <c r="M938" t="s">
        <v>78</v>
      </c>
      <c r="N938" t="s">
        <v>79</v>
      </c>
      <c r="O938" t="s">
        <v>74</v>
      </c>
      <c r="P938" t="s">
        <v>74</v>
      </c>
      <c r="Q938" t="s">
        <v>74</v>
      </c>
      <c r="R938" t="s">
        <v>74</v>
      </c>
      <c r="S938" t="s">
        <v>74</v>
      </c>
      <c r="T938" t="s">
        <v>17866</v>
      </c>
      <c r="U938" t="s">
        <v>17867</v>
      </c>
      <c r="V938" t="s">
        <v>17868</v>
      </c>
      <c r="W938" t="s">
        <v>17869</v>
      </c>
      <c r="X938" t="s">
        <v>17870</v>
      </c>
      <c r="Y938" t="s">
        <v>17871</v>
      </c>
      <c r="Z938" t="s">
        <v>17872</v>
      </c>
      <c r="AA938" t="s">
        <v>17873</v>
      </c>
      <c r="AB938" t="s">
        <v>17874</v>
      </c>
      <c r="AC938" t="s">
        <v>17875</v>
      </c>
      <c r="AD938" t="s">
        <v>17876</v>
      </c>
      <c r="AE938" t="s">
        <v>17877</v>
      </c>
      <c r="AF938" t="s">
        <v>74</v>
      </c>
      <c r="AG938">
        <v>39</v>
      </c>
      <c r="AH938">
        <v>22</v>
      </c>
      <c r="AI938">
        <v>25</v>
      </c>
      <c r="AJ938">
        <v>5</v>
      </c>
      <c r="AK938">
        <v>55</v>
      </c>
      <c r="AL938" t="s">
        <v>289</v>
      </c>
      <c r="AM938" t="s">
        <v>290</v>
      </c>
      <c r="AN938" t="s">
        <v>291</v>
      </c>
      <c r="AO938" t="s">
        <v>8978</v>
      </c>
      <c r="AP938" t="s">
        <v>8979</v>
      </c>
      <c r="AQ938" t="s">
        <v>74</v>
      </c>
      <c r="AR938" t="s">
        <v>8980</v>
      </c>
      <c r="AS938" t="s">
        <v>8981</v>
      </c>
      <c r="AT938" t="s">
        <v>12161</v>
      </c>
      <c r="AU938">
        <v>2020</v>
      </c>
      <c r="AV938">
        <v>142</v>
      </c>
      <c r="AW938" t="s">
        <v>74</v>
      </c>
      <c r="AX938" t="s">
        <v>74</v>
      </c>
      <c r="AY938" t="s">
        <v>74</v>
      </c>
      <c r="AZ938" t="s">
        <v>74</v>
      </c>
      <c r="BA938" t="s">
        <v>74</v>
      </c>
      <c r="BB938">
        <v>513</v>
      </c>
      <c r="BC938">
        <v>520</v>
      </c>
      <c r="BD938" t="s">
        <v>74</v>
      </c>
      <c r="BE938" t="s">
        <v>17878</v>
      </c>
      <c r="BF938" t="str">
        <f>HYPERLINK("http://dx.doi.org/10.1016/j.ijbiomac.2019.09.123","http://dx.doi.org/10.1016/j.ijbiomac.2019.09.123")</f>
        <v>http://dx.doi.org/10.1016/j.ijbiomac.2019.09.123</v>
      </c>
      <c r="BG938" t="s">
        <v>74</v>
      </c>
      <c r="BH938" t="s">
        <v>74</v>
      </c>
      <c r="BI938">
        <v>8</v>
      </c>
      <c r="BJ938" t="s">
        <v>8983</v>
      </c>
      <c r="BK938" t="s">
        <v>103</v>
      </c>
      <c r="BL938" t="s">
        <v>8984</v>
      </c>
      <c r="BM938" t="s">
        <v>17879</v>
      </c>
      <c r="BN938">
        <v>31604078</v>
      </c>
      <c r="BO938" t="s">
        <v>74</v>
      </c>
      <c r="BP938" t="s">
        <v>74</v>
      </c>
      <c r="BQ938" t="s">
        <v>74</v>
      </c>
      <c r="BR938" t="s">
        <v>106</v>
      </c>
      <c r="BS938" t="s">
        <v>17880</v>
      </c>
      <c r="BT938" t="str">
        <f>HYPERLINK("https%3A%2F%2Fwww.webofscience.com%2Fwos%2Fwoscc%2Ffull-record%2FWOS:000510955500049","View Full Record in Web of Science")</f>
        <v>View Full Record in Web of Science</v>
      </c>
    </row>
    <row r="939" spans="1:72" x14ac:dyDescent="0.15">
      <c r="A939" t="s">
        <v>72</v>
      </c>
      <c r="B939" t="s">
        <v>17881</v>
      </c>
      <c r="C939" t="s">
        <v>74</v>
      </c>
      <c r="D939" t="s">
        <v>74</v>
      </c>
      <c r="E939" t="s">
        <v>74</v>
      </c>
      <c r="F939" t="s">
        <v>17882</v>
      </c>
      <c r="G939" t="s">
        <v>74</v>
      </c>
      <c r="H939" t="s">
        <v>74</v>
      </c>
      <c r="I939" t="s">
        <v>17883</v>
      </c>
      <c r="J939" t="s">
        <v>1411</v>
      </c>
      <c r="K939" t="s">
        <v>74</v>
      </c>
      <c r="L939" t="s">
        <v>74</v>
      </c>
      <c r="M939" t="s">
        <v>78</v>
      </c>
      <c r="N939" t="s">
        <v>79</v>
      </c>
      <c r="O939" t="s">
        <v>74</v>
      </c>
      <c r="P939" t="s">
        <v>74</v>
      </c>
      <c r="Q939" t="s">
        <v>74</v>
      </c>
      <c r="R939" t="s">
        <v>74</v>
      </c>
      <c r="S939" t="s">
        <v>74</v>
      </c>
      <c r="T939" t="s">
        <v>17884</v>
      </c>
      <c r="U939" t="s">
        <v>17885</v>
      </c>
      <c r="V939" t="s">
        <v>17886</v>
      </c>
      <c r="W939" t="s">
        <v>17887</v>
      </c>
      <c r="X939" t="s">
        <v>17888</v>
      </c>
      <c r="Y939" t="s">
        <v>17889</v>
      </c>
      <c r="Z939" t="s">
        <v>17890</v>
      </c>
      <c r="AA939" t="s">
        <v>17891</v>
      </c>
      <c r="AB939" t="s">
        <v>17892</v>
      </c>
      <c r="AC939" t="s">
        <v>17893</v>
      </c>
      <c r="AD939" t="s">
        <v>17894</v>
      </c>
      <c r="AE939" t="s">
        <v>17895</v>
      </c>
      <c r="AF939" t="s">
        <v>74</v>
      </c>
      <c r="AG939">
        <v>32</v>
      </c>
      <c r="AH939">
        <v>2</v>
      </c>
      <c r="AI939">
        <v>3</v>
      </c>
      <c r="AJ939">
        <v>6</v>
      </c>
      <c r="AK939">
        <v>43</v>
      </c>
      <c r="AL939" t="s">
        <v>121</v>
      </c>
      <c r="AM939" t="s">
        <v>122</v>
      </c>
      <c r="AN939" t="s">
        <v>123</v>
      </c>
      <c r="AO939" t="s">
        <v>1423</v>
      </c>
      <c r="AP939" t="s">
        <v>1424</v>
      </c>
      <c r="AQ939" t="s">
        <v>74</v>
      </c>
      <c r="AR939" t="s">
        <v>1425</v>
      </c>
      <c r="AS939" t="s">
        <v>1426</v>
      </c>
      <c r="AT939" t="s">
        <v>1033</v>
      </c>
      <c r="AU939">
        <v>2020</v>
      </c>
      <c r="AV939">
        <v>192</v>
      </c>
      <c r="AW939">
        <v>1</v>
      </c>
      <c r="AX939" t="s">
        <v>74</v>
      </c>
      <c r="AY939" t="s">
        <v>74</v>
      </c>
      <c r="AZ939" t="s">
        <v>74</v>
      </c>
      <c r="BA939" t="s">
        <v>74</v>
      </c>
      <c r="BB939" t="s">
        <v>74</v>
      </c>
      <c r="BC939" t="s">
        <v>74</v>
      </c>
      <c r="BD939">
        <v>41</v>
      </c>
      <c r="BE939" t="s">
        <v>17896</v>
      </c>
      <c r="BF939" t="str">
        <f>HYPERLINK("http://dx.doi.org/10.1007/s10661-019-8017-8","http://dx.doi.org/10.1007/s10661-019-8017-8")</f>
        <v>http://dx.doi.org/10.1007/s10661-019-8017-8</v>
      </c>
      <c r="BG939" t="s">
        <v>74</v>
      </c>
      <c r="BH939" t="s">
        <v>74</v>
      </c>
      <c r="BI939">
        <v>10</v>
      </c>
      <c r="BJ939" t="s">
        <v>1196</v>
      </c>
      <c r="BK939" t="s">
        <v>103</v>
      </c>
      <c r="BL939" t="s">
        <v>219</v>
      </c>
      <c r="BM939" t="s">
        <v>17897</v>
      </c>
      <c r="BN939">
        <v>31834560</v>
      </c>
      <c r="BO939" t="s">
        <v>74</v>
      </c>
      <c r="BP939" t="s">
        <v>74</v>
      </c>
      <c r="BQ939" t="s">
        <v>74</v>
      </c>
      <c r="BR939" t="s">
        <v>106</v>
      </c>
      <c r="BS939" t="s">
        <v>17898</v>
      </c>
      <c r="BT939" t="str">
        <f>HYPERLINK("https%3A%2F%2Fwww.webofscience.com%2Fwos%2Fwoscc%2Ffull-record%2FWOS:000511314200002","View Full Record in Web of Science")</f>
        <v>View Full Record in Web of Science</v>
      </c>
    </row>
    <row r="940" spans="1:72" x14ac:dyDescent="0.15">
      <c r="A940" t="s">
        <v>72</v>
      </c>
      <c r="B940" t="s">
        <v>17899</v>
      </c>
      <c r="C940" t="s">
        <v>74</v>
      </c>
      <c r="D940" t="s">
        <v>74</v>
      </c>
      <c r="E940" t="s">
        <v>74</v>
      </c>
      <c r="F940" t="s">
        <v>17900</v>
      </c>
      <c r="G940" t="s">
        <v>74</v>
      </c>
      <c r="H940" t="s">
        <v>74</v>
      </c>
      <c r="I940" t="s">
        <v>17901</v>
      </c>
      <c r="J940" t="s">
        <v>17902</v>
      </c>
      <c r="K940" t="s">
        <v>74</v>
      </c>
      <c r="L940" t="s">
        <v>74</v>
      </c>
      <c r="M940" t="s">
        <v>78</v>
      </c>
      <c r="N940" t="s">
        <v>79</v>
      </c>
      <c r="O940" t="s">
        <v>74</v>
      </c>
      <c r="P940" t="s">
        <v>74</v>
      </c>
      <c r="Q940" t="s">
        <v>74</v>
      </c>
      <c r="R940" t="s">
        <v>74</v>
      </c>
      <c r="S940" t="s">
        <v>74</v>
      </c>
      <c r="T940" t="s">
        <v>17903</v>
      </c>
      <c r="U940" t="s">
        <v>17904</v>
      </c>
      <c r="V940" t="s">
        <v>17905</v>
      </c>
      <c r="W940" t="s">
        <v>17906</v>
      </c>
      <c r="X940" t="s">
        <v>14147</v>
      </c>
      <c r="Y940" t="s">
        <v>17907</v>
      </c>
      <c r="Z940" t="s">
        <v>17908</v>
      </c>
      <c r="AA940" t="s">
        <v>74</v>
      </c>
      <c r="AB940" t="s">
        <v>74</v>
      </c>
      <c r="AC940" t="s">
        <v>17909</v>
      </c>
      <c r="AD940" t="s">
        <v>17910</v>
      </c>
      <c r="AE940" t="s">
        <v>17911</v>
      </c>
      <c r="AF940" t="s">
        <v>74</v>
      </c>
      <c r="AG940">
        <v>40</v>
      </c>
      <c r="AH940">
        <v>11</v>
      </c>
      <c r="AI940">
        <v>12</v>
      </c>
      <c r="AJ940">
        <v>3</v>
      </c>
      <c r="AK940">
        <v>27</v>
      </c>
      <c r="AL940" t="s">
        <v>4959</v>
      </c>
      <c r="AM940" t="s">
        <v>435</v>
      </c>
      <c r="AN940" t="s">
        <v>4960</v>
      </c>
      <c r="AO940" t="s">
        <v>17912</v>
      </c>
      <c r="AP940" t="s">
        <v>17913</v>
      </c>
      <c r="AQ940" t="s">
        <v>74</v>
      </c>
      <c r="AR940" t="s">
        <v>17914</v>
      </c>
      <c r="AS940" t="s">
        <v>17915</v>
      </c>
      <c r="AT940" t="s">
        <v>12161</v>
      </c>
      <c r="AU940">
        <v>2020</v>
      </c>
      <c r="AV940">
        <v>65</v>
      </c>
      <c r="AW940">
        <v>1</v>
      </c>
      <c r="AX940" t="s">
        <v>74</v>
      </c>
      <c r="AY940" t="s">
        <v>74</v>
      </c>
      <c r="AZ940" t="s">
        <v>74</v>
      </c>
      <c r="BA940" t="s">
        <v>74</v>
      </c>
      <c r="BB940">
        <v>518</v>
      </c>
      <c r="BC940">
        <v>528</v>
      </c>
      <c r="BD940" t="s">
        <v>74</v>
      </c>
      <c r="BE940" t="s">
        <v>17916</v>
      </c>
      <c r="BF940" t="str">
        <f>HYPERLINK("http://dx.doi.org/10.1016/j.asr.2019.10.001","http://dx.doi.org/10.1016/j.asr.2019.10.001")</f>
        <v>http://dx.doi.org/10.1016/j.asr.2019.10.001</v>
      </c>
      <c r="BG940" t="s">
        <v>74</v>
      </c>
      <c r="BH940" t="s">
        <v>74</v>
      </c>
      <c r="BI940">
        <v>11</v>
      </c>
      <c r="BJ940" t="s">
        <v>17917</v>
      </c>
      <c r="BK940" t="s">
        <v>103</v>
      </c>
      <c r="BL940" t="s">
        <v>17918</v>
      </c>
      <c r="BM940" t="s">
        <v>17919</v>
      </c>
      <c r="BN940" t="s">
        <v>74</v>
      </c>
      <c r="BO940" t="s">
        <v>74</v>
      </c>
      <c r="BP940" t="s">
        <v>74</v>
      </c>
      <c r="BQ940" t="s">
        <v>74</v>
      </c>
      <c r="BR940" t="s">
        <v>106</v>
      </c>
      <c r="BS940" t="s">
        <v>17920</v>
      </c>
      <c r="BT940" t="str">
        <f>HYPERLINK("https%3A%2F%2Fwww.webofscience.com%2Fwos%2Fwoscc%2Ffull-record%2FWOS:000509784600042","View Full Record in Web of Science")</f>
        <v>View Full Record in Web of Science</v>
      </c>
    </row>
    <row r="941" spans="1:72" x14ac:dyDescent="0.15">
      <c r="A941" t="s">
        <v>12416</v>
      </c>
      <c r="B941" t="s">
        <v>14316</v>
      </c>
      <c r="C941" t="s">
        <v>74</v>
      </c>
      <c r="D941" t="s">
        <v>14316</v>
      </c>
      <c r="E941" t="s">
        <v>74</v>
      </c>
      <c r="F941" t="s">
        <v>17921</v>
      </c>
      <c r="G941" t="s">
        <v>74</v>
      </c>
      <c r="H941" t="s">
        <v>74</v>
      </c>
      <c r="I941" t="s">
        <v>17922</v>
      </c>
      <c r="J941" t="s">
        <v>14319</v>
      </c>
      <c r="K941" t="s">
        <v>14320</v>
      </c>
      <c r="L941" t="s">
        <v>74</v>
      </c>
      <c r="M941" t="s">
        <v>78</v>
      </c>
      <c r="N941" t="s">
        <v>12422</v>
      </c>
      <c r="O941" t="s">
        <v>74</v>
      </c>
      <c r="P941" t="s">
        <v>74</v>
      </c>
      <c r="Q941" t="s">
        <v>74</v>
      </c>
      <c r="R941" t="s">
        <v>74</v>
      </c>
      <c r="S941" t="s">
        <v>74</v>
      </c>
      <c r="T941" t="s">
        <v>74</v>
      </c>
      <c r="U941" t="s">
        <v>74</v>
      </c>
      <c r="V941" t="s">
        <v>74</v>
      </c>
      <c r="W941" t="s">
        <v>17923</v>
      </c>
      <c r="X941" t="s">
        <v>4166</v>
      </c>
      <c r="Y941" t="s">
        <v>17924</v>
      </c>
      <c r="Z941" t="s">
        <v>74</v>
      </c>
      <c r="AA941" t="s">
        <v>3460</v>
      </c>
      <c r="AB941" t="s">
        <v>74</v>
      </c>
      <c r="AC941" t="s">
        <v>74</v>
      </c>
      <c r="AD941" t="s">
        <v>74</v>
      </c>
      <c r="AE941" t="s">
        <v>74</v>
      </c>
      <c r="AF941" t="s">
        <v>74</v>
      </c>
      <c r="AG941">
        <v>43</v>
      </c>
      <c r="AH941">
        <v>4</v>
      </c>
      <c r="AI941">
        <v>4</v>
      </c>
      <c r="AJ941">
        <v>0</v>
      </c>
      <c r="AK941">
        <v>0</v>
      </c>
      <c r="AL941" t="s">
        <v>14324</v>
      </c>
      <c r="AM941" t="s">
        <v>2628</v>
      </c>
      <c r="AN941" t="s">
        <v>14325</v>
      </c>
      <c r="AO941" t="s">
        <v>74</v>
      </c>
      <c r="AP941" t="s">
        <v>74</v>
      </c>
      <c r="AQ941" t="s">
        <v>14326</v>
      </c>
      <c r="AR941" t="s">
        <v>14327</v>
      </c>
      <c r="AS941" t="s">
        <v>74</v>
      </c>
      <c r="AT941" t="s">
        <v>74</v>
      </c>
      <c r="AU941">
        <v>2020</v>
      </c>
      <c r="AV941" t="s">
        <v>74</v>
      </c>
      <c r="AW941" t="s">
        <v>74</v>
      </c>
      <c r="AX941" t="s">
        <v>74</v>
      </c>
      <c r="AY941" t="s">
        <v>74</v>
      </c>
      <c r="AZ941" t="s">
        <v>74</v>
      </c>
      <c r="BA941" t="s">
        <v>74</v>
      </c>
      <c r="BB941">
        <v>1</v>
      </c>
      <c r="BC941">
        <v>14</v>
      </c>
      <c r="BD941" t="s">
        <v>74</v>
      </c>
      <c r="BE941" t="s">
        <v>74</v>
      </c>
      <c r="BF941" t="s">
        <v>74</v>
      </c>
      <c r="BG941" t="s">
        <v>74</v>
      </c>
      <c r="BH941" t="s">
        <v>74</v>
      </c>
      <c r="BI941">
        <v>14</v>
      </c>
      <c r="BJ941" t="s">
        <v>14328</v>
      </c>
      <c r="BK941" t="s">
        <v>12552</v>
      </c>
      <c r="BL941" t="s">
        <v>14329</v>
      </c>
      <c r="BM941" t="s">
        <v>14330</v>
      </c>
      <c r="BN941" t="s">
        <v>74</v>
      </c>
      <c r="BO941" t="s">
        <v>74</v>
      </c>
      <c r="BP941" t="s">
        <v>74</v>
      </c>
      <c r="BQ941" t="s">
        <v>74</v>
      </c>
      <c r="BR941" t="s">
        <v>106</v>
      </c>
      <c r="BS941" t="s">
        <v>17925</v>
      </c>
      <c r="BT941" t="str">
        <f>HYPERLINK("https%3A%2F%2Fwww.webofscience.com%2Fwos%2Fwoscc%2Ffull-record%2FWOS:000508916300002","View Full Record in Web of Science")</f>
        <v>View Full Record in Web of Science</v>
      </c>
    </row>
    <row r="942" spans="1:72" x14ac:dyDescent="0.15">
      <c r="A942" t="s">
        <v>12416</v>
      </c>
      <c r="B942" t="s">
        <v>17926</v>
      </c>
      <c r="C942" t="s">
        <v>74</v>
      </c>
      <c r="D942" t="s">
        <v>14316</v>
      </c>
      <c r="E942" t="s">
        <v>74</v>
      </c>
      <c r="F942" t="s">
        <v>17927</v>
      </c>
      <c r="G942" t="s">
        <v>74</v>
      </c>
      <c r="H942" t="s">
        <v>74</v>
      </c>
      <c r="I942" t="s">
        <v>17928</v>
      </c>
      <c r="J942" t="s">
        <v>14319</v>
      </c>
      <c r="K942" t="s">
        <v>14320</v>
      </c>
      <c r="L942" t="s">
        <v>74</v>
      </c>
      <c r="M942" t="s">
        <v>78</v>
      </c>
      <c r="N942" t="s">
        <v>12422</v>
      </c>
      <c r="O942" t="s">
        <v>74</v>
      </c>
      <c r="P942" t="s">
        <v>74</v>
      </c>
      <c r="Q942" t="s">
        <v>74</v>
      </c>
      <c r="R942" t="s">
        <v>74</v>
      </c>
      <c r="S942" t="s">
        <v>74</v>
      </c>
      <c r="T942" t="s">
        <v>74</v>
      </c>
      <c r="U942" t="s">
        <v>17929</v>
      </c>
      <c r="V942" t="s">
        <v>74</v>
      </c>
      <c r="W942" t="s">
        <v>17930</v>
      </c>
      <c r="X942" t="s">
        <v>17931</v>
      </c>
      <c r="Y942" t="s">
        <v>17932</v>
      </c>
      <c r="Z942" t="s">
        <v>74</v>
      </c>
      <c r="AA942" t="s">
        <v>74</v>
      </c>
      <c r="AB942" t="s">
        <v>74</v>
      </c>
      <c r="AC942" t="s">
        <v>74</v>
      </c>
      <c r="AD942" t="s">
        <v>74</v>
      </c>
      <c r="AE942" t="s">
        <v>74</v>
      </c>
      <c r="AF942" t="s">
        <v>74</v>
      </c>
      <c r="AG942">
        <v>66</v>
      </c>
      <c r="AH942">
        <v>4</v>
      </c>
      <c r="AI942">
        <v>4</v>
      </c>
      <c r="AJ942">
        <v>0</v>
      </c>
      <c r="AK942">
        <v>0</v>
      </c>
      <c r="AL942" t="s">
        <v>14324</v>
      </c>
      <c r="AM942" t="s">
        <v>2628</v>
      </c>
      <c r="AN942" t="s">
        <v>14325</v>
      </c>
      <c r="AO942" t="s">
        <v>74</v>
      </c>
      <c r="AP942" t="s">
        <v>74</v>
      </c>
      <c r="AQ942" t="s">
        <v>14326</v>
      </c>
      <c r="AR942" t="s">
        <v>14327</v>
      </c>
      <c r="AS942" t="s">
        <v>74</v>
      </c>
      <c r="AT942" t="s">
        <v>74</v>
      </c>
      <c r="AU942">
        <v>2020</v>
      </c>
      <c r="AV942" t="s">
        <v>74</v>
      </c>
      <c r="AW942" t="s">
        <v>74</v>
      </c>
      <c r="AX942" t="s">
        <v>74</v>
      </c>
      <c r="AY942" t="s">
        <v>74</v>
      </c>
      <c r="AZ942" t="s">
        <v>74</v>
      </c>
      <c r="BA942" t="s">
        <v>74</v>
      </c>
      <c r="BB942">
        <v>33</v>
      </c>
      <c r="BC942">
        <v>55</v>
      </c>
      <c r="BD942" t="s">
        <v>74</v>
      </c>
      <c r="BE942" t="s">
        <v>74</v>
      </c>
      <c r="BF942" t="s">
        <v>74</v>
      </c>
      <c r="BG942" t="s">
        <v>74</v>
      </c>
      <c r="BH942" t="s">
        <v>74</v>
      </c>
      <c r="BI942">
        <v>23</v>
      </c>
      <c r="BJ942" t="s">
        <v>14328</v>
      </c>
      <c r="BK942" t="s">
        <v>12552</v>
      </c>
      <c r="BL942" t="s">
        <v>14329</v>
      </c>
      <c r="BM942" t="s">
        <v>14330</v>
      </c>
      <c r="BN942" t="s">
        <v>74</v>
      </c>
      <c r="BO942" t="s">
        <v>74</v>
      </c>
      <c r="BP942" t="s">
        <v>74</v>
      </c>
      <c r="BQ942" t="s">
        <v>74</v>
      </c>
      <c r="BR942" t="s">
        <v>106</v>
      </c>
      <c r="BS942" t="s">
        <v>17933</v>
      </c>
      <c r="BT942" t="str">
        <f>HYPERLINK("https%3A%2F%2Fwww.webofscience.com%2Fwos%2Fwoscc%2Ffull-record%2FWOS:000508916300004","View Full Record in Web of Science")</f>
        <v>View Full Record in Web of Science</v>
      </c>
    </row>
    <row r="943" spans="1:72" x14ac:dyDescent="0.15">
      <c r="A943" t="s">
        <v>12416</v>
      </c>
      <c r="B943" t="s">
        <v>17934</v>
      </c>
      <c r="C943" t="s">
        <v>74</v>
      </c>
      <c r="D943" t="s">
        <v>14316</v>
      </c>
      <c r="E943" t="s">
        <v>74</v>
      </c>
      <c r="F943" t="s">
        <v>17935</v>
      </c>
      <c r="G943" t="s">
        <v>74</v>
      </c>
      <c r="H943" t="s">
        <v>74</v>
      </c>
      <c r="I943" t="s">
        <v>17936</v>
      </c>
      <c r="J943" t="s">
        <v>14319</v>
      </c>
      <c r="K943" t="s">
        <v>14320</v>
      </c>
      <c r="L943" t="s">
        <v>74</v>
      </c>
      <c r="M943" t="s">
        <v>78</v>
      </c>
      <c r="N943" t="s">
        <v>12422</v>
      </c>
      <c r="O943" t="s">
        <v>74</v>
      </c>
      <c r="P943" t="s">
        <v>74</v>
      </c>
      <c r="Q943" t="s">
        <v>74</v>
      </c>
      <c r="R943" t="s">
        <v>74</v>
      </c>
      <c r="S943" t="s">
        <v>74</v>
      </c>
      <c r="T943" t="s">
        <v>74</v>
      </c>
      <c r="U943" t="s">
        <v>17937</v>
      </c>
      <c r="V943" t="s">
        <v>74</v>
      </c>
      <c r="W943" t="s">
        <v>17938</v>
      </c>
      <c r="X943" t="s">
        <v>17939</v>
      </c>
      <c r="Y943" t="s">
        <v>14323</v>
      </c>
      <c r="Z943" t="s">
        <v>74</v>
      </c>
      <c r="AA943" t="s">
        <v>17940</v>
      </c>
      <c r="AB943" t="s">
        <v>17941</v>
      </c>
      <c r="AC943" t="s">
        <v>74</v>
      </c>
      <c r="AD943" t="s">
        <v>74</v>
      </c>
      <c r="AE943" t="s">
        <v>74</v>
      </c>
      <c r="AF943" t="s">
        <v>74</v>
      </c>
      <c r="AG943">
        <v>28</v>
      </c>
      <c r="AH943">
        <v>1</v>
      </c>
      <c r="AI943">
        <v>1</v>
      </c>
      <c r="AJ943">
        <v>0</v>
      </c>
      <c r="AK943">
        <v>1</v>
      </c>
      <c r="AL943" t="s">
        <v>14324</v>
      </c>
      <c r="AM943" t="s">
        <v>2628</v>
      </c>
      <c r="AN943" t="s">
        <v>14325</v>
      </c>
      <c r="AO943" t="s">
        <v>74</v>
      </c>
      <c r="AP943" t="s">
        <v>74</v>
      </c>
      <c r="AQ943" t="s">
        <v>14326</v>
      </c>
      <c r="AR943" t="s">
        <v>14327</v>
      </c>
      <c r="AS943" t="s">
        <v>74</v>
      </c>
      <c r="AT943" t="s">
        <v>74</v>
      </c>
      <c r="AU943">
        <v>2020</v>
      </c>
      <c r="AV943" t="s">
        <v>74</v>
      </c>
      <c r="AW943" t="s">
        <v>74</v>
      </c>
      <c r="AX943" t="s">
        <v>74</v>
      </c>
      <c r="AY943" t="s">
        <v>74</v>
      </c>
      <c r="AZ943" t="s">
        <v>74</v>
      </c>
      <c r="BA943" t="s">
        <v>74</v>
      </c>
      <c r="BB943">
        <v>56</v>
      </c>
      <c r="BC943">
        <v>72</v>
      </c>
      <c r="BD943" t="s">
        <v>74</v>
      </c>
      <c r="BE943" t="s">
        <v>74</v>
      </c>
      <c r="BF943" t="s">
        <v>74</v>
      </c>
      <c r="BG943" t="s">
        <v>74</v>
      </c>
      <c r="BH943" t="s">
        <v>74</v>
      </c>
      <c r="BI943">
        <v>17</v>
      </c>
      <c r="BJ943" t="s">
        <v>14328</v>
      </c>
      <c r="BK943" t="s">
        <v>12552</v>
      </c>
      <c r="BL943" t="s">
        <v>14329</v>
      </c>
      <c r="BM943" t="s">
        <v>14330</v>
      </c>
      <c r="BN943" t="s">
        <v>74</v>
      </c>
      <c r="BO943" t="s">
        <v>74</v>
      </c>
      <c r="BP943" t="s">
        <v>74</v>
      </c>
      <c r="BQ943" t="s">
        <v>74</v>
      </c>
      <c r="BR943" t="s">
        <v>106</v>
      </c>
      <c r="BS943" t="s">
        <v>17942</v>
      </c>
      <c r="BT943" t="str">
        <f>HYPERLINK("https%3A%2F%2Fwww.webofscience.com%2Fwos%2Fwoscc%2Ffull-record%2FWOS:000508916300005","View Full Record in Web of Science")</f>
        <v>View Full Record in Web of Science</v>
      </c>
    </row>
    <row r="944" spans="1:72" x14ac:dyDescent="0.15">
      <c r="A944" t="s">
        <v>12416</v>
      </c>
      <c r="B944" t="s">
        <v>17943</v>
      </c>
      <c r="C944" t="s">
        <v>74</v>
      </c>
      <c r="D944" t="s">
        <v>14316</v>
      </c>
      <c r="E944" t="s">
        <v>74</v>
      </c>
      <c r="F944" t="s">
        <v>17944</v>
      </c>
      <c r="G944" t="s">
        <v>74</v>
      </c>
      <c r="H944" t="s">
        <v>74</v>
      </c>
      <c r="I944" t="s">
        <v>17945</v>
      </c>
      <c r="J944" t="s">
        <v>14319</v>
      </c>
      <c r="K944" t="s">
        <v>14320</v>
      </c>
      <c r="L944" t="s">
        <v>74</v>
      </c>
      <c r="M944" t="s">
        <v>78</v>
      </c>
      <c r="N944" t="s">
        <v>12422</v>
      </c>
      <c r="O944" t="s">
        <v>74</v>
      </c>
      <c r="P944" t="s">
        <v>74</v>
      </c>
      <c r="Q944" t="s">
        <v>74</v>
      </c>
      <c r="R944" t="s">
        <v>74</v>
      </c>
      <c r="S944" t="s">
        <v>74</v>
      </c>
      <c r="T944" t="s">
        <v>74</v>
      </c>
      <c r="U944" t="s">
        <v>74</v>
      </c>
      <c r="V944" t="s">
        <v>74</v>
      </c>
      <c r="W944" t="s">
        <v>17946</v>
      </c>
      <c r="X944" t="s">
        <v>5094</v>
      </c>
      <c r="Y944" t="s">
        <v>17947</v>
      </c>
      <c r="Z944" t="s">
        <v>74</v>
      </c>
      <c r="AA944" t="s">
        <v>17948</v>
      </c>
      <c r="AB944" t="s">
        <v>74</v>
      </c>
      <c r="AC944" t="s">
        <v>74</v>
      </c>
      <c r="AD944" t="s">
        <v>74</v>
      </c>
      <c r="AE944" t="s">
        <v>74</v>
      </c>
      <c r="AF944" t="s">
        <v>74</v>
      </c>
      <c r="AG944">
        <v>49</v>
      </c>
      <c r="AH944">
        <v>3</v>
      </c>
      <c r="AI944">
        <v>3</v>
      </c>
      <c r="AJ944">
        <v>0</v>
      </c>
      <c r="AK944">
        <v>1</v>
      </c>
      <c r="AL944" t="s">
        <v>14324</v>
      </c>
      <c r="AM944" t="s">
        <v>2628</v>
      </c>
      <c r="AN944" t="s">
        <v>14325</v>
      </c>
      <c r="AO944" t="s">
        <v>74</v>
      </c>
      <c r="AP944" t="s">
        <v>74</v>
      </c>
      <c r="AQ944" t="s">
        <v>14326</v>
      </c>
      <c r="AR944" t="s">
        <v>14327</v>
      </c>
      <c r="AS944" t="s">
        <v>74</v>
      </c>
      <c r="AT944" t="s">
        <v>74</v>
      </c>
      <c r="AU944">
        <v>2020</v>
      </c>
      <c r="AV944" t="s">
        <v>74</v>
      </c>
      <c r="AW944" t="s">
        <v>74</v>
      </c>
      <c r="AX944" t="s">
        <v>74</v>
      </c>
      <c r="AY944" t="s">
        <v>74</v>
      </c>
      <c r="AZ944" t="s">
        <v>74</v>
      </c>
      <c r="BA944" t="s">
        <v>74</v>
      </c>
      <c r="BB944">
        <v>117</v>
      </c>
      <c r="BC944">
        <v>132</v>
      </c>
      <c r="BD944" t="s">
        <v>74</v>
      </c>
      <c r="BE944" t="s">
        <v>74</v>
      </c>
      <c r="BF944" t="s">
        <v>74</v>
      </c>
      <c r="BG944" t="s">
        <v>74</v>
      </c>
      <c r="BH944" t="s">
        <v>74</v>
      </c>
      <c r="BI944">
        <v>16</v>
      </c>
      <c r="BJ944" t="s">
        <v>14328</v>
      </c>
      <c r="BK944" t="s">
        <v>12552</v>
      </c>
      <c r="BL944" t="s">
        <v>14329</v>
      </c>
      <c r="BM944" t="s">
        <v>14330</v>
      </c>
      <c r="BN944" t="s">
        <v>74</v>
      </c>
      <c r="BO944" t="s">
        <v>74</v>
      </c>
      <c r="BP944" t="s">
        <v>74</v>
      </c>
      <c r="BQ944" t="s">
        <v>74</v>
      </c>
      <c r="BR944" t="s">
        <v>106</v>
      </c>
      <c r="BS944" t="s">
        <v>17949</v>
      </c>
      <c r="BT944" t="str">
        <f>HYPERLINK("https%3A%2F%2Fwww.webofscience.com%2Fwos%2Fwoscc%2Ffull-record%2FWOS:000508916300009","View Full Record in Web of Science")</f>
        <v>View Full Record in Web of Science</v>
      </c>
    </row>
    <row r="945" spans="1:72" x14ac:dyDescent="0.15">
      <c r="A945" t="s">
        <v>12416</v>
      </c>
      <c r="B945" t="s">
        <v>17950</v>
      </c>
      <c r="C945" t="s">
        <v>74</v>
      </c>
      <c r="D945" t="s">
        <v>14316</v>
      </c>
      <c r="E945" t="s">
        <v>74</v>
      </c>
      <c r="F945" t="s">
        <v>17951</v>
      </c>
      <c r="G945" t="s">
        <v>74</v>
      </c>
      <c r="H945" t="s">
        <v>74</v>
      </c>
      <c r="I945" t="s">
        <v>17952</v>
      </c>
      <c r="J945" t="s">
        <v>14319</v>
      </c>
      <c r="K945" t="s">
        <v>14320</v>
      </c>
      <c r="L945" t="s">
        <v>74</v>
      </c>
      <c r="M945" t="s">
        <v>78</v>
      </c>
      <c r="N945" t="s">
        <v>12422</v>
      </c>
      <c r="O945" t="s">
        <v>74</v>
      </c>
      <c r="P945" t="s">
        <v>74</v>
      </c>
      <c r="Q945" t="s">
        <v>74</v>
      </c>
      <c r="R945" t="s">
        <v>74</v>
      </c>
      <c r="S945" t="s">
        <v>74</v>
      </c>
      <c r="T945" t="s">
        <v>74</v>
      </c>
      <c r="U945" t="s">
        <v>74</v>
      </c>
      <c r="V945" t="s">
        <v>74</v>
      </c>
      <c r="W945" t="s">
        <v>17953</v>
      </c>
      <c r="X945" t="s">
        <v>17954</v>
      </c>
      <c r="Y945" t="s">
        <v>17955</v>
      </c>
      <c r="Z945" t="s">
        <v>74</v>
      </c>
      <c r="AA945" t="s">
        <v>74</v>
      </c>
      <c r="AB945" t="s">
        <v>74</v>
      </c>
      <c r="AC945" t="s">
        <v>74</v>
      </c>
      <c r="AD945" t="s">
        <v>74</v>
      </c>
      <c r="AE945" t="s">
        <v>74</v>
      </c>
      <c r="AF945" t="s">
        <v>74</v>
      </c>
      <c r="AG945">
        <v>33</v>
      </c>
      <c r="AH945">
        <v>1</v>
      </c>
      <c r="AI945">
        <v>1</v>
      </c>
      <c r="AJ945">
        <v>0</v>
      </c>
      <c r="AK945">
        <v>0</v>
      </c>
      <c r="AL945" t="s">
        <v>14324</v>
      </c>
      <c r="AM945" t="s">
        <v>2628</v>
      </c>
      <c r="AN945" t="s">
        <v>14325</v>
      </c>
      <c r="AO945" t="s">
        <v>74</v>
      </c>
      <c r="AP945" t="s">
        <v>74</v>
      </c>
      <c r="AQ945" t="s">
        <v>14326</v>
      </c>
      <c r="AR945" t="s">
        <v>14327</v>
      </c>
      <c r="AS945" t="s">
        <v>74</v>
      </c>
      <c r="AT945" t="s">
        <v>74</v>
      </c>
      <c r="AU945">
        <v>2020</v>
      </c>
      <c r="AV945" t="s">
        <v>74</v>
      </c>
      <c r="AW945" t="s">
        <v>74</v>
      </c>
      <c r="AX945" t="s">
        <v>74</v>
      </c>
      <c r="AY945" t="s">
        <v>74</v>
      </c>
      <c r="AZ945" t="s">
        <v>74</v>
      </c>
      <c r="BA945" t="s">
        <v>74</v>
      </c>
      <c r="BB945">
        <v>135</v>
      </c>
      <c r="BC945">
        <v>155</v>
      </c>
      <c r="BD945" t="s">
        <v>74</v>
      </c>
      <c r="BE945" t="s">
        <v>74</v>
      </c>
      <c r="BF945" t="s">
        <v>74</v>
      </c>
      <c r="BG945" t="s">
        <v>74</v>
      </c>
      <c r="BH945" t="s">
        <v>74</v>
      </c>
      <c r="BI945">
        <v>21</v>
      </c>
      <c r="BJ945" t="s">
        <v>14328</v>
      </c>
      <c r="BK945" t="s">
        <v>12552</v>
      </c>
      <c r="BL945" t="s">
        <v>14329</v>
      </c>
      <c r="BM945" t="s">
        <v>14330</v>
      </c>
      <c r="BN945" t="s">
        <v>74</v>
      </c>
      <c r="BO945" t="s">
        <v>74</v>
      </c>
      <c r="BP945" t="s">
        <v>74</v>
      </c>
      <c r="BQ945" t="s">
        <v>74</v>
      </c>
      <c r="BR945" t="s">
        <v>106</v>
      </c>
      <c r="BS945" t="s">
        <v>17956</v>
      </c>
      <c r="BT945" t="str">
        <f>HYPERLINK("https%3A%2F%2Fwww.webofscience.com%2Fwos%2Fwoscc%2Ffull-record%2FWOS:000508916300010","View Full Record in Web of Science")</f>
        <v>View Full Record in Web of Science</v>
      </c>
    </row>
    <row r="946" spans="1:72" x14ac:dyDescent="0.15">
      <c r="A946" t="s">
        <v>12416</v>
      </c>
      <c r="B946" t="s">
        <v>17957</v>
      </c>
      <c r="C946" t="s">
        <v>74</v>
      </c>
      <c r="D946" t="s">
        <v>14316</v>
      </c>
      <c r="E946" t="s">
        <v>74</v>
      </c>
      <c r="F946" t="s">
        <v>17958</v>
      </c>
      <c r="G946" t="s">
        <v>74</v>
      </c>
      <c r="H946" t="s">
        <v>74</v>
      </c>
      <c r="I946" t="s">
        <v>17959</v>
      </c>
      <c r="J946" t="s">
        <v>14319</v>
      </c>
      <c r="K946" t="s">
        <v>14320</v>
      </c>
      <c r="L946" t="s">
        <v>74</v>
      </c>
      <c r="M946" t="s">
        <v>78</v>
      </c>
      <c r="N946" t="s">
        <v>12422</v>
      </c>
      <c r="O946" t="s">
        <v>74</v>
      </c>
      <c r="P946" t="s">
        <v>74</v>
      </c>
      <c r="Q946" t="s">
        <v>74</v>
      </c>
      <c r="R946" t="s">
        <v>74</v>
      </c>
      <c r="S946" t="s">
        <v>74</v>
      </c>
      <c r="T946" t="s">
        <v>74</v>
      </c>
      <c r="U946" t="s">
        <v>74</v>
      </c>
      <c r="V946" t="s">
        <v>74</v>
      </c>
      <c r="W946" t="s">
        <v>17960</v>
      </c>
      <c r="X946" t="s">
        <v>74</v>
      </c>
      <c r="Y946" t="s">
        <v>17961</v>
      </c>
      <c r="Z946" t="s">
        <v>74</v>
      </c>
      <c r="AA946" t="s">
        <v>74</v>
      </c>
      <c r="AB946" t="s">
        <v>74</v>
      </c>
      <c r="AC946" t="s">
        <v>74</v>
      </c>
      <c r="AD946" t="s">
        <v>74</v>
      </c>
      <c r="AE946" t="s">
        <v>74</v>
      </c>
      <c r="AF946" t="s">
        <v>74</v>
      </c>
      <c r="AG946">
        <v>32</v>
      </c>
      <c r="AH946">
        <v>0</v>
      </c>
      <c r="AI946">
        <v>0</v>
      </c>
      <c r="AJ946">
        <v>0</v>
      </c>
      <c r="AK946">
        <v>1</v>
      </c>
      <c r="AL946" t="s">
        <v>14324</v>
      </c>
      <c r="AM946" t="s">
        <v>2628</v>
      </c>
      <c r="AN946" t="s">
        <v>14325</v>
      </c>
      <c r="AO946" t="s">
        <v>74</v>
      </c>
      <c r="AP946" t="s">
        <v>74</v>
      </c>
      <c r="AQ946" t="s">
        <v>14326</v>
      </c>
      <c r="AR946" t="s">
        <v>14327</v>
      </c>
      <c r="AS946" t="s">
        <v>74</v>
      </c>
      <c r="AT946" t="s">
        <v>74</v>
      </c>
      <c r="AU946">
        <v>2020</v>
      </c>
      <c r="AV946" t="s">
        <v>74</v>
      </c>
      <c r="AW946" t="s">
        <v>74</v>
      </c>
      <c r="AX946" t="s">
        <v>74</v>
      </c>
      <c r="AY946" t="s">
        <v>74</v>
      </c>
      <c r="AZ946" t="s">
        <v>74</v>
      </c>
      <c r="BA946" t="s">
        <v>74</v>
      </c>
      <c r="BB946">
        <v>156</v>
      </c>
      <c r="BC946">
        <v>171</v>
      </c>
      <c r="BD946" t="s">
        <v>74</v>
      </c>
      <c r="BE946" t="s">
        <v>74</v>
      </c>
      <c r="BF946" t="s">
        <v>74</v>
      </c>
      <c r="BG946" t="s">
        <v>74</v>
      </c>
      <c r="BH946" t="s">
        <v>74</v>
      </c>
      <c r="BI946">
        <v>16</v>
      </c>
      <c r="BJ946" t="s">
        <v>14328</v>
      </c>
      <c r="BK946" t="s">
        <v>12552</v>
      </c>
      <c r="BL946" t="s">
        <v>14329</v>
      </c>
      <c r="BM946" t="s">
        <v>14330</v>
      </c>
      <c r="BN946" t="s">
        <v>74</v>
      </c>
      <c r="BO946" t="s">
        <v>74</v>
      </c>
      <c r="BP946" t="s">
        <v>74</v>
      </c>
      <c r="BQ946" t="s">
        <v>74</v>
      </c>
      <c r="BR946" t="s">
        <v>106</v>
      </c>
      <c r="BS946" t="s">
        <v>17962</v>
      </c>
      <c r="BT946" t="str">
        <f>HYPERLINK("https%3A%2F%2Fwww.webofscience.com%2Fwos%2Fwoscc%2Ffull-record%2FWOS:000508916300011","View Full Record in Web of Science")</f>
        <v>View Full Record in Web of Science</v>
      </c>
    </row>
    <row r="947" spans="1:72" x14ac:dyDescent="0.15">
      <c r="A947" t="s">
        <v>12416</v>
      </c>
      <c r="B947" t="s">
        <v>14876</v>
      </c>
      <c r="C947" t="s">
        <v>74</v>
      </c>
      <c r="D947" t="s">
        <v>14316</v>
      </c>
      <c r="E947" t="s">
        <v>74</v>
      </c>
      <c r="F947" t="s">
        <v>14877</v>
      </c>
      <c r="G947" t="s">
        <v>74</v>
      </c>
      <c r="H947" t="s">
        <v>74</v>
      </c>
      <c r="I947" t="s">
        <v>17963</v>
      </c>
      <c r="J947" t="s">
        <v>14319</v>
      </c>
      <c r="K947" t="s">
        <v>14320</v>
      </c>
      <c r="L947" t="s">
        <v>74</v>
      </c>
      <c r="M947" t="s">
        <v>78</v>
      </c>
      <c r="N947" t="s">
        <v>12422</v>
      </c>
      <c r="O947" t="s">
        <v>74</v>
      </c>
      <c r="P947" t="s">
        <v>74</v>
      </c>
      <c r="Q947" t="s">
        <v>74</v>
      </c>
      <c r="R947" t="s">
        <v>74</v>
      </c>
      <c r="S947" t="s">
        <v>74</v>
      </c>
      <c r="T947" t="s">
        <v>74</v>
      </c>
      <c r="U947" t="s">
        <v>15417</v>
      </c>
      <c r="V947" t="s">
        <v>74</v>
      </c>
      <c r="W947" t="s">
        <v>17964</v>
      </c>
      <c r="X947" t="s">
        <v>14880</v>
      </c>
      <c r="Y947" t="s">
        <v>17965</v>
      </c>
      <c r="Z947" t="s">
        <v>74</v>
      </c>
      <c r="AA947" t="s">
        <v>74</v>
      </c>
      <c r="AB947" t="s">
        <v>74</v>
      </c>
      <c r="AC947" t="s">
        <v>74</v>
      </c>
      <c r="AD947" t="s">
        <v>74</v>
      </c>
      <c r="AE947" t="s">
        <v>74</v>
      </c>
      <c r="AF947" t="s">
        <v>74</v>
      </c>
      <c r="AG947">
        <v>29</v>
      </c>
      <c r="AH947">
        <v>0</v>
      </c>
      <c r="AI947">
        <v>0</v>
      </c>
      <c r="AJ947">
        <v>0</v>
      </c>
      <c r="AK947">
        <v>0</v>
      </c>
      <c r="AL947" t="s">
        <v>14324</v>
      </c>
      <c r="AM947" t="s">
        <v>2628</v>
      </c>
      <c r="AN947" t="s">
        <v>14325</v>
      </c>
      <c r="AO947" t="s">
        <v>74</v>
      </c>
      <c r="AP947" t="s">
        <v>74</v>
      </c>
      <c r="AQ947" t="s">
        <v>14326</v>
      </c>
      <c r="AR947" t="s">
        <v>14327</v>
      </c>
      <c r="AS947" t="s">
        <v>74</v>
      </c>
      <c r="AT947" t="s">
        <v>74</v>
      </c>
      <c r="AU947">
        <v>2020</v>
      </c>
      <c r="AV947" t="s">
        <v>74</v>
      </c>
      <c r="AW947" t="s">
        <v>74</v>
      </c>
      <c r="AX947" t="s">
        <v>74</v>
      </c>
      <c r="AY947" t="s">
        <v>74</v>
      </c>
      <c r="AZ947" t="s">
        <v>74</v>
      </c>
      <c r="BA947" t="s">
        <v>74</v>
      </c>
      <c r="BB947">
        <v>172</v>
      </c>
      <c r="BC947">
        <v>184</v>
      </c>
      <c r="BD947" t="s">
        <v>74</v>
      </c>
      <c r="BE947" t="s">
        <v>74</v>
      </c>
      <c r="BF947" t="s">
        <v>74</v>
      </c>
      <c r="BG947" t="s">
        <v>74</v>
      </c>
      <c r="BH947" t="s">
        <v>74</v>
      </c>
      <c r="BI947">
        <v>13</v>
      </c>
      <c r="BJ947" t="s">
        <v>14328</v>
      </c>
      <c r="BK947" t="s">
        <v>12552</v>
      </c>
      <c r="BL947" t="s">
        <v>14329</v>
      </c>
      <c r="BM947" t="s">
        <v>14330</v>
      </c>
      <c r="BN947" t="s">
        <v>74</v>
      </c>
      <c r="BO947" t="s">
        <v>74</v>
      </c>
      <c r="BP947" t="s">
        <v>74</v>
      </c>
      <c r="BQ947" t="s">
        <v>74</v>
      </c>
      <c r="BR947" t="s">
        <v>106</v>
      </c>
      <c r="BS947" t="s">
        <v>17966</v>
      </c>
      <c r="BT947" t="str">
        <f>HYPERLINK("https%3A%2F%2Fwww.webofscience.com%2Fwos%2Fwoscc%2Ffull-record%2FWOS:000508916300012","View Full Record in Web of Science")</f>
        <v>View Full Record in Web of Science</v>
      </c>
    </row>
    <row r="948" spans="1:72" x14ac:dyDescent="0.15">
      <c r="A948" t="s">
        <v>72</v>
      </c>
      <c r="B948" t="s">
        <v>17967</v>
      </c>
      <c r="C948" t="s">
        <v>74</v>
      </c>
      <c r="D948" t="s">
        <v>74</v>
      </c>
      <c r="E948" t="s">
        <v>74</v>
      </c>
      <c r="F948" t="s">
        <v>17968</v>
      </c>
      <c r="G948" t="s">
        <v>74</v>
      </c>
      <c r="H948" t="s">
        <v>74</v>
      </c>
      <c r="I948" t="s">
        <v>17969</v>
      </c>
      <c r="J948" t="s">
        <v>5244</v>
      </c>
      <c r="K948" t="s">
        <v>74</v>
      </c>
      <c r="L948" t="s">
        <v>74</v>
      </c>
      <c r="M948" t="s">
        <v>78</v>
      </c>
      <c r="N948" t="s">
        <v>79</v>
      </c>
      <c r="O948" t="s">
        <v>74</v>
      </c>
      <c r="P948" t="s">
        <v>74</v>
      </c>
      <c r="Q948" t="s">
        <v>74</v>
      </c>
      <c r="R948" t="s">
        <v>74</v>
      </c>
      <c r="S948" t="s">
        <v>74</v>
      </c>
      <c r="T948" t="s">
        <v>17970</v>
      </c>
      <c r="U948" t="s">
        <v>17971</v>
      </c>
      <c r="V948" t="s">
        <v>17972</v>
      </c>
      <c r="W948" t="s">
        <v>17973</v>
      </c>
      <c r="X948" t="s">
        <v>17974</v>
      </c>
      <c r="Y948" t="s">
        <v>17975</v>
      </c>
      <c r="Z948" t="s">
        <v>17976</v>
      </c>
      <c r="AA948" t="s">
        <v>17977</v>
      </c>
      <c r="AB948" t="s">
        <v>17978</v>
      </c>
      <c r="AC948" t="s">
        <v>17979</v>
      </c>
      <c r="AD948" t="s">
        <v>17980</v>
      </c>
      <c r="AE948" t="s">
        <v>17981</v>
      </c>
      <c r="AF948" t="s">
        <v>74</v>
      </c>
      <c r="AG948">
        <v>91</v>
      </c>
      <c r="AH948">
        <v>5</v>
      </c>
      <c r="AI948">
        <v>5</v>
      </c>
      <c r="AJ948">
        <v>0</v>
      </c>
      <c r="AK948">
        <v>1</v>
      </c>
      <c r="AL948" t="s">
        <v>434</v>
      </c>
      <c r="AM948" t="s">
        <v>435</v>
      </c>
      <c r="AN948" t="s">
        <v>436</v>
      </c>
      <c r="AO948" t="s">
        <v>5253</v>
      </c>
      <c r="AP948" t="s">
        <v>74</v>
      </c>
      <c r="AQ948" t="s">
        <v>74</v>
      </c>
      <c r="AR948" t="s">
        <v>5255</v>
      </c>
      <c r="AS948" t="s">
        <v>5256</v>
      </c>
      <c r="AT948" t="s">
        <v>1033</v>
      </c>
      <c r="AU948">
        <v>2020</v>
      </c>
      <c r="AV948">
        <v>97</v>
      </c>
      <c r="AW948" t="s">
        <v>74</v>
      </c>
      <c r="AX948" t="s">
        <v>74</v>
      </c>
      <c r="AY948" t="s">
        <v>74</v>
      </c>
      <c r="AZ948" t="s">
        <v>74</v>
      </c>
      <c r="BA948" t="s">
        <v>74</v>
      </c>
      <c r="BB948" t="s">
        <v>74</v>
      </c>
      <c r="BC948" t="s">
        <v>74</v>
      </c>
      <c r="BD948">
        <v>102422</v>
      </c>
      <c r="BE948" t="s">
        <v>17982</v>
      </c>
      <c r="BF948" t="str">
        <f>HYPERLINK("http://dx.doi.org/10.1016/j.jsames.2019.102422","http://dx.doi.org/10.1016/j.jsames.2019.102422")</f>
        <v>http://dx.doi.org/10.1016/j.jsames.2019.102422</v>
      </c>
      <c r="BG948" t="s">
        <v>74</v>
      </c>
      <c r="BH948" t="s">
        <v>74</v>
      </c>
      <c r="BI948">
        <v>13</v>
      </c>
      <c r="BJ948" t="s">
        <v>246</v>
      </c>
      <c r="BK948" t="s">
        <v>103</v>
      </c>
      <c r="BL948" t="s">
        <v>247</v>
      </c>
      <c r="BM948" t="s">
        <v>17983</v>
      </c>
      <c r="BN948" t="s">
        <v>74</v>
      </c>
      <c r="BO948" t="s">
        <v>74</v>
      </c>
      <c r="BP948" t="s">
        <v>74</v>
      </c>
      <c r="BQ948" t="s">
        <v>74</v>
      </c>
      <c r="BR948" t="s">
        <v>106</v>
      </c>
      <c r="BS948" t="s">
        <v>17984</v>
      </c>
      <c r="BT948" t="str">
        <f>HYPERLINK("https%3A%2F%2Fwww.webofscience.com%2Fwos%2Fwoscc%2Ffull-record%2FWOS:000509617600030","View Full Record in Web of Science")</f>
        <v>View Full Record in Web of Science</v>
      </c>
    </row>
    <row r="949" spans="1:72" x14ac:dyDescent="0.15">
      <c r="A949" t="s">
        <v>72</v>
      </c>
      <c r="B949" t="s">
        <v>17985</v>
      </c>
      <c r="C949" t="s">
        <v>74</v>
      </c>
      <c r="D949" t="s">
        <v>74</v>
      </c>
      <c r="E949" t="s">
        <v>74</v>
      </c>
      <c r="F949" t="s">
        <v>17986</v>
      </c>
      <c r="G949" t="s">
        <v>74</v>
      </c>
      <c r="H949" t="s">
        <v>74</v>
      </c>
      <c r="I949" t="s">
        <v>17987</v>
      </c>
      <c r="J949" t="s">
        <v>17988</v>
      </c>
      <c r="K949" t="s">
        <v>74</v>
      </c>
      <c r="L949" t="s">
        <v>74</v>
      </c>
      <c r="M949" t="s">
        <v>78</v>
      </c>
      <c r="N949" t="s">
        <v>79</v>
      </c>
      <c r="O949" t="s">
        <v>74</v>
      </c>
      <c r="P949" t="s">
        <v>74</v>
      </c>
      <c r="Q949" t="s">
        <v>74</v>
      </c>
      <c r="R949" t="s">
        <v>74</v>
      </c>
      <c r="S949" t="s">
        <v>74</v>
      </c>
      <c r="T949" t="s">
        <v>74</v>
      </c>
      <c r="U949" t="s">
        <v>17989</v>
      </c>
      <c r="V949" t="s">
        <v>17990</v>
      </c>
      <c r="W949" t="s">
        <v>17991</v>
      </c>
      <c r="X949" t="s">
        <v>17992</v>
      </c>
      <c r="Y949" t="s">
        <v>17993</v>
      </c>
      <c r="Z949" t="s">
        <v>17994</v>
      </c>
      <c r="AA949" t="s">
        <v>74</v>
      </c>
      <c r="AB949" t="s">
        <v>17995</v>
      </c>
      <c r="AC949" t="s">
        <v>17996</v>
      </c>
      <c r="AD949" t="s">
        <v>17997</v>
      </c>
      <c r="AE949" t="s">
        <v>17998</v>
      </c>
      <c r="AF949" t="s">
        <v>74</v>
      </c>
      <c r="AG949">
        <v>65</v>
      </c>
      <c r="AH949">
        <v>10</v>
      </c>
      <c r="AI949">
        <v>11</v>
      </c>
      <c r="AJ949">
        <v>1</v>
      </c>
      <c r="AK949">
        <v>11</v>
      </c>
      <c r="AL949" t="s">
        <v>4959</v>
      </c>
      <c r="AM949" t="s">
        <v>435</v>
      </c>
      <c r="AN949" t="s">
        <v>4960</v>
      </c>
      <c r="AO949" t="s">
        <v>17999</v>
      </c>
      <c r="AP949" t="s">
        <v>18000</v>
      </c>
      <c r="AQ949" t="s">
        <v>74</v>
      </c>
      <c r="AR949" t="s">
        <v>18001</v>
      </c>
      <c r="AS949" t="s">
        <v>18002</v>
      </c>
      <c r="AT949" t="s">
        <v>1033</v>
      </c>
      <c r="AU949">
        <v>2020</v>
      </c>
      <c r="AV949">
        <v>42</v>
      </c>
      <c r="AW949" t="s">
        <v>74</v>
      </c>
      <c r="AX949" t="s">
        <v>74</v>
      </c>
      <c r="AY949" t="s">
        <v>74</v>
      </c>
      <c r="AZ949" t="s">
        <v>74</v>
      </c>
      <c r="BA949" t="s">
        <v>74</v>
      </c>
      <c r="BB949" t="s">
        <v>74</v>
      </c>
      <c r="BC949" t="s">
        <v>74</v>
      </c>
      <c r="BD949">
        <v>100563</v>
      </c>
      <c r="BE949" t="s">
        <v>18003</v>
      </c>
      <c r="BF949" t="str">
        <f>HYPERLINK("http://dx.doi.org/10.1016/j.aeolia.2019.100563","http://dx.doi.org/10.1016/j.aeolia.2019.100563")</f>
        <v>http://dx.doi.org/10.1016/j.aeolia.2019.100563</v>
      </c>
      <c r="BG949" t="s">
        <v>74</v>
      </c>
      <c r="BH949" t="s">
        <v>74</v>
      </c>
      <c r="BI949">
        <v>12</v>
      </c>
      <c r="BJ949" t="s">
        <v>12264</v>
      </c>
      <c r="BK949" t="s">
        <v>103</v>
      </c>
      <c r="BL949" t="s">
        <v>12265</v>
      </c>
      <c r="BM949" t="s">
        <v>18004</v>
      </c>
      <c r="BN949" t="s">
        <v>74</v>
      </c>
      <c r="BO949" t="s">
        <v>74</v>
      </c>
      <c r="BP949" t="s">
        <v>74</v>
      </c>
      <c r="BQ949" t="s">
        <v>74</v>
      </c>
      <c r="BR949" t="s">
        <v>106</v>
      </c>
      <c r="BS949" t="s">
        <v>18005</v>
      </c>
      <c r="BT949" t="str">
        <f>HYPERLINK("https%3A%2F%2Fwww.webofscience.com%2Fwos%2Fwoscc%2Ffull-record%2FWOS:000509789100007","View Full Record in Web of Science")</f>
        <v>View Full Record in Web of Science</v>
      </c>
    </row>
    <row r="950" spans="1:72" x14ac:dyDescent="0.15">
      <c r="A950" t="s">
        <v>72</v>
      </c>
      <c r="B950" t="s">
        <v>18006</v>
      </c>
      <c r="C950" t="s">
        <v>74</v>
      </c>
      <c r="D950" t="s">
        <v>74</v>
      </c>
      <c r="E950" t="s">
        <v>74</v>
      </c>
      <c r="F950" t="s">
        <v>18007</v>
      </c>
      <c r="G950" t="s">
        <v>74</v>
      </c>
      <c r="H950" t="s">
        <v>74</v>
      </c>
      <c r="I950" t="s">
        <v>18008</v>
      </c>
      <c r="J950" t="s">
        <v>18009</v>
      </c>
      <c r="K950" t="s">
        <v>74</v>
      </c>
      <c r="L950" t="s">
        <v>74</v>
      </c>
      <c r="M950" t="s">
        <v>78</v>
      </c>
      <c r="N950" t="s">
        <v>79</v>
      </c>
      <c r="O950" t="s">
        <v>74</v>
      </c>
      <c r="P950" t="s">
        <v>74</v>
      </c>
      <c r="Q950" t="s">
        <v>74</v>
      </c>
      <c r="R950" t="s">
        <v>74</v>
      </c>
      <c r="S950" t="s">
        <v>74</v>
      </c>
      <c r="T950" t="s">
        <v>18010</v>
      </c>
      <c r="U950" t="s">
        <v>18011</v>
      </c>
      <c r="V950" t="s">
        <v>18012</v>
      </c>
      <c r="W950" t="s">
        <v>18013</v>
      </c>
      <c r="X950" t="s">
        <v>18014</v>
      </c>
      <c r="Y950" t="s">
        <v>18015</v>
      </c>
      <c r="Z950" t="s">
        <v>18016</v>
      </c>
      <c r="AA950" t="s">
        <v>74</v>
      </c>
      <c r="AB950" t="s">
        <v>74</v>
      </c>
      <c r="AC950" t="s">
        <v>18017</v>
      </c>
      <c r="AD950" t="s">
        <v>18017</v>
      </c>
      <c r="AE950" t="s">
        <v>18018</v>
      </c>
      <c r="AF950" t="s">
        <v>74</v>
      </c>
      <c r="AG950">
        <v>24</v>
      </c>
      <c r="AH950">
        <v>13</v>
      </c>
      <c r="AI950">
        <v>17</v>
      </c>
      <c r="AJ950">
        <v>6</v>
      </c>
      <c r="AK950">
        <v>22</v>
      </c>
      <c r="AL950" t="s">
        <v>544</v>
      </c>
      <c r="AM950" t="s">
        <v>545</v>
      </c>
      <c r="AN950" t="s">
        <v>546</v>
      </c>
      <c r="AO950" t="s">
        <v>18019</v>
      </c>
      <c r="AP950" t="s">
        <v>18020</v>
      </c>
      <c r="AQ950" t="s">
        <v>74</v>
      </c>
      <c r="AR950" t="s">
        <v>18021</v>
      </c>
      <c r="AS950" t="s">
        <v>18022</v>
      </c>
      <c r="AT950" t="s">
        <v>1033</v>
      </c>
      <c r="AU950">
        <v>2020</v>
      </c>
      <c r="AV950">
        <v>96</v>
      </c>
      <c r="AW950" t="s">
        <v>74</v>
      </c>
      <c r="AX950" t="s">
        <v>74</v>
      </c>
      <c r="AY950" t="s">
        <v>74</v>
      </c>
      <c r="AZ950" t="s">
        <v>74</v>
      </c>
      <c r="BA950" t="s">
        <v>74</v>
      </c>
      <c r="BB950">
        <v>122</v>
      </c>
      <c r="BC950">
        <v>125</v>
      </c>
      <c r="BD950" t="s">
        <v>74</v>
      </c>
      <c r="BE950" t="s">
        <v>18023</v>
      </c>
      <c r="BF950" t="str">
        <f>HYPERLINK("http://dx.doi.org/10.1016/j.fsi.2019.12.004","http://dx.doi.org/10.1016/j.fsi.2019.12.004")</f>
        <v>http://dx.doi.org/10.1016/j.fsi.2019.12.004</v>
      </c>
      <c r="BG950" t="s">
        <v>74</v>
      </c>
      <c r="BH950" t="s">
        <v>74</v>
      </c>
      <c r="BI950">
        <v>4</v>
      </c>
      <c r="BJ950" t="s">
        <v>18024</v>
      </c>
      <c r="BK950" t="s">
        <v>103</v>
      </c>
      <c r="BL950" t="s">
        <v>18024</v>
      </c>
      <c r="BM950" t="s">
        <v>18025</v>
      </c>
      <c r="BN950">
        <v>31805411</v>
      </c>
      <c r="BO950" t="s">
        <v>74</v>
      </c>
      <c r="BP950" t="s">
        <v>74</v>
      </c>
      <c r="BQ950" t="s">
        <v>74</v>
      </c>
      <c r="BR950" t="s">
        <v>106</v>
      </c>
      <c r="BS950" t="s">
        <v>18026</v>
      </c>
      <c r="BT950" t="str">
        <f>HYPERLINK("https%3A%2F%2Fwww.webofscience.com%2Fwos%2Fwoscc%2Ffull-record%2FWOS:000509617400014","View Full Record in Web of Science")</f>
        <v>View Full Record in Web of Science</v>
      </c>
    </row>
    <row r="951" spans="1:72" x14ac:dyDescent="0.15">
      <c r="A951" t="s">
        <v>72</v>
      </c>
      <c r="B951" t="s">
        <v>18027</v>
      </c>
      <c r="C951" t="s">
        <v>74</v>
      </c>
      <c r="D951" t="s">
        <v>74</v>
      </c>
      <c r="E951" t="s">
        <v>74</v>
      </c>
      <c r="F951" t="s">
        <v>18028</v>
      </c>
      <c r="G951" t="s">
        <v>74</v>
      </c>
      <c r="H951" t="s">
        <v>74</v>
      </c>
      <c r="I951" t="s">
        <v>18029</v>
      </c>
      <c r="J951" t="s">
        <v>4512</v>
      </c>
      <c r="K951" t="s">
        <v>74</v>
      </c>
      <c r="L951" t="s">
        <v>74</v>
      </c>
      <c r="M951" t="s">
        <v>78</v>
      </c>
      <c r="N951" t="s">
        <v>79</v>
      </c>
      <c r="O951" t="s">
        <v>74</v>
      </c>
      <c r="P951" t="s">
        <v>74</v>
      </c>
      <c r="Q951" t="s">
        <v>74</v>
      </c>
      <c r="R951" t="s">
        <v>74</v>
      </c>
      <c r="S951" t="s">
        <v>74</v>
      </c>
      <c r="T951" t="s">
        <v>18030</v>
      </c>
      <c r="U951" t="s">
        <v>18031</v>
      </c>
      <c r="V951" t="s">
        <v>18032</v>
      </c>
      <c r="W951" t="s">
        <v>18033</v>
      </c>
      <c r="X951" t="s">
        <v>12234</v>
      </c>
      <c r="Y951" t="s">
        <v>18034</v>
      </c>
      <c r="Z951" t="s">
        <v>18035</v>
      </c>
      <c r="AA951" t="s">
        <v>18036</v>
      </c>
      <c r="AB951" t="s">
        <v>18037</v>
      </c>
      <c r="AC951" t="s">
        <v>18038</v>
      </c>
      <c r="AD951" t="s">
        <v>18038</v>
      </c>
      <c r="AE951" t="s">
        <v>18039</v>
      </c>
      <c r="AF951" t="s">
        <v>74</v>
      </c>
      <c r="AG951">
        <v>33</v>
      </c>
      <c r="AH951">
        <v>18</v>
      </c>
      <c r="AI951">
        <v>20</v>
      </c>
      <c r="AJ951">
        <v>1</v>
      </c>
      <c r="AK951">
        <v>10</v>
      </c>
      <c r="AL951" t="s">
        <v>4084</v>
      </c>
      <c r="AM951" t="s">
        <v>4085</v>
      </c>
      <c r="AN951" t="s">
        <v>4086</v>
      </c>
      <c r="AO951" t="s">
        <v>4525</v>
      </c>
      <c r="AP951" t="s">
        <v>4526</v>
      </c>
      <c r="AQ951" t="s">
        <v>74</v>
      </c>
      <c r="AR951" t="s">
        <v>4527</v>
      </c>
      <c r="AS951" t="s">
        <v>4528</v>
      </c>
      <c r="AT951" t="s">
        <v>1033</v>
      </c>
      <c r="AU951">
        <v>2020</v>
      </c>
      <c r="AV951">
        <v>50</v>
      </c>
      <c r="AW951">
        <v>1</v>
      </c>
      <c r="AX951" t="s">
        <v>74</v>
      </c>
      <c r="AY951" t="s">
        <v>74</v>
      </c>
      <c r="AZ951" t="s">
        <v>74</v>
      </c>
      <c r="BA951" t="s">
        <v>74</v>
      </c>
      <c r="BB951">
        <v>269</v>
      </c>
      <c r="BC951">
        <v>277</v>
      </c>
      <c r="BD951" t="s">
        <v>74</v>
      </c>
      <c r="BE951" t="s">
        <v>18040</v>
      </c>
      <c r="BF951" t="str">
        <f>HYPERLINK("http://dx.doi.org/10.1175/JPO-D-18-0223.1","http://dx.doi.org/10.1175/JPO-D-18-0223.1")</f>
        <v>http://dx.doi.org/10.1175/JPO-D-18-0223.1</v>
      </c>
      <c r="BG951" t="s">
        <v>74</v>
      </c>
      <c r="BH951" t="s">
        <v>74</v>
      </c>
      <c r="BI951">
        <v>9</v>
      </c>
      <c r="BJ951" t="s">
        <v>639</v>
      </c>
      <c r="BK951" t="s">
        <v>103</v>
      </c>
      <c r="BL951" t="s">
        <v>639</v>
      </c>
      <c r="BM951" t="s">
        <v>18041</v>
      </c>
      <c r="BN951" t="s">
        <v>74</v>
      </c>
      <c r="BO951" t="s">
        <v>6205</v>
      </c>
      <c r="BP951" t="s">
        <v>74</v>
      </c>
      <c r="BQ951" t="s">
        <v>74</v>
      </c>
      <c r="BR951" t="s">
        <v>106</v>
      </c>
      <c r="BS951" t="s">
        <v>18042</v>
      </c>
      <c r="BT951" t="str">
        <f>HYPERLINK("https%3A%2F%2Fwww.webofscience.com%2Fwos%2Fwoscc%2Ffull-record%2FWOS:000509945500001","View Full Record in Web of Science")</f>
        <v>View Full Record in Web of Science</v>
      </c>
    </row>
    <row r="952" spans="1:72" x14ac:dyDescent="0.15">
      <c r="A952" t="s">
        <v>12556</v>
      </c>
      <c r="B952" t="s">
        <v>18043</v>
      </c>
      <c r="C952" t="s">
        <v>74</v>
      </c>
      <c r="D952" t="s">
        <v>18044</v>
      </c>
      <c r="E952" t="s">
        <v>74</v>
      </c>
      <c r="F952" t="s">
        <v>18045</v>
      </c>
      <c r="G952" t="s">
        <v>74</v>
      </c>
      <c r="H952" t="s">
        <v>74</v>
      </c>
      <c r="I952" t="s">
        <v>18046</v>
      </c>
      <c r="J952" t="s">
        <v>18047</v>
      </c>
      <c r="K952" t="s">
        <v>18048</v>
      </c>
      <c r="L952" t="s">
        <v>74</v>
      </c>
      <c r="M952" t="s">
        <v>78</v>
      </c>
      <c r="N952" t="s">
        <v>13780</v>
      </c>
      <c r="O952" t="s">
        <v>74</v>
      </c>
      <c r="P952" t="s">
        <v>74</v>
      </c>
      <c r="Q952" t="s">
        <v>74</v>
      </c>
      <c r="R952" t="s">
        <v>74</v>
      </c>
      <c r="S952" t="s">
        <v>74</v>
      </c>
      <c r="T952" t="s">
        <v>18049</v>
      </c>
      <c r="U952" t="s">
        <v>18050</v>
      </c>
      <c r="V952" t="s">
        <v>18051</v>
      </c>
      <c r="W952" t="s">
        <v>18052</v>
      </c>
      <c r="X952" t="s">
        <v>13134</v>
      </c>
      <c r="Y952" t="s">
        <v>18053</v>
      </c>
      <c r="Z952" t="s">
        <v>18054</v>
      </c>
      <c r="AA952" t="s">
        <v>74</v>
      </c>
      <c r="AB952" t="s">
        <v>74</v>
      </c>
      <c r="AC952" t="s">
        <v>74</v>
      </c>
      <c r="AD952" t="s">
        <v>74</v>
      </c>
      <c r="AE952" t="s">
        <v>74</v>
      </c>
      <c r="AF952" t="s">
        <v>74</v>
      </c>
      <c r="AG952">
        <v>108</v>
      </c>
      <c r="AH952">
        <v>41</v>
      </c>
      <c r="AI952">
        <v>43</v>
      </c>
      <c r="AJ952">
        <v>1</v>
      </c>
      <c r="AK952">
        <v>25</v>
      </c>
      <c r="AL952" t="s">
        <v>13792</v>
      </c>
      <c r="AM952" t="s">
        <v>13793</v>
      </c>
      <c r="AN952" t="s">
        <v>13794</v>
      </c>
      <c r="AO952" t="s">
        <v>18055</v>
      </c>
      <c r="AP952" t="s">
        <v>18056</v>
      </c>
      <c r="AQ952" t="s">
        <v>18057</v>
      </c>
      <c r="AR952" t="s">
        <v>18058</v>
      </c>
      <c r="AS952" t="s">
        <v>18059</v>
      </c>
      <c r="AT952" t="s">
        <v>74</v>
      </c>
      <c r="AU952">
        <v>2020</v>
      </c>
      <c r="AV952">
        <v>52</v>
      </c>
      <c r="AW952" t="s">
        <v>74</v>
      </c>
      <c r="AX952" t="s">
        <v>74</v>
      </c>
      <c r="AY952" t="s">
        <v>74</v>
      </c>
      <c r="AZ952" t="s">
        <v>74</v>
      </c>
      <c r="BA952" t="s">
        <v>74</v>
      </c>
      <c r="BB952">
        <v>145</v>
      </c>
      <c r="BC952">
        <v>169</v>
      </c>
      <c r="BD952" t="s">
        <v>74</v>
      </c>
      <c r="BE952" t="s">
        <v>18060</v>
      </c>
      <c r="BF952" t="str">
        <f>HYPERLINK("http://dx.doi.org/10.1146/annurev-fluid-010719-060252","http://dx.doi.org/10.1146/annurev-fluid-010719-060252")</f>
        <v>http://dx.doi.org/10.1146/annurev-fluid-010719-060252</v>
      </c>
      <c r="BG952" t="s">
        <v>74</v>
      </c>
      <c r="BH952" t="s">
        <v>74</v>
      </c>
      <c r="BI952">
        <v>25</v>
      </c>
      <c r="BJ952" t="s">
        <v>18061</v>
      </c>
      <c r="BK952" t="s">
        <v>13801</v>
      </c>
      <c r="BL952" t="s">
        <v>18062</v>
      </c>
      <c r="BM952" t="s">
        <v>18063</v>
      </c>
      <c r="BN952" t="s">
        <v>74</v>
      </c>
      <c r="BO952" t="s">
        <v>74</v>
      </c>
      <c r="BP952" t="s">
        <v>74</v>
      </c>
      <c r="BQ952" t="s">
        <v>74</v>
      </c>
      <c r="BR952" t="s">
        <v>106</v>
      </c>
      <c r="BS952" t="s">
        <v>18064</v>
      </c>
      <c r="BT952" t="str">
        <f>HYPERLINK("https%3A%2F%2Fwww.webofscience.com%2Fwos%2Fwoscc%2Ffull-record%2FWOS:000507468800007","View Full Record in Web of Science")</f>
        <v>View Full Record in Web of Science</v>
      </c>
    </row>
    <row r="953" spans="1:72" x14ac:dyDescent="0.15">
      <c r="A953" t="s">
        <v>72</v>
      </c>
      <c r="B953" t="s">
        <v>18065</v>
      </c>
      <c r="C953" t="s">
        <v>74</v>
      </c>
      <c r="D953" t="s">
        <v>74</v>
      </c>
      <c r="E953" t="s">
        <v>74</v>
      </c>
      <c r="F953" t="s">
        <v>18066</v>
      </c>
      <c r="G953" t="s">
        <v>74</v>
      </c>
      <c r="H953" t="s">
        <v>74</v>
      </c>
      <c r="I953" t="s">
        <v>18067</v>
      </c>
      <c r="J953" t="s">
        <v>18068</v>
      </c>
      <c r="K953" t="s">
        <v>74</v>
      </c>
      <c r="L953" t="s">
        <v>74</v>
      </c>
      <c r="M953" t="s">
        <v>78</v>
      </c>
      <c r="N953" t="s">
        <v>79</v>
      </c>
      <c r="O953" t="s">
        <v>74</v>
      </c>
      <c r="P953" t="s">
        <v>74</v>
      </c>
      <c r="Q953" t="s">
        <v>74</v>
      </c>
      <c r="R953" t="s">
        <v>74</v>
      </c>
      <c r="S953" t="s">
        <v>74</v>
      </c>
      <c r="T953" t="s">
        <v>18069</v>
      </c>
      <c r="U953" t="s">
        <v>18070</v>
      </c>
      <c r="V953" t="s">
        <v>18071</v>
      </c>
      <c r="W953" t="s">
        <v>18072</v>
      </c>
      <c r="X953" t="s">
        <v>18073</v>
      </c>
      <c r="Y953" t="s">
        <v>18074</v>
      </c>
      <c r="Z953" t="s">
        <v>18075</v>
      </c>
      <c r="AA953" t="s">
        <v>18076</v>
      </c>
      <c r="AB953" t="s">
        <v>18077</v>
      </c>
      <c r="AC953" t="s">
        <v>18078</v>
      </c>
      <c r="AD953" t="s">
        <v>18079</v>
      </c>
      <c r="AE953" t="s">
        <v>18080</v>
      </c>
      <c r="AF953" t="s">
        <v>74</v>
      </c>
      <c r="AG953">
        <v>113</v>
      </c>
      <c r="AH953">
        <v>17</v>
      </c>
      <c r="AI953">
        <v>17</v>
      </c>
      <c r="AJ953">
        <v>3</v>
      </c>
      <c r="AK953">
        <v>10</v>
      </c>
      <c r="AL953" t="s">
        <v>289</v>
      </c>
      <c r="AM953" t="s">
        <v>290</v>
      </c>
      <c r="AN953" t="s">
        <v>291</v>
      </c>
      <c r="AO953" t="s">
        <v>18081</v>
      </c>
      <c r="AP953" t="s">
        <v>18082</v>
      </c>
      <c r="AQ953" t="s">
        <v>74</v>
      </c>
      <c r="AR953" t="s">
        <v>18083</v>
      </c>
      <c r="AS953" t="s">
        <v>18084</v>
      </c>
      <c r="AT953" t="s">
        <v>1033</v>
      </c>
      <c r="AU953">
        <v>2020</v>
      </c>
      <c r="AV953">
        <v>184</v>
      </c>
      <c r="AW953" t="s">
        <v>74</v>
      </c>
      <c r="AX953" t="s">
        <v>74</v>
      </c>
      <c r="AY953" t="s">
        <v>74</v>
      </c>
      <c r="AZ953" t="s">
        <v>74</v>
      </c>
      <c r="BA953" t="s">
        <v>74</v>
      </c>
      <c r="BB953" t="s">
        <v>74</v>
      </c>
      <c r="BC953" t="s">
        <v>74</v>
      </c>
      <c r="BD953">
        <v>103050</v>
      </c>
      <c r="BE953" t="s">
        <v>18085</v>
      </c>
      <c r="BF953" t="str">
        <f>HYPERLINK("http://dx.doi.org/10.1016/j.gloplacha.2019.103050","http://dx.doi.org/10.1016/j.gloplacha.2019.103050")</f>
        <v>http://dx.doi.org/10.1016/j.gloplacha.2019.103050</v>
      </c>
      <c r="BG953" t="s">
        <v>74</v>
      </c>
      <c r="BH953" t="s">
        <v>74</v>
      </c>
      <c r="BI953">
        <v>15</v>
      </c>
      <c r="BJ953" t="s">
        <v>1307</v>
      </c>
      <c r="BK953" t="s">
        <v>103</v>
      </c>
      <c r="BL953" t="s">
        <v>1308</v>
      </c>
      <c r="BM953" t="s">
        <v>18086</v>
      </c>
      <c r="BN953" t="s">
        <v>74</v>
      </c>
      <c r="BO953" t="s">
        <v>694</v>
      </c>
      <c r="BP953" t="s">
        <v>74</v>
      </c>
      <c r="BQ953" t="s">
        <v>74</v>
      </c>
      <c r="BR953" t="s">
        <v>106</v>
      </c>
      <c r="BS953" t="s">
        <v>18087</v>
      </c>
      <c r="BT953" t="str">
        <f>HYPERLINK("https%3A%2F%2Fwww.webofscience.com%2Fwos%2Fwoscc%2Ffull-record%2FWOS:000508491500004","View Full Record in Web of Science")</f>
        <v>View Full Record in Web of Science</v>
      </c>
    </row>
    <row r="954" spans="1:72" x14ac:dyDescent="0.15">
      <c r="A954" t="s">
        <v>72</v>
      </c>
      <c r="B954" t="s">
        <v>18088</v>
      </c>
      <c r="C954" t="s">
        <v>74</v>
      </c>
      <c r="D954" t="s">
        <v>74</v>
      </c>
      <c r="E954" t="s">
        <v>74</v>
      </c>
      <c r="F954" t="s">
        <v>18089</v>
      </c>
      <c r="G954" t="s">
        <v>74</v>
      </c>
      <c r="H954" t="s">
        <v>74</v>
      </c>
      <c r="I954" t="s">
        <v>18090</v>
      </c>
      <c r="J954" t="s">
        <v>18068</v>
      </c>
      <c r="K954" t="s">
        <v>74</v>
      </c>
      <c r="L954" t="s">
        <v>74</v>
      </c>
      <c r="M954" t="s">
        <v>78</v>
      </c>
      <c r="N954" t="s">
        <v>1434</v>
      </c>
      <c r="O954" t="s">
        <v>74</v>
      </c>
      <c r="P954" t="s">
        <v>74</v>
      </c>
      <c r="Q954" t="s">
        <v>74</v>
      </c>
      <c r="R954" t="s">
        <v>74</v>
      </c>
      <c r="S954" t="s">
        <v>74</v>
      </c>
      <c r="T954" t="s">
        <v>18091</v>
      </c>
      <c r="U954" t="s">
        <v>18092</v>
      </c>
      <c r="V954" t="s">
        <v>18093</v>
      </c>
      <c r="W954" t="s">
        <v>18094</v>
      </c>
      <c r="X954" t="s">
        <v>18095</v>
      </c>
      <c r="Y954" t="s">
        <v>18096</v>
      </c>
      <c r="Z954" t="s">
        <v>18097</v>
      </c>
      <c r="AA954" t="s">
        <v>74</v>
      </c>
      <c r="AB954" t="s">
        <v>74</v>
      </c>
      <c r="AC954" t="s">
        <v>18098</v>
      </c>
      <c r="AD954" t="s">
        <v>18099</v>
      </c>
      <c r="AE954" t="s">
        <v>18100</v>
      </c>
      <c r="AF954" t="s">
        <v>74</v>
      </c>
      <c r="AG954">
        <v>95</v>
      </c>
      <c r="AH954">
        <v>11</v>
      </c>
      <c r="AI954">
        <v>11</v>
      </c>
      <c r="AJ954">
        <v>5</v>
      </c>
      <c r="AK954">
        <v>23</v>
      </c>
      <c r="AL954" t="s">
        <v>289</v>
      </c>
      <c r="AM954" t="s">
        <v>290</v>
      </c>
      <c r="AN954" t="s">
        <v>4862</v>
      </c>
      <c r="AO954" t="s">
        <v>18081</v>
      </c>
      <c r="AP954" t="s">
        <v>18082</v>
      </c>
      <c r="AQ954" t="s">
        <v>74</v>
      </c>
      <c r="AR954" t="s">
        <v>18083</v>
      </c>
      <c r="AS954" t="s">
        <v>18084</v>
      </c>
      <c r="AT954" t="s">
        <v>1033</v>
      </c>
      <c r="AU954">
        <v>2020</v>
      </c>
      <c r="AV954">
        <v>184</v>
      </c>
      <c r="AW954" t="s">
        <v>74</v>
      </c>
      <c r="AX954" t="s">
        <v>74</v>
      </c>
      <c r="AY954" t="s">
        <v>74</v>
      </c>
      <c r="AZ954" t="s">
        <v>74</v>
      </c>
      <c r="BA954" t="s">
        <v>74</v>
      </c>
      <c r="BB954" t="s">
        <v>74</v>
      </c>
      <c r="BC954" t="s">
        <v>74</v>
      </c>
      <c r="BD954">
        <v>103056</v>
      </c>
      <c r="BE954" t="s">
        <v>18101</v>
      </c>
      <c r="BF954" t="str">
        <f>HYPERLINK("http://dx.doi.org/10.1016/j.gloplacha.2019.103056","http://dx.doi.org/10.1016/j.gloplacha.2019.103056")</f>
        <v>http://dx.doi.org/10.1016/j.gloplacha.2019.103056</v>
      </c>
      <c r="BG954" t="s">
        <v>74</v>
      </c>
      <c r="BH954" t="s">
        <v>74</v>
      </c>
      <c r="BI954">
        <v>19</v>
      </c>
      <c r="BJ954" t="s">
        <v>1307</v>
      </c>
      <c r="BK954" t="s">
        <v>103</v>
      </c>
      <c r="BL954" t="s">
        <v>1308</v>
      </c>
      <c r="BM954" t="s">
        <v>18086</v>
      </c>
      <c r="BN954" t="s">
        <v>74</v>
      </c>
      <c r="BO954" t="s">
        <v>74</v>
      </c>
      <c r="BP954" t="s">
        <v>74</v>
      </c>
      <c r="BQ954" t="s">
        <v>74</v>
      </c>
      <c r="BR954" t="s">
        <v>106</v>
      </c>
      <c r="BS954" t="s">
        <v>18102</v>
      </c>
      <c r="BT954" t="str">
        <f>HYPERLINK("https%3A%2F%2Fwww.webofscience.com%2Fwos%2Fwoscc%2Ffull-record%2FWOS:000508491500023","View Full Record in Web of Science")</f>
        <v>View Full Record in Web of Science</v>
      </c>
    </row>
    <row r="955" spans="1:72" x14ac:dyDescent="0.15">
      <c r="A955" t="s">
        <v>72</v>
      </c>
      <c r="B955" t="s">
        <v>18103</v>
      </c>
      <c r="C955" t="s">
        <v>74</v>
      </c>
      <c r="D955" t="s">
        <v>74</v>
      </c>
      <c r="E955" t="s">
        <v>74</v>
      </c>
      <c r="F955" t="s">
        <v>18104</v>
      </c>
      <c r="G955" t="s">
        <v>74</v>
      </c>
      <c r="H955" t="s">
        <v>74</v>
      </c>
      <c r="I955" t="s">
        <v>18105</v>
      </c>
      <c r="J955" t="s">
        <v>18068</v>
      </c>
      <c r="K955" t="s">
        <v>74</v>
      </c>
      <c r="L955" t="s">
        <v>74</v>
      </c>
      <c r="M955" t="s">
        <v>78</v>
      </c>
      <c r="N955" t="s">
        <v>79</v>
      </c>
      <c r="O955" t="s">
        <v>74</v>
      </c>
      <c r="P955" t="s">
        <v>74</v>
      </c>
      <c r="Q955" t="s">
        <v>74</v>
      </c>
      <c r="R955" t="s">
        <v>74</v>
      </c>
      <c r="S955" t="s">
        <v>74</v>
      </c>
      <c r="T955" t="s">
        <v>18106</v>
      </c>
      <c r="U955" t="s">
        <v>18107</v>
      </c>
      <c r="V955" t="s">
        <v>18108</v>
      </c>
      <c r="W955" t="s">
        <v>18109</v>
      </c>
      <c r="X955" t="s">
        <v>18110</v>
      </c>
      <c r="Y955" t="s">
        <v>18111</v>
      </c>
      <c r="Z955" t="s">
        <v>18112</v>
      </c>
      <c r="AA955" t="s">
        <v>18113</v>
      </c>
      <c r="AB955" t="s">
        <v>18114</v>
      </c>
      <c r="AC955" t="s">
        <v>18115</v>
      </c>
      <c r="AD955" t="s">
        <v>18116</v>
      </c>
      <c r="AE955" t="s">
        <v>18117</v>
      </c>
      <c r="AF955" t="s">
        <v>74</v>
      </c>
      <c r="AG955">
        <v>135</v>
      </c>
      <c r="AH955">
        <v>15</v>
      </c>
      <c r="AI955">
        <v>17</v>
      </c>
      <c r="AJ955">
        <v>0</v>
      </c>
      <c r="AK955">
        <v>14</v>
      </c>
      <c r="AL955" t="s">
        <v>289</v>
      </c>
      <c r="AM955" t="s">
        <v>290</v>
      </c>
      <c r="AN955" t="s">
        <v>291</v>
      </c>
      <c r="AO955" t="s">
        <v>18081</v>
      </c>
      <c r="AP955" t="s">
        <v>18082</v>
      </c>
      <c r="AQ955" t="s">
        <v>74</v>
      </c>
      <c r="AR955" t="s">
        <v>18083</v>
      </c>
      <c r="AS955" t="s">
        <v>18084</v>
      </c>
      <c r="AT955" t="s">
        <v>1033</v>
      </c>
      <c r="AU955">
        <v>2020</v>
      </c>
      <c r="AV955">
        <v>184</v>
      </c>
      <c r="AW955" t="s">
        <v>74</v>
      </c>
      <c r="AX955" t="s">
        <v>74</v>
      </c>
      <c r="AY955" t="s">
        <v>74</v>
      </c>
      <c r="AZ955" t="s">
        <v>74</v>
      </c>
      <c r="BA955" t="s">
        <v>74</v>
      </c>
      <c r="BB955" t="s">
        <v>74</v>
      </c>
      <c r="BC955" t="s">
        <v>74</v>
      </c>
      <c r="BD955">
        <v>103045</v>
      </c>
      <c r="BE955" t="s">
        <v>18118</v>
      </c>
      <c r="BF955" t="str">
        <f>HYPERLINK("http://dx.doi.org/10.1016/j.gloplacha.2019.103045","http://dx.doi.org/10.1016/j.gloplacha.2019.103045")</f>
        <v>http://dx.doi.org/10.1016/j.gloplacha.2019.103045</v>
      </c>
      <c r="BG955" t="s">
        <v>74</v>
      </c>
      <c r="BH955" t="s">
        <v>74</v>
      </c>
      <c r="BI955">
        <v>16</v>
      </c>
      <c r="BJ955" t="s">
        <v>1307</v>
      </c>
      <c r="BK955" t="s">
        <v>103</v>
      </c>
      <c r="BL955" t="s">
        <v>1308</v>
      </c>
      <c r="BM955" t="s">
        <v>18086</v>
      </c>
      <c r="BN955" t="s">
        <v>74</v>
      </c>
      <c r="BO955" t="s">
        <v>74</v>
      </c>
      <c r="BP955" t="s">
        <v>74</v>
      </c>
      <c r="BQ955" t="s">
        <v>74</v>
      </c>
      <c r="BR955" t="s">
        <v>106</v>
      </c>
      <c r="BS955" t="s">
        <v>18119</v>
      </c>
      <c r="BT955" t="str">
        <f>HYPERLINK("https%3A%2F%2Fwww.webofscience.com%2Fwos%2Fwoscc%2Ffull-record%2FWOS:000508491500010","View Full Record in Web of Science")</f>
        <v>View Full Record in Web of Science</v>
      </c>
    </row>
    <row r="956" spans="1:72" x14ac:dyDescent="0.15">
      <c r="A956" t="s">
        <v>72</v>
      </c>
      <c r="B956" t="s">
        <v>18120</v>
      </c>
      <c r="C956" t="s">
        <v>74</v>
      </c>
      <c r="D956" t="s">
        <v>74</v>
      </c>
      <c r="E956" t="s">
        <v>74</v>
      </c>
      <c r="F956" t="s">
        <v>18121</v>
      </c>
      <c r="G956" t="s">
        <v>74</v>
      </c>
      <c r="H956" t="s">
        <v>74</v>
      </c>
      <c r="I956" t="s">
        <v>18122</v>
      </c>
      <c r="J956" t="s">
        <v>9115</v>
      </c>
      <c r="K956" t="s">
        <v>74</v>
      </c>
      <c r="L956" t="s">
        <v>74</v>
      </c>
      <c r="M956" t="s">
        <v>78</v>
      </c>
      <c r="N956" t="s">
        <v>79</v>
      </c>
      <c r="O956" t="s">
        <v>74</v>
      </c>
      <c r="P956" t="s">
        <v>74</v>
      </c>
      <c r="Q956" t="s">
        <v>74</v>
      </c>
      <c r="R956" t="s">
        <v>74</v>
      </c>
      <c r="S956" t="s">
        <v>74</v>
      </c>
      <c r="T956" t="s">
        <v>74</v>
      </c>
      <c r="U956" t="s">
        <v>18123</v>
      </c>
      <c r="V956" t="s">
        <v>18124</v>
      </c>
      <c r="W956" t="s">
        <v>18125</v>
      </c>
      <c r="X956" t="s">
        <v>13874</v>
      </c>
      <c r="Y956" t="s">
        <v>18126</v>
      </c>
      <c r="Z956" t="s">
        <v>18127</v>
      </c>
      <c r="AA956" t="s">
        <v>18128</v>
      </c>
      <c r="AB956" t="s">
        <v>18129</v>
      </c>
      <c r="AC956" t="s">
        <v>18130</v>
      </c>
      <c r="AD956" t="s">
        <v>18131</v>
      </c>
      <c r="AE956" t="s">
        <v>18132</v>
      </c>
      <c r="AF956" t="s">
        <v>74</v>
      </c>
      <c r="AG956">
        <v>58</v>
      </c>
      <c r="AH956">
        <v>10</v>
      </c>
      <c r="AI956">
        <v>10</v>
      </c>
      <c r="AJ956">
        <v>0</v>
      </c>
      <c r="AK956">
        <v>10</v>
      </c>
      <c r="AL956" t="s">
        <v>4959</v>
      </c>
      <c r="AM956" t="s">
        <v>435</v>
      </c>
      <c r="AN956" t="s">
        <v>4960</v>
      </c>
      <c r="AO956" t="s">
        <v>9127</v>
      </c>
      <c r="AP956" t="s">
        <v>9128</v>
      </c>
      <c r="AQ956" t="s">
        <v>74</v>
      </c>
      <c r="AR956" t="s">
        <v>9129</v>
      </c>
      <c r="AS956" t="s">
        <v>9130</v>
      </c>
      <c r="AT956" t="s">
        <v>1033</v>
      </c>
      <c r="AU956">
        <v>2020</v>
      </c>
      <c r="AV956">
        <v>153</v>
      </c>
      <c r="AW956" t="s">
        <v>74</v>
      </c>
      <c r="AX956" t="s">
        <v>74</v>
      </c>
      <c r="AY956" t="s">
        <v>74</v>
      </c>
      <c r="AZ956" t="s">
        <v>74</v>
      </c>
      <c r="BA956" t="s">
        <v>74</v>
      </c>
      <c r="BB956" t="s">
        <v>74</v>
      </c>
      <c r="BC956" t="s">
        <v>74</v>
      </c>
      <c r="BD956">
        <v>104840</v>
      </c>
      <c r="BE956" t="s">
        <v>18133</v>
      </c>
      <c r="BF956" t="str">
        <f>HYPERLINK("http://dx.doi.org/10.1016/j.marenvres.2019.104840","http://dx.doi.org/10.1016/j.marenvres.2019.104840")</f>
        <v>http://dx.doi.org/10.1016/j.marenvres.2019.104840</v>
      </c>
      <c r="BG956" t="s">
        <v>74</v>
      </c>
      <c r="BH956" t="s">
        <v>74</v>
      </c>
      <c r="BI956">
        <v>6</v>
      </c>
      <c r="BJ956" t="s">
        <v>9132</v>
      </c>
      <c r="BK956" t="s">
        <v>103</v>
      </c>
      <c r="BL956" t="s">
        <v>9133</v>
      </c>
      <c r="BM956" t="s">
        <v>18134</v>
      </c>
      <c r="BN956">
        <v>31740071</v>
      </c>
      <c r="BO956" t="s">
        <v>74</v>
      </c>
      <c r="BP956" t="s">
        <v>74</v>
      </c>
      <c r="BQ956" t="s">
        <v>74</v>
      </c>
      <c r="BR956" t="s">
        <v>106</v>
      </c>
      <c r="BS956" t="s">
        <v>18135</v>
      </c>
      <c r="BT956" t="str">
        <f>HYPERLINK("https%3A%2F%2Fwww.webofscience.com%2Fwos%2Fwoscc%2Ffull-record%2FWOS:000508769700017","View Full Record in Web of Science")</f>
        <v>View Full Record in Web of Science</v>
      </c>
    </row>
    <row r="957" spans="1:72" x14ac:dyDescent="0.15">
      <c r="A957" t="s">
        <v>72</v>
      </c>
      <c r="B957" t="s">
        <v>18136</v>
      </c>
      <c r="C957" t="s">
        <v>74</v>
      </c>
      <c r="D957" t="s">
        <v>74</v>
      </c>
      <c r="E957" t="s">
        <v>74</v>
      </c>
      <c r="F957" t="s">
        <v>18137</v>
      </c>
      <c r="G957" t="s">
        <v>74</v>
      </c>
      <c r="H957" t="s">
        <v>74</v>
      </c>
      <c r="I957" t="s">
        <v>18138</v>
      </c>
      <c r="J957" t="s">
        <v>9115</v>
      </c>
      <c r="K957" t="s">
        <v>74</v>
      </c>
      <c r="L957" t="s">
        <v>74</v>
      </c>
      <c r="M957" t="s">
        <v>78</v>
      </c>
      <c r="N957" t="s">
        <v>79</v>
      </c>
      <c r="O957" t="s">
        <v>74</v>
      </c>
      <c r="P957" t="s">
        <v>74</v>
      </c>
      <c r="Q957" t="s">
        <v>74</v>
      </c>
      <c r="R957" t="s">
        <v>74</v>
      </c>
      <c r="S957" t="s">
        <v>74</v>
      </c>
      <c r="T957" t="s">
        <v>18139</v>
      </c>
      <c r="U957" t="s">
        <v>18140</v>
      </c>
      <c r="V957" t="s">
        <v>18141</v>
      </c>
      <c r="W957" t="s">
        <v>18142</v>
      </c>
      <c r="X957" t="s">
        <v>18143</v>
      </c>
      <c r="Y957" t="s">
        <v>18144</v>
      </c>
      <c r="Z957" t="s">
        <v>18145</v>
      </c>
      <c r="AA957" t="s">
        <v>18146</v>
      </c>
      <c r="AB957" t="s">
        <v>18147</v>
      </c>
      <c r="AC957" t="s">
        <v>18148</v>
      </c>
      <c r="AD957" t="s">
        <v>18149</v>
      </c>
      <c r="AE957" t="s">
        <v>18150</v>
      </c>
      <c r="AF957" t="s">
        <v>74</v>
      </c>
      <c r="AG957">
        <v>90</v>
      </c>
      <c r="AH957">
        <v>11</v>
      </c>
      <c r="AI957">
        <v>11</v>
      </c>
      <c r="AJ957">
        <v>3</v>
      </c>
      <c r="AK957">
        <v>22</v>
      </c>
      <c r="AL957" t="s">
        <v>4959</v>
      </c>
      <c r="AM957" t="s">
        <v>435</v>
      </c>
      <c r="AN957" t="s">
        <v>4960</v>
      </c>
      <c r="AO957" t="s">
        <v>9127</v>
      </c>
      <c r="AP957" t="s">
        <v>9128</v>
      </c>
      <c r="AQ957" t="s">
        <v>74</v>
      </c>
      <c r="AR957" t="s">
        <v>9129</v>
      </c>
      <c r="AS957" t="s">
        <v>9130</v>
      </c>
      <c r="AT957" t="s">
        <v>1033</v>
      </c>
      <c r="AU957">
        <v>2020</v>
      </c>
      <c r="AV957">
        <v>153</v>
      </c>
      <c r="AW957" t="s">
        <v>74</v>
      </c>
      <c r="AX957" t="s">
        <v>74</v>
      </c>
      <c r="AY957" t="s">
        <v>74</v>
      </c>
      <c r="AZ957" t="s">
        <v>74</v>
      </c>
      <c r="BA957" t="s">
        <v>74</v>
      </c>
      <c r="BB957" t="s">
        <v>74</v>
      </c>
      <c r="BC957" t="s">
        <v>74</v>
      </c>
      <c r="BD957">
        <v>104793</v>
      </c>
      <c r="BE957" t="s">
        <v>18151</v>
      </c>
      <c r="BF957" t="str">
        <f>HYPERLINK("http://dx.doi.org/10.1016/j.marenvres.2019.104793","http://dx.doi.org/10.1016/j.marenvres.2019.104793")</f>
        <v>http://dx.doi.org/10.1016/j.marenvres.2019.104793</v>
      </c>
      <c r="BG957" t="s">
        <v>74</v>
      </c>
      <c r="BH957" t="s">
        <v>74</v>
      </c>
      <c r="BI957">
        <v>11</v>
      </c>
      <c r="BJ957" t="s">
        <v>9132</v>
      </c>
      <c r="BK957" t="s">
        <v>103</v>
      </c>
      <c r="BL957" t="s">
        <v>9133</v>
      </c>
      <c r="BM957" t="s">
        <v>18134</v>
      </c>
      <c r="BN957">
        <v>31582298</v>
      </c>
      <c r="BO957" t="s">
        <v>74</v>
      </c>
      <c r="BP957" t="s">
        <v>74</v>
      </c>
      <c r="BQ957" t="s">
        <v>74</v>
      </c>
      <c r="BR957" t="s">
        <v>106</v>
      </c>
      <c r="BS957" t="s">
        <v>18152</v>
      </c>
      <c r="BT957" t="str">
        <f>HYPERLINK("https%3A%2F%2Fwww.webofscience.com%2Fwos%2Fwoscc%2Ffull-record%2FWOS:000508769700002","View Full Record in Web of Science")</f>
        <v>View Full Record in Web of Science</v>
      </c>
    </row>
    <row r="958" spans="1:72" x14ac:dyDescent="0.15">
      <c r="A958" t="s">
        <v>72</v>
      </c>
      <c r="B958" t="s">
        <v>18153</v>
      </c>
      <c r="C958" t="s">
        <v>74</v>
      </c>
      <c r="D958" t="s">
        <v>74</v>
      </c>
      <c r="E958" t="s">
        <v>74</v>
      </c>
      <c r="F958" t="s">
        <v>18154</v>
      </c>
      <c r="G958" t="s">
        <v>74</v>
      </c>
      <c r="H958" t="s">
        <v>74</v>
      </c>
      <c r="I958" t="s">
        <v>18155</v>
      </c>
      <c r="J958" t="s">
        <v>18156</v>
      </c>
      <c r="K958" t="s">
        <v>74</v>
      </c>
      <c r="L958" t="s">
        <v>74</v>
      </c>
      <c r="M958" t="s">
        <v>78</v>
      </c>
      <c r="N958" t="s">
        <v>79</v>
      </c>
      <c r="O958" t="s">
        <v>74</v>
      </c>
      <c r="P958" t="s">
        <v>74</v>
      </c>
      <c r="Q958" t="s">
        <v>74</v>
      </c>
      <c r="R958" t="s">
        <v>74</v>
      </c>
      <c r="S958" t="s">
        <v>74</v>
      </c>
      <c r="T958" t="s">
        <v>18157</v>
      </c>
      <c r="U958" t="s">
        <v>18158</v>
      </c>
      <c r="V958" t="s">
        <v>18159</v>
      </c>
      <c r="W958" t="s">
        <v>18160</v>
      </c>
      <c r="X958" t="s">
        <v>18161</v>
      </c>
      <c r="Y958" t="s">
        <v>18162</v>
      </c>
      <c r="Z958" t="s">
        <v>18163</v>
      </c>
      <c r="AA958" t="s">
        <v>18164</v>
      </c>
      <c r="AB958" t="s">
        <v>18165</v>
      </c>
      <c r="AC958" t="s">
        <v>18166</v>
      </c>
      <c r="AD958" t="s">
        <v>18167</v>
      </c>
      <c r="AE958" t="s">
        <v>18168</v>
      </c>
      <c r="AF958" t="s">
        <v>74</v>
      </c>
      <c r="AG958">
        <v>55</v>
      </c>
      <c r="AH958">
        <v>9</v>
      </c>
      <c r="AI958">
        <v>9</v>
      </c>
      <c r="AJ958">
        <v>0</v>
      </c>
      <c r="AK958">
        <v>7</v>
      </c>
      <c r="AL958" t="s">
        <v>289</v>
      </c>
      <c r="AM958" t="s">
        <v>290</v>
      </c>
      <c r="AN958" t="s">
        <v>291</v>
      </c>
      <c r="AO958" t="s">
        <v>18169</v>
      </c>
      <c r="AP958" t="s">
        <v>18170</v>
      </c>
      <c r="AQ958" t="s">
        <v>74</v>
      </c>
      <c r="AR958" t="s">
        <v>18171</v>
      </c>
      <c r="AS958" t="s">
        <v>18172</v>
      </c>
      <c r="AT958" t="s">
        <v>1033</v>
      </c>
      <c r="AU958">
        <v>2020</v>
      </c>
      <c r="AV958">
        <v>419</v>
      </c>
      <c r="AW958" t="s">
        <v>74</v>
      </c>
      <c r="AX958" t="s">
        <v>74</v>
      </c>
      <c r="AY958" t="s">
        <v>74</v>
      </c>
      <c r="AZ958" t="s">
        <v>74</v>
      </c>
      <c r="BA958" t="s">
        <v>74</v>
      </c>
      <c r="BB958" t="s">
        <v>74</v>
      </c>
      <c r="BC958" t="s">
        <v>74</v>
      </c>
      <c r="BD958">
        <v>106081</v>
      </c>
      <c r="BE958" t="s">
        <v>18173</v>
      </c>
      <c r="BF958" t="str">
        <f>HYPERLINK("http://dx.doi.org/10.1016/j.margeo.2019.106081","http://dx.doi.org/10.1016/j.margeo.2019.106081")</f>
        <v>http://dx.doi.org/10.1016/j.margeo.2019.106081</v>
      </c>
      <c r="BG958" t="s">
        <v>74</v>
      </c>
      <c r="BH958" t="s">
        <v>74</v>
      </c>
      <c r="BI958">
        <v>14</v>
      </c>
      <c r="BJ958" t="s">
        <v>18174</v>
      </c>
      <c r="BK958" t="s">
        <v>103</v>
      </c>
      <c r="BL958" t="s">
        <v>18175</v>
      </c>
      <c r="BM958" t="s">
        <v>18176</v>
      </c>
      <c r="BN958" t="s">
        <v>74</v>
      </c>
      <c r="BO958" t="s">
        <v>74</v>
      </c>
      <c r="BP958" t="s">
        <v>74</v>
      </c>
      <c r="BQ958" t="s">
        <v>74</v>
      </c>
      <c r="BR958" t="s">
        <v>106</v>
      </c>
      <c r="BS958" t="s">
        <v>18177</v>
      </c>
      <c r="BT958" t="str">
        <f>HYPERLINK("https%3A%2F%2Fwww.webofscience.com%2Fwos%2Fwoscc%2Ffull-record%2FWOS:000508490400019","View Full Record in Web of Science")</f>
        <v>View Full Record in Web of Science</v>
      </c>
    </row>
    <row r="959" spans="1:72" x14ac:dyDescent="0.15">
      <c r="A959" t="s">
        <v>72</v>
      </c>
      <c r="B959" t="s">
        <v>18178</v>
      </c>
      <c r="C959" t="s">
        <v>74</v>
      </c>
      <c r="D959" t="s">
        <v>74</v>
      </c>
      <c r="E959" t="s">
        <v>74</v>
      </c>
      <c r="F959" t="s">
        <v>18179</v>
      </c>
      <c r="G959" t="s">
        <v>74</v>
      </c>
      <c r="H959" t="s">
        <v>74</v>
      </c>
      <c r="I959" t="s">
        <v>18180</v>
      </c>
      <c r="J959" t="s">
        <v>18181</v>
      </c>
      <c r="K959" t="s">
        <v>74</v>
      </c>
      <c r="L959" t="s">
        <v>74</v>
      </c>
      <c r="M959" t="s">
        <v>78</v>
      </c>
      <c r="N959" t="s">
        <v>79</v>
      </c>
      <c r="O959" t="s">
        <v>74</v>
      </c>
      <c r="P959" t="s">
        <v>74</v>
      </c>
      <c r="Q959" t="s">
        <v>74</v>
      </c>
      <c r="R959" t="s">
        <v>74</v>
      </c>
      <c r="S959" t="s">
        <v>74</v>
      </c>
      <c r="T959" t="s">
        <v>18182</v>
      </c>
      <c r="U959" t="s">
        <v>18183</v>
      </c>
      <c r="V959" t="s">
        <v>18184</v>
      </c>
      <c r="W959" t="s">
        <v>18185</v>
      </c>
      <c r="X959" t="s">
        <v>18186</v>
      </c>
      <c r="Y959" t="s">
        <v>18187</v>
      </c>
      <c r="Z959" t="s">
        <v>18188</v>
      </c>
      <c r="AA959" t="s">
        <v>18189</v>
      </c>
      <c r="AB959" t="s">
        <v>18190</v>
      </c>
      <c r="AC959" t="s">
        <v>18191</v>
      </c>
      <c r="AD959" t="s">
        <v>18192</v>
      </c>
      <c r="AE959" t="s">
        <v>18193</v>
      </c>
      <c r="AF959" t="s">
        <v>74</v>
      </c>
      <c r="AG959">
        <v>67</v>
      </c>
      <c r="AH959">
        <v>13</v>
      </c>
      <c r="AI959">
        <v>13</v>
      </c>
      <c r="AJ959">
        <v>0</v>
      </c>
      <c r="AK959">
        <v>9</v>
      </c>
      <c r="AL959" t="s">
        <v>1055</v>
      </c>
      <c r="AM959" t="s">
        <v>435</v>
      </c>
      <c r="AN959" t="s">
        <v>1056</v>
      </c>
      <c r="AO959" t="s">
        <v>18194</v>
      </c>
      <c r="AP959" t="s">
        <v>18195</v>
      </c>
      <c r="AQ959" t="s">
        <v>74</v>
      </c>
      <c r="AR959" t="s">
        <v>18181</v>
      </c>
      <c r="AS959" t="s">
        <v>18196</v>
      </c>
      <c r="AT959" t="s">
        <v>1033</v>
      </c>
      <c r="AU959">
        <v>2020</v>
      </c>
      <c r="AV959">
        <v>70</v>
      </c>
      <c r="AW959">
        <v>1</v>
      </c>
      <c r="AX959" t="s">
        <v>74</v>
      </c>
      <c r="AY959" t="s">
        <v>74</v>
      </c>
      <c r="AZ959" t="s">
        <v>74</v>
      </c>
      <c r="BA959" t="s">
        <v>74</v>
      </c>
      <c r="BB959">
        <v>48</v>
      </c>
      <c r="BC959">
        <v>59</v>
      </c>
      <c r="BD959" t="s">
        <v>74</v>
      </c>
      <c r="BE959" t="s">
        <v>18197</v>
      </c>
      <c r="BF959" t="str">
        <f>HYPERLINK("http://dx.doi.org/10.1093/biosci/biz133","http://dx.doi.org/10.1093/biosci/biz133")</f>
        <v>http://dx.doi.org/10.1093/biosci/biz133</v>
      </c>
      <c r="BG959" t="s">
        <v>74</v>
      </c>
      <c r="BH959" t="s">
        <v>74</v>
      </c>
      <c r="BI959">
        <v>12</v>
      </c>
      <c r="BJ959" t="s">
        <v>1498</v>
      </c>
      <c r="BK959" t="s">
        <v>103</v>
      </c>
      <c r="BL959" t="s">
        <v>1499</v>
      </c>
      <c r="BM959" t="s">
        <v>18198</v>
      </c>
      <c r="BN959" t="s">
        <v>74</v>
      </c>
      <c r="BO959" t="s">
        <v>10465</v>
      </c>
      <c r="BP959" t="s">
        <v>74</v>
      </c>
      <c r="BQ959" t="s">
        <v>74</v>
      </c>
      <c r="BR959" t="s">
        <v>106</v>
      </c>
      <c r="BS959" t="s">
        <v>18199</v>
      </c>
      <c r="BT959" t="str">
        <f>HYPERLINK("https%3A%2F%2Fwww.webofscience.com%2Fwos%2Fwoscc%2Ffull-record%2FWOS:000508115600010","View Full Record in Web of Science")</f>
        <v>View Full Record in Web of Science</v>
      </c>
    </row>
    <row r="960" spans="1:72" x14ac:dyDescent="0.15">
      <c r="A960" t="s">
        <v>72</v>
      </c>
      <c r="B960" t="s">
        <v>18200</v>
      </c>
      <c r="C960" t="s">
        <v>74</v>
      </c>
      <c r="D960" t="s">
        <v>74</v>
      </c>
      <c r="E960" t="s">
        <v>74</v>
      </c>
      <c r="F960" t="s">
        <v>18201</v>
      </c>
      <c r="G960" t="s">
        <v>74</v>
      </c>
      <c r="H960" t="s">
        <v>74</v>
      </c>
      <c r="I960" t="s">
        <v>18202</v>
      </c>
      <c r="J960" t="s">
        <v>18203</v>
      </c>
      <c r="K960" t="s">
        <v>74</v>
      </c>
      <c r="L960" t="s">
        <v>74</v>
      </c>
      <c r="M960" t="s">
        <v>78</v>
      </c>
      <c r="N960" t="s">
        <v>79</v>
      </c>
      <c r="O960" t="s">
        <v>74</v>
      </c>
      <c r="P960" t="s">
        <v>74</v>
      </c>
      <c r="Q960" t="s">
        <v>74</v>
      </c>
      <c r="R960" t="s">
        <v>74</v>
      </c>
      <c r="S960" t="s">
        <v>74</v>
      </c>
      <c r="T960" t="s">
        <v>18204</v>
      </c>
      <c r="U960" t="s">
        <v>18205</v>
      </c>
      <c r="V960" t="s">
        <v>18206</v>
      </c>
      <c r="W960" t="s">
        <v>18207</v>
      </c>
      <c r="X960" t="s">
        <v>18208</v>
      </c>
      <c r="Y960" t="s">
        <v>18209</v>
      </c>
      <c r="Z960" t="s">
        <v>74</v>
      </c>
      <c r="AA960" t="s">
        <v>18210</v>
      </c>
      <c r="AB960" t="s">
        <v>18211</v>
      </c>
      <c r="AC960" t="s">
        <v>18212</v>
      </c>
      <c r="AD960" t="s">
        <v>18213</v>
      </c>
      <c r="AE960" t="s">
        <v>18214</v>
      </c>
      <c r="AF960" t="s">
        <v>74</v>
      </c>
      <c r="AG960">
        <v>49</v>
      </c>
      <c r="AH960">
        <v>3</v>
      </c>
      <c r="AI960">
        <v>3</v>
      </c>
      <c r="AJ960">
        <v>0</v>
      </c>
      <c r="AK960">
        <v>3</v>
      </c>
      <c r="AL960" t="s">
        <v>18215</v>
      </c>
      <c r="AM960" t="s">
        <v>4825</v>
      </c>
      <c r="AN960" t="s">
        <v>18216</v>
      </c>
      <c r="AO960" t="s">
        <v>18217</v>
      </c>
      <c r="AP960" t="s">
        <v>18218</v>
      </c>
      <c r="AQ960" t="s">
        <v>74</v>
      </c>
      <c r="AR960" t="s">
        <v>18219</v>
      </c>
      <c r="AS960" t="s">
        <v>18220</v>
      </c>
      <c r="AT960" t="s">
        <v>1033</v>
      </c>
      <c r="AU960">
        <v>2020</v>
      </c>
      <c r="AV960">
        <v>24</v>
      </c>
      <c r="AW960">
        <v>1</v>
      </c>
      <c r="AX960" t="s">
        <v>74</v>
      </c>
      <c r="AY960" t="s">
        <v>74</v>
      </c>
      <c r="AZ960" t="s">
        <v>74</v>
      </c>
      <c r="BA960" t="s">
        <v>74</v>
      </c>
      <c r="BB960">
        <v>26</v>
      </c>
      <c r="BC960">
        <v>39</v>
      </c>
      <c r="BD960" t="s">
        <v>74</v>
      </c>
      <c r="BE960" t="s">
        <v>74</v>
      </c>
      <c r="BF960" t="s">
        <v>74</v>
      </c>
      <c r="BG960" t="s">
        <v>74</v>
      </c>
      <c r="BH960" t="s">
        <v>74</v>
      </c>
      <c r="BI960">
        <v>14</v>
      </c>
      <c r="BJ960" t="s">
        <v>12671</v>
      </c>
      <c r="BK960" t="s">
        <v>274</v>
      </c>
      <c r="BL960" t="s">
        <v>12672</v>
      </c>
      <c r="BM960" t="s">
        <v>18221</v>
      </c>
      <c r="BN960" t="s">
        <v>74</v>
      </c>
      <c r="BO960" t="s">
        <v>74</v>
      </c>
      <c r="BP960" t="s">
        <v>74</v>
      </c>
      <c r="BQ960" t="s">
        <v>74</v>
      </c>
      <c r="BR960" t="s">
        <v>106</v>
      </c>
      <c r="BS960" t="s">
        <v>18222</v>
      </c>
      <c r="BT960" t="str">
        <f>HYPERLINK("https%3A%2F%2Fwww.webofscience.com%2Fwos%2Fwoscc%2Ffull-record%2FWOS:000508207400003","View Full Record in Web of Science")</f>
        <v>View Full Record in Web of Science</v>
      </c>
    </row>
    <row r="961" spans="1:72" x14ac:dyDescent="0.15">
      <c r="A961" t="s">
        <v>12556</v>
      </c>
      <c r="B961" t="s">
        <v>18223</v>
      </c>
      <c r="C961" t="s">
        <v>74</v>
      </c>
      <c r="D961" t="s">
        <v>18224</v>
      </c>
      <c r="E961" t="s">
        <v>74</v>
      </c>
      <c r="F961" t="s">
        <v>18225</v>
      </c>
      <c r="G961" t="s">
        <v>74</v>
      </c>
      <c r="H961" t="s">
        <v>74</v>
      </c>
      <c r="I961" t="s">
        <v>18226</v>
      </c>
      <c r="J961" t="s">
        <v>18227</v>
      </c>
      <c r="K961" t="s">
        <v>18228</v>
      </c>
      <c r="L961" t="s">
        <v>74</v>
      </c>
      <c r="M961" t="s">
        <v>78</v>
      </c>
      <c r="N961" t="s">
        <v>13780</v>
      </c>
      <c r="O961" t="s">
        <v>74</v>
      </c>
      <c r="P961" t="s">
        <v>74</v>
      </c>
      <c r="Q961" t="s">
        <v>74</v>
      </c>
      <c r="R961" t="s">
        <v>74</v>
      </c>
      <c r="S961" t="s">
        <v>74</v>
      </c>
      <c r="T961" t="s">
        <v>18229</v>
      </c>
      <c r="U961" t="s">
        <v>18230</v>
      </c>
      <c r="V961" t="s">
        <v>18231</v>
      </c>
      <c r="W961" t="s">
        <v>18232</v>
      </c>
      <c r="X961" t="s">
        <v>18233</v>
      </c>
      <c r="Y961" t="s">
        <v>18234</v>
      </c>
      <c r="Z961" t="s">
        <v>18235</v>
      </c>
      <c r="AA961" t="s">
        <v>18236</v>
      </c>
      <c r="AB961" t="s">
        <v>18237</v>
      </c>
      <c r="AC961" t="s">
        <v>18238</v>
      </c>
      <c r="AD961" t="s">
        <v>18239</v>
      </c>
      <c r="AE961" t="s">
        <v>18240</v>
      </c>
      <c r="AF961" t="s">
        <v>74</v>
      </c>
      <c r="AG961">
        <v>162</v>
      </c>
      <c r="AH961">
        <v>151</v>
      </c>
      <c r="AI961">
        <v>167</v>
      </c>
      <c r="AJ961">
        <v>21</v>
      </c>
      <c r="AK961">
        <v>191</v>
      </c>
      <c r="AL961" t="s">
        <v>13792</v>
      </c>
      <c r="AM961" t="s">
        <v>13793</v>
      </c>
      <c r="AN961" t="s">
        <v>13794</v>
      </c>
      <c r="AO961" t="s">
        <v>18241</v>
      </c>
      <c r="AP961" t="s">
        <v>74</v>
      </c>
      <c r="AQ961" t="s">
        <v>74</v>
      </c>
      <c r="AR961" t="s">
        <v>18242</v>
      </c>
      <c r="AS961" t="s">
        <v>18243</v>
      </c>
      <c r="AT961" t="s">
        <v>74</v>
      </c>
      <c r="AU961">
        <v>2020</v>
      </c>
      <c r="AV961">
        <v>12</v>
      </c>
      <c r="AW961" t="s">
        <v>74</v>
      </c>
      <c r="AX961" t="s">
        <v>74</v>
      </c>
      <c r="AY961" t="s">
        <v>74</v>
      </c>
      <c r="AZ961" t="s">
        <v>74</v>
      </c>
      <c r="BA961" t="s">
        <v>74</v>
      </c>
      <c r="BB961">
        <v>23</v>
      </c>
      <c r="BC961">
        <v>48</v>
      </c>
      <c r="BD961" t="s">
        <v>74</v>
      </c>
      <c r="BE961" t="s">
        <v>18244</v>
      </c>
      <c r="BF961" t="str">
        <f>HYPERLINK("http://dx.doi.org/10.1146/annurev-marine-010419-010956","http://dx.doi.org/10.1146/annurev-marine-010419-010956")</f>
        <v>http://dx.doi.org/10.1146/annurev-marine-010419-010956</v>
      </c>
      <c r="BG961" t="s">
        <v>74</v>
      </c>
      <c r="BH961" t="s">
        <v>74</v>
      </c>
      <c r="BI961">
        <v>26</v>
      </c>
      <c r="BJ961" t="s">
        <v>18245</v>
      </c>
      <c r="BK961" t="s">
        <v>13801</v>
      </c>
      <c r="BL961" t="s">
        <v>18245</v>
      </c>
      <c r="BM961" t="s">
        <v>18246</v>
      </c>
      <c r="BN961">
        <v>31433959</v>
      </c>
      <c r="BO961" t="s">
        <v>74</v>
      </c>
      <c r="BP961" t="s">
        <v>1869</v>
      </c>
      <c r="BQ961" t="s">
        <v>1870</v>
      </c>
      <c r="BR961" t="s">
        <v>106</v>
      </c>
      <c r="BS961" t="s">
        <v>18247</v>
      </c>
      <c r="BT961" t="str">
        <f>HYPERLINK("https%3A%2F%2Fwww.webofscience.com%2Fwos%2Fwoscc%2Ffull-record%2FWOS:000507475600002","View Full Record in Web of Science")</f>
        <v>View Full Record in Web of Science</v>
      </c>
    </row>
    <row r="962" spans="1:72" x14ac:dyDescent="0.15">
      <c r="A962" t="s">
        <v>12556</v>
      </c>
      <c r="B962" t="s">
        <v>18248</v>
      </c>
      <c r="C962" t="s">
        <v>74</v>
      </c>
      <c r="D962" t="s">
        <v>18224</v>
      </c>
      <c r="E962" t="s">
        <v>74</v>
      </c>
      <c r="F962" t="s">
        <v>18249</v>
      </c>
      <c r="G962" t="s">
        <v>74</v>
      </c>
      <c r="H962" t="s">
        <v>74</v>
      </c>
      <c r="I962" t="s">
        <v>18250</v>
      </c>
      <c r="J962" t="s">
        <v>18227</v>
      </c>
      <c r="K962" t="s">
        <v>18228</v>
      </c>
      <c r="L962" t="s">
        <v>74</v>
      </c>
      <c r="M962" t="s">
        <v>78</v>
      </c>
      <c r="N962" t="s">
        <v>13780</v>
      </c>
      <c r="O962" t="s">
        <v>74</v>
      </c>
      <c r="P962" t="s">
        <v>74</v>
      </c>
      <c r="Q962" t="s">
        <v>74</v>
      </c>
      <c r="R962" t="s">
        <v>74</v>
      </c>
      <c r="S962" t="s">
        <v>74</v>
      </c>
      <c r="T962" t="s">
        <v>18251</v>
      </c>
      <c r="U962" t="s">
        <v>18252</v>
      </c>
      <c r="V962" t="s">
        <v>18253</v>
      </c>
      <c r="W962" t="s">
        <v>18254</v>
      </c>
      <c r="X962" t="s">
        <v>18255</v>
      </c>
      <c r="Y962" t="s">
        <v>18256</v>
      </c>
      <c r="Z962" t="s">
        <v>18257</v>
      </c>
      <c r="AA962" t="s">
        <v>18258</v>
      </c>
      <c r="AB962" t="s">
        <v>18259</v>
      </c>
      <c r="AC962" t="s">
        <v>18260</v>
      </c>
      <c r="AD962" t="s">
        <v>18261</v>
      </c>
      <c r="AE962" t="s">
        <v>18262</v>
      </c>
      <c r="AF962" t="s">
        <v>74</v>
      </c>
      <c r="AG962">
        <v>187</v>
      </c>
      <c r="AH962">
        <v>131</v>
      </c>
      <c r="AI962">
        <v>139</v>
      </c>
      <c r="AJ962">
        <v>46</v>
      </c>
      <c r="AK962">
        <v>351</v>
      </c>
      <c r="AL962" t="s">
        <v>13792</v>
      </c>
      <c r="AM962" t="s">
        <v>13793</v>
      </c>
      <c r="AN962" t="s">
        <v>13794</v>
      </c>
      <c r="AO962" t="s">
        <v>18241</v>
      </c>
      <c r="AP962" t="s">
        <v>74</v>
      </c>
      <c r="AQ962" t="s">
        <v>74</v>
      </c>
      <c r="AR962" t="s">
        <v>18242</v>
      </c>
      <c r="AS962" t="s">
        <v>18243</v>
      </c>
      <c r="AT962" t="s">
        <v>74</v>
      </c>
      <c r="AU962">
        <v>2020</v>
      </c>
      <c r="AV962">
        <v>12</v>
      </c>
      <c r="AW962" t="s">
        <v>74</v>
      </c>
      <c r="AX962" t="s">
        <v>74</v>
      </c>
      <c r="AY962" t="s">
        <v>74</v>
      </c>
      <c r="AZ962" t="s">
        <v>74</v>
      </c>
      <c r="BA962" t="s">
        <v>74</v>
      </c>
      <c r="BB962">
        <v>87</v>
      </c>
      <c r="BC962" t="s">
        <v>759</v>
      </c>
      <c r="BD962" t="s">
        <v>74</v>
      </c>
      <c r="BE962" t="s">
        <v>18263</v>
      </c>
      <c r="BF962" t="str">
        <f>HYPERLINK("http://dx.doi.org/10.1146/annurev-marine-010419-011028","http://dx.doi.org/10.1146/annurev-marine-010419-011028")</f>
        <v>http://dx.doi.org/10.1146/annurev-marine-010419-011028</v>
      </c>
      <c r="BG962" t="s">
        <v>74</v>
      </c>
      <c r="BH962" t="s">
        <v>74</v>
      </c>
      <c r="BI962">
        <v>11</v>
      </c>
      <c r="BJ962" t="s">
        <v>18245</v>
      </c>
      <c r="BK962" t="s">
        <v>13801</v>
      </c>
      <c r="BL962" t="s">
        <v>18245</v>
      </c>
      <c r="BM962" t="s">
        <v>18246</v>
      </c>
      <c r="BN962">
        <v>31337252</v>
      </c>
      <c r="BO962" t="s">
        <v>694</v>
      </c>
      <c r="BP962" t="s">
        <v>1869</v>
      </c>
      <c r="BQ962" t="s">
        <v>1870</v>
      </c>
      <c r="BR962" t="s">
        <v>106</v>
      </c>
      <c r="BS962" t="s">
        <v>18264</v>
      </c>
      <c r="BT962" t="str">
        <f>HYPERLINK("https%3A%2F%2Fwww.webofscience.com%2Fwos%2Fwoscc%2Ffull-record%2FWOS:000507475600004","View Full Record in Web of Science")</f>
        <v>View Full Record in Web of Science</v>
      </c>
    </row>
    <row r="963" spans="1:72" x14ac:dyDescent="0.15">
      <c r="A963" t="s">
        <v>12556</v>
      </c>
      <c r="B963" t="s">
        <v>18265</v>
      </c>
      <c r="C963" t="s">
        <v>74</v>
      </c>
      <c r="D963" t="s">
        <v>18224</v>
      </c>
      <c r="E963" t="s">
        <v>74</v>
      </c>
      <c r="F963" t="s">
        <v>18266</v>
      </c>
      <c r="G963" t="s">
        <v>74</v>
      </c>
      <c r="H963" t="s">
        <v>74</v>
      </c>
      <c r="I963" t="s">
        <v>18267</v>
      </c>
      <c r="J963" t="s">
        <v>18227</v>
      </c>
      <c r="K963" t="s">
        <v>18228</v>
      </c>
      <c r="L963" t="s">
        <v>74</v>
      </c>
      <c r="M963" t="s">
        <v>78</v>
      </c>
      <c r="N963" t="s">
        <v>13780</v>
      </c>
      <c r="O963" t="s">
        <v>74</v>
      </c>
      <c r="P963" t="s">
        <v>74</v>
      </c>
      <c r="Q963" t="s">
        <v>74</v>
      </c>
      <c r="R963" t="s">
        <v>74</v>
      </c>
      <c r="S963" t="s">
        <v>74</v>
      </c>
      <c r="T963" t="s">
        <v>18268</v>
      </c>
      <c r="U963" t="s">
        <v>18269</v>
      </c>
      <c r="V963" t="s">
        <v>18270</v>
      </c>
      <c r="W963" t="s">
        <v>18271</v>
      </c>
      <c r="X963" t="s">
        <v>18272</v>
      </c>
      <c r="Y963" t="s">
        <v>18273</v>
      </c>
      <c r="Z963" t="s">
        <v>18274</v>
      </c>
      <c r="AA963" t="s">
        <v>18275</v>
      </c>
      <c r="AB963" t="s">
        <v>18276</v>
      </c>
      <c r="AC963" t="s">
        <v>18277</v>
      </c>
      <c r="AD963" t="s">
        <v>18278</v>
      </c>
      <c r="AE963" t="s">
        <v>18279</v>
      </c>
      <c r="AF963" t="s">
        <v>74</v>
      </c>
      <c r="AG963">
        <v>146</v>
      </c>
      <c r="AH963">
        <v>37</v>
      </c>
      <c r="AI963">
        <v>39</v>
      </c>
      <c r="AJ963">
        <v>9</v>
      </c>
      <c r="AK963">
        <v>94</v>
      </c>
      <c r="AL963" t="s">
        <v>13792</v>
      </c>
      <c r="AM963" t="s">
        <v>13793</v>
      </c>
      <c r="AN963" t="s">
        <v>13794</v>
      </c>
      <c r="AO963" t="s">
        <v>18241</v>
      </c>
      <c r="AP963" t="s">
        <v>74</v>
      </c>
      <c r="AQ963" t="s">
        <v>74</v>
      </c>
      <c r="AR963" t="s">
        <v>18242</v>
      </c>
      <c r="AS963" t="s">
        <v>18243</v>
      </c>
      <c r="AT963" t="s">
        <v>74</v>
      </c>
      <c r="AU963">
        <v>2020</v>
      </c>
      <c r="AV963">
        <v>12</v>
      </c>
      <c r="AW963" t="s">
        <v>74</v>
      </c>
      <c r="AX963" t="s">
        <v>74</v>
      </c>
      <c r="AY963" t="s">
        <v>74</v>
      </c>
      <c r="AZ963" t="s">
        <v>74</v>
      </c>
      <c r="BA963" t="s">
        <v>74</v>
      </c>
      <c r="BB963">
        <v>181</v>
      </c>
      <c r="BC963">
        <v>208</v>
      </c>
      <c r="BD963" t="s">
        <v>74</v>
      </c>
      <c r="BE963" t="s">
        <v>18280</v>
      </c>
      <c r="BF963" t="str">
        <f>HYPERLINK("http://dx.doi.org/10.1146/annurev-marine-010318-095311","http://dx.doi.org/10.1146/annurev-marine-010318-095311")</f>
        <v>http://dx.doi.org/10.1146/annurev-marine-010318-095311</v>
      </c>
      <c r="BG963" t="s">
        <v>74</v>
      </c>
      <c r="BH963" t="s">
        <v>74</v>
      </c>
      <c r="BI963">
        <v>28</v>
      </c>
      <c r="BJ963" t="s">
        <v>18245</v>
      </c>
      <c r="BK963" t="s">
        <v>13801</v>
      </c>
      <c r="BL963" t="s">
        <v>18245</v>
      </c>
      <c r="BM963" t="s">
        <v>18246</v>
      </c>
      <c r="BN963">
        <v>31451085</v>
      </c>
      <c r="BO963" t="s">
        <v>74</v>
      </c>
      <c r="BP963" t="s">
        <v>74</v>
      </c>
      <c r="BQ963" t="s">
        <v>74</v>
      </c>
      <c r="BR963" t="s">
        <v>106</v>
      </c>
      <c r="BS963" t="s">
        <v>18281</v>
      </c>
      <c r="BT963" t="str">
        <f>HYPERLINK("https%3A%2F%2Fwww.webofscience.com%2Fwos%2Fwoscc%2Ffull-record%2FWOS:000507475600007","View Full Record in Web of Science")</f>
        <v>View Full Record in Web of Science</v>
      </c>
    </row>
    <row r="964" spans="1:72" x14ac:dyDescent="0.15">
      <c r="A964" t="s">
        <v>12556</v>
      </c>
      <c r="B964" t="s">
        <v>18282</v>
      </c>
      <c r="C964" t="s">
        <v>74</v>
      </c>
      <c r="D964" t="s">
        <v>18224</v>
      </c>
      <c r="E964" t="s">
        <v>74</v>
      </c>
      <c r="F964" t="s">
        <v>18283</v>
      </c>
      <c r="G964" t="s">
        <v>74</v>
      </c>
      <c r="H964" t="s">
        <v>74</v>
      </c>
      <c r="I964" t="s">
        <v>18284</v>
      </c>
      <c r="J964" t="s">
        <v>18227</v>
      </c>
      <c r="K964" t="s">
        <v>18228</v>
      </c>
      <c r="L964" t="s">
        <v>74</v>
      </c>
      <c r="M964" t="s">
        <v>78</v>
      </c>
      <c r="N964" t="s">
        <v>13780</v>
      </c>
      <c r="O964" t="s">
        <v>74</v>
      </c>
      <c r="P964" t="s">
        <v>74</v>
      </c>
      <c r="Q964" t="s">
        <v>74</v>
      </c>
      <c r="R964" t="s">
        <v>74</v>
      </c>
      <c r="S964" t="s">
        <v>74</v>
      </c>
      <c r="T964" t="s">
        <v>18285</v>
      </c>
      <c r="U964" t="s">
        <v>18286</v>
      </c>
      <c r="V964" t="s">
        <v>18287</v>
      </c>
      <c r="W964" t="s">
        <v>18288</v>
      </c>
      <c r="X964" t="s">
        <v>18289</v>
      </c>
      <c r="Y964" t="s">
        <v>18290</v>
      </c>
      <c r="Z964" t="s">
        <v>18291</v>
      </c>
      <c r="AA964" t="s">
        <v>74</v>
      </c>
      <c r="AB964" t="s">
        <v>74</v>
      </c>
      <c r="AC964" t="s">
        <v>74</v>
      </c>
      <c r="AD964" t="s">
        <v>74</v>
      </c>
      <c r="AE964" t="s">
        <v>74</v>
      </c>
      <c r="AF964" t="s">
        <v>74</v>
      </c>
      <c r="AG964">
        <v>162</v>
      </c>
      <c r="AH964">
        <v>26</v>
      </c>
      <c r="AI964">
        <v>30</v>
      </c>
      <c r="AJ964">
        <v>8</v>
      </c>
      <c r="AK964">
        <v>63</v>
      </c>
      <c r="AL964" t="s">
        <v>13792</v>
      </c>
      <c r="AM964" t="s">
        <v>13793</v>
      </c>
      <c r="AN964" t="s">
        <v>13794</v>
      </c>
      <c r="AO964" t="s">
        <v>18241</v>
      </c>
      <c r="AP964" t="s">
        <v>74</v>
      </c>
      <c r="AQ964" t="s">
        <v>74</v>
      </c>
      <c r="AR964" t="s">
        <v>18242</v>
      </c>
      <c r="AS964" t="s">
        <v>18243</v>
      </c>
      <c r="AT964" t="s">
        <v>74</v>
      </c>
      <c r="AU964">
        <v>2020</v>
      </c>
      <c r="AV964">
        <v>12</v>
      </c>
      <c r="AW964" t="s">
        <v>74</v>
      </c>
      <c r="AX964" t="s">
        <v>74</v>
      </c>
      <c r="AY964" t="s">
        <v>74</v>
      </c>
      <c r="AZ964" t="s">
        <v>74</v>
      </c>
      <c r="BA964" t="s">
        <v>74</v>
      </c>
      <c r="BB964">
        <v>559</v>
      </c>
      <c r="BC964">
        <v>586</v>
      </c>
      <c r="BD964" t="s">
        <v>74</v>
      </c>
      <c r="BE964" t="s">
        <v>18292</v>
      </c>
      <c r="BF964" t="str">
        <f>HYPERLINK("http://dx.doi.org/10.1146/annurev-marine-010419-010906","http://dx.doi.org/10.1146/annurev-marine-010419-010906")</f>
        <v>http://dx.doi.org/10.1146/annurev-marine-010419-010906</v>
      </c>
      <c r="BG964" t="s">
        <v>74</v>
      </c>
      <c r="BH964" t="s">
        <v>74</v>
      </c>
      <c r="BI964">
        <v>28</v>
      </c>
      <c r="BJ964" t="s">
        <v>18245</v>
      </c>
      <c r="BK964" t="s">
        <v>13801</v>
      </c>
      <c r="BL964" t="s">
        <v>18245</v>
      </c>
      <c r="BM964" t="s">
        <v>18246</v>
      </c>
      <c r="BN964">
        <v>31899673</v>
      </c>
      <c r="BO964" t="s">
        <v>74</v>
      </c>
      <c r="BP964" t="s">
        <v>74</v>
      </c>
      <c r="BQ964" t="s">
        <v>74</v>
      </c>
      <c r="BR964" t="s">
        <v>106</v>
      </c>
      <c r="BS964" t="s">
        <v>18293</v>
      </c>
      <c r="BT964" t="str">
        <f>HYPERLINK("https%3A%2F%2Fwww.webofscience.com%2Fwos%2Fwoscc%2Ffull-record%2FWOS:000507475600021","View Full Record in Web of Science")</f>
        <v>View Full Record in Web of Science</v>
      </c>
    </row>
    <row r="965" spans="1:72" x14ac:dyDescent="0.15">
      <c r="A965" t="s">
        <v>72</v>
      </c>
      <c r="B965" t="s">
        <v>18294</v>
      </c>
      <c r="C965" t="s">
        <v>74</v>
      </c>
      <c r="D965" t="s">
        <v>74</v>
      </c>
      <c r="E965" t="s">
        <v>74</v>
      </c>
      <c r="F965" t="s">
        <v>18295</v>
      </c>
      <c r="G965" t="s">
        <v>74</v>
      </c>
      <c r="H965" t="s">
        <v>74</v>
      </c>
      <c r="I965" t="s">
        <v>18296</v>
      </c>
      <c r="J965" t="s">
        <v>6148</v>
      </c>
      <c r="K965" t="s">
        <v>74</v>
      </c>
      <c r="L965" t="s">
        <v>74</v>
      </c>
      <c r="M965" t="s">
        <v>78</v>
      </c>
      <c r="N965" t="s">
        <v>79</v>
      </c>
      <c r="O965" t="s">
        <v>74</v>
      </c>
      <c r="P965" t="s">
        <v>74</v>
      </c>
      <c r="Q965" t="s">
        <v>74</v>
      </c>
      <c r="R965" t="s">
        <v>74</v>
      </c>
      <c r="S965" t="s">
        <v>74</v>
      </c>
      <c r="T965" t="s">
        <v>18297</v>
      </c>
      <c r="U965" t="s">
        <v>18298</v>
      </c>
      <c r="V965" t="s">
        <v>18299</v>
      </c>
      <c r="W965" t="s">
        <v>18300</v>
      </c>
      <c r="X965" t="s">
        <v>18301</v>
      </c>
      <c r="Y965" t="s">
        <v>18302</v>
      </c>
      <c r="Z965" t="s">
        <v>18303</v>
      </c>
      <c r="AA965" t="s">
        <v>18304</v>
      </c>
      <c r="AB965" t="s">
        <v>18305</v>
      </c>
      <c r="AC965" t="s">
        <v>74</v>
      </c>
      <c r="AD965" t="s">
        <v>74</v>
      </c>
      <c r="AE965" t="s">
        <v>74</v>
      </c>
      <c r="AF965" t="s">
        <v>74</v>
      </c>
      <c r="AG965">
        <v>52</v>
      </c>
      <c r="AH965">
        <v>12</v>
      </c>
      <c r="AI965">
        <v>12</v>
      </c>
      <c r="AJ965">
        <v>2</v>
      </c>
      <c r="AK965">
        <v>27</v>
      </c>
      <c r="AL965" t="s">
        <v>211</v>
      </c>
      <c r="AM965" t="s">
        <v>212</v>
      </c>
      <c r="AN965" t="s">
        <v>213</v>
      </c>
      <c r="AO965" t="s">
        <v>6156</v>
      </c>
      <c r="AP965" t="s">
        <v>6157</v>
      </c>
      <c r="AQ965" t="s">
        <v>74</v>
      </c>
      <c r="AR965" t="s">
        <v>6158</v>
      </c>
      <c r="AS965" t="s">
        <v>6159</v>
      </c>
      <c r="AT965" t="s">
        <v>1033</v>
      </c>
      <c r="AU965">
        <v>2020</v>
      </c>
      <c r="AV965">
        <v>36</v>
      </c>
      <c r="AW965">
        <v>1</v>
      </c>
      <c r="AX965" t="s">
        <v>74</v>
      </c>
      <c r="AY965" t="s">
        <v>74</v>
      </c>
      <c r="AZ965" t="s">
        <v>74</v>
      </c>
      <c r="BA965" t="s">
        <v>74</v>
      </c>
      <c r="BB965">
        <v>116</v>
      </c>
      <c r="BC965">
        <v>135</v>
      </c>
      <c r="BD965" t="s">
        <v>74</v>
      </c>
      <c r="BE965" t="s">
        <v>18306</v>
      </c>
      <c r="BF965" t="str">
        <f>HYPERLINK("http://dx.doi.org/10.1111/mms.12625","http://dx.doi.org/10.1111/mms.12625")</f>
        <v>http://dx.doi.org/10.1111/mms.12625</v>
      </c>
      <c r="BG965" t="s">
        <v>74</v>
      </c>
      <c r="BH965" t="s">
        <v>74</v>
      </c>
      <c r="BI965">
        <v>20</v>
      </c>
      <c r="BJ965" t="s">
        <v>6161</v>
      </c>
      <c r="BK965" t="s">
        <v>103</v>
      </c>
      <c r="BL965" t="s">
        <v>6161</v>
      </c>
      <c r="BM965" t="s">
        <v>18307</v>
      </c>
      <c r="BN965" t="s">
        <v>74</v>
      </c>
      <c r="BO965" t="s">
        <v>74</v>
      </c>
      <c r="BP965" t="s">
        <v>74</v>
      </c>
      <c r="BQ965" t="s">
        <v>74</v>
      </c>
      <c r="BR965" t="s">
        <v>106</v>
      </c>
      <c r="BS965" t="s">
        <v>18308</v>
      </c>
      <c r="BT965" t="str">
        <f>HYPERLINK("https%3A%2F%2Fwww.webofscience.com%2Fwos%2Fwoscc%2Ffull-record%2FWOS:000505577400007","View Full Record in Web of Science")</f>
        <v>View Full Record in Web of Science</v>
      </c>
    </row>
    <row r="966" spans="1:72" x14ac:dyDescent="0.15">
      <c r="A966" t="s">
        <v>72</v>
      </c>
      <c r="B966" t="s">
        <v>18309</v>
      </c>
      <c r="C966" t="s">
        <v>74</v>
      </c>
      <c r="D966" t="s">
        <v>74</v>
      </c>
      <c r="E966" t="s">
        <v>74</v>
      </c>
      <c r="F966" t="s">
        <v>18310</v>
      </c>
      <c r="G966" t="s">
        <v>74</v>
      </c>
      <c r="H966" t="s">
        <v>74</v>
      </c>
      <c r="I966" t="s">
        <v>18311</v>
      </c>
      <c r="J966" t="s">
        <v>13911</v>
      </c>
      <c r="K966" t="s">
        <v>74</v>
      </c>
      <c r="L966" t="s">
        <v>74</v>
      </c>
      <c r="M966" t="s">
        <v>78</v>
      </c>
      <c r="N966" t="s">
        <v>79</v>
      </c>
      <c r="O966" t="s">
        <v>74</v>
      </c>
      <c r="P966" t="s">
        <v>74</v>
      </c>
      <c r="Q966" t="s">
        <v>74</v>
      </c>
      <c r="R966" t="s">
        <v>74</v>
      </c>
      <c r="S966" t="s">
        <v>74</v>
      </c>
      <c r="T966" t="s">
        <v>18312</v>
      </c>
      <c r="U966" t="s">
        <v>18313</v>
      </c>
      <c r="V966" t="s">
        <v>18314</v>
      </c>
      <c r="W966" t="s">
        <v>18315</v>
      </c>
      <c r="X966" t="s">
        <v>18316</v>
      </c>
      <c r="Y966" t="s">
        <v>18317</v>
      </c>
      <c r="Z966" t="s">
        <v>18318</v>
      </c>
      <c r="AA966" t="s">
        <v>18319</v>
      </c>
      <c r="AB966" t="s">
        <v>18320</v>
      </c>
      <c r="AC966" t="s">
        <v>18321</v>
      </c>
      <c r="AD966" t="s">
        <v>18322</v>
      </c>
      <c r="AE966" t="s">
        <v>18323</v>
      </c>
      <c r="AF966" t="s">
        <v>74</v>
      </c>
      <c r="AG966">
        <v>120</v>
      </c>
      <c r="AH966">
        <v>2</v>
      </c>
      <c r="AI966">
        <v>3</v>
      </c>
      <c r="AJ966">
        <v>2</v>
      </c>
      <c r="AK966">
        <v>22</v>
      </c>
      <c r="AL966" t="s">
        <v>2627</v>
      </c>
      <c r="AM966" t="s">
        <v>2628</v>
      </c>
      <c r="AN966" t="s">
        <v>2629</v>
      </c>
      <c r="AO966" t="s">
        <v>13924</v>
      </c>
      <c r="AP966" t="s">
        <v>13925</v>
      </c>
      <c r="AQ966" t="s">
        <v>74</v>
      </c>
      <c r="AR966" t="s">
        <v>13926</v>
      </c>
      <c r="AS966" t="s">
        <v>13927</v>
      </c>
      <c r="AT966" t="s">
        <v>12161</v>
      </c>
      <c r="AU966">
        <v>2020</v>
      </c>
      <c r="AV966">
        <v>52</v>
      </c>
      <c r="AW966">
        <v>1</v>
      </c>
      <c r="AX966" t="s">
        <v>74</v>
      </c>
      <c r="AY966" t="s">
        <v>74</v>
      </c>
      <c r="AZ966" t="s">
        <v>74</v>
      </c>
      <c r="BA966" t="s">
        <v>74</v>
      </c>
      <c r="BB966">
        <v>27</v>
      </c>
      <c r="BC966">
        <v>40</v>
      </c>
      <c r="BD966" t="s">
        <v>74</v>
      </c>
      <c r="BE966" t="s">
        <v>18324</v>
      </c>
      <c r="BF966" t="str">
        <f>HYPERLINK("http://dx.doi.org/10.1080/15230430.2019.1698251","http://dx.doi.org/10.1080/15230430.2019.1698251")</f>
        <v>http://dx.doi.org/10.1080/15230430.2019.1698251</v>
      </c>
      <c r="BG966" t="s">
        <v>74</v>
      </c>
      <c r="BH966" t="s">
        <v>74</v>
      </c>
      <c r="BI966">
        <v>14</v>
      </c>
      <c r="BJ966" t="s">
        <v>13929</v>
      </c>
      <c r="BK966" t="s">
        <v>103</v>
      </c>
      <c r="BL966" t="s">
        <v>1828</v>
      </c>
      <c r="BM966" t="s">
        <v>18325</v>
      </c>
      <c r="BN966" t="s">
        <v>74</v>
      </c>
      <c r="BO966" t="s">
        <v>276</v>
      </c>
      <c r="BP966" t="s">
        <v>74</v>
      </c>
      <c r="BQ966" t="s">
        <v>74</v>
      </c>
      <c r="BR966" t="s">
        <v>106</v>
      </c>
      <c r="BS966" t="s">
        <v>18326</v>
      </c>
      <c r="BT966" t="str">
        <f>HYPERLINK("https%3A%2F%2Fwww.webofscience.com%2Fwos%2Fwoscc%2Ffull-record%2FWOS:000507601100001","View Full Record in Web of Science")</f>
        <v>View Full Record in Web of Science</v>
      </c>
    </row>
    <row r="967" spans="1:72" x14ac:dyDescent="0.15">
      <c r="A967" t="s">
        <v>72</v>
      </c>
      <c r="B967" t="s">
        <v>18327</v>
      </c>
      <c r="C967" t="s">
        <v>74</v>
      </c>
      <c r="D967" t="s">
        <v>74</v>
      </c>
      <c r="E967" t="s">
        <v>74</v>
      </c>
      <c r="F967" t="s">
        <v>18328</v>
      </c>
      <c r="G967" t="s">
        <v>74</v>
      </c>
      <c r="H967" t="s">
        <v>74</v>
      </c>
      <c r="I967" t="s">
        <v>18329</v>
      </c>
      <c r="J967" t="s">
        <v>18330</v>
      </c>
      <c r="K967" t="s">
        <v>74</v>
      </c>
      <c r="L967" t="s">
        <v>74</v>
      </c>
      <c r="M967" t="s">
        <v>78</v>
      </c>
      <c r="N967" t="s">
        <v>79</v>
      </c>
      <c r="O967" t="s">
        <v>74</v>
      </c>
      <c r="P967" t="s">
        <v>74</v>
      </c>
      <c r="Q967" t="s">
        <v>74</v>
      </c>
      <c r="R967" t="s">
        <v>74</v>
      </c>
      <c r="S967" t="s">
        <v>74</v>
      </c>
      <c r="T967" t="s">
        <v>18331</v>
      </c>
      <c r="U967" t="s">
        <v>18332</v>
      </c>
      <c r="V967" t="s">
        <v>18333</v>
      </c>
      <c r="W967" t="s">
        <v>18334</v>
      </c>
      <c r="X967" t="s">
        <v>18335</v>
      </c>
      <c r="Y967" t="s">
        <v>18336</v>
      </c>
      <c r="Z967" t="s">
        <v>18337</v>
      </c>
      <c r="AA967" t="s">
        <v>18338</v>
      </c>
      <c r="AB967" t="s">
        <v>18339</v>
      </c>
      <c r="AC967" t="s">
        <v>18340</v>
      </c>
      <c r="AD967" t="s">
        <v>18341</v>
      </c>
      <c r="AE967" t="s">
        <v>18342</v>
      </c>
      <c r="AF967" t="s">
        <v>74</v>
      </c>
      <c r="AG967">
        <v>50</v>
      </c>
      <c r="AH967">
        <v>17</v>
      </c>
      <c r="AI967">
        <v>18</v>
      </c>
      <c r="AJ967">
        <v>1</v>
      </c>
      <c r="AK967">
        <v>5</v>
      </c>
      <c r="AL967" t="s">
        <v>289</v>
      </c>
      <c r="AM967" t="s">
        <v>290</v>
      </c>
      <c r="AN967" t="s">
        <v>291</v>
      </c>
      <c r="AO967" t="s">
        <v>18343</v>
      </c>
      <c r="AP967" t="s">
        <v>18344</v>
      </c>
      <c r="AQ967" t="s">
        <v>74</v>
      </c>
      <c r="AR967" t="s">
        <v>18345</v>
      </c>
      <c r="AS967" t="s">
        <v>18346</v>
      </c>
      <c r="AT967" t="s">
        <v>1033</v>
      </c>
      <c r="AU967">
        <v>2020</v>
      </c>
      <c r="AV967">
        <v>739</v>
      </c>
      <c r="AW967" t="s">
        <v>74</v>
      </c>
      <c r="AX967" t="s">
        <v>74</v>
      </c>
      <c r="AY967" t="s">
        <v>74</v>
      </c>
      <c r="AZ967" t="s">
        <v>74</v>
      </c>
      <c r="BA967" t="s">
        <v>74</v>
      </c>
      <c r="BB967" t="s">
        <v>74</v>
      </c>
      <c r="BC967" t="s">
        <v>74</v>
      </c>
      <c r="BD967">
        <v>137004</v>
      </c>
      <c r="BE967" t="s">
        <v>18347</v>
      </c>
      <c r="BF967" t="str">
        <f>HYPERLINK("http://dx.doi.org/10.1016/j.cplett.2019.137004","http://dx.doi.org/10.1016/j.cplett.2019.137004")</f>
        <v>http://dx.doi.org/10.1016/j.cplett.2019.137004</v>
      </c>
      <c r="BG967" t="s">
        <v>74</v>
      </c>
      <c r="BH967" t="s">
        <v>74</v>
      </c>
      <c r="BI967">
        <v>5</v>
      </c>
      <c r="BJ967" t="s">
        <v>18348</v>
      </c>
      <c r="BK967" t="s">
        <v>103</v>
      </c>
      <c r="BL967" t="s">
        <v>18349</v>
      </c>
      <c r="BM967" t="s">
        <v>18350</v>
      </c>
      <c r="BN967" t="s">
        <v>74</v>
      </c>
      <c r="BO967" t="s">
        <v>74</v>
      </c>
      <c r="BP967" t="s">
        <v>74</v>
      </c>
      <c r="BQ967" t="s">
        <v>74</v>
      </c>
      <c r="BR967" t="s">
        <v>106</v>
      </c>
      <c r="BS967" t="s">
        <v>18351</v>
      </c>
      <c r="BT967" t="str">
        <f>HYPERLINK("https%3A%2F%2Fwww.webofscience.com%2Fwos%2Fwoscc%2Ffull-record%2FWOS:000507233300088","View Full Record in Web of Science")</f>
        <v>View Full Record in Web of Science</v>
      </c>
    </row>
    <row r="968" spans="1:72" x14ac:dyDescent="0.15">
      <c r="A968" t="s">
        <v>72</v>
      </c>
      <c r="B968" t="s">
        <v>18352</v>
      </c>
      <c r="C968" t="s">
        <v>74</v>
      </c>
      <c r="D968" t="s">
        <v>74</v>
      </c>
      <c r="E968" t="s">
        <v>74</v>
      </c>
      <c r="F968" t="s">
        <v>18353</v>
      </c>
      <c r="G968" t="s">
        <v>74</v>
      </c>
      <c r="H968" t="s">
        <v>74</v>
      </c>
      <c r="I968" t="s">
        <v>18354</v>
      </c>
      <c r="J968" t="s">
        <v>18355</v>
      </c>
      <c r="K968" t="s">
        <v>74</v>
      </c>
      <c r="L968" t="s">
        <v>74</v>
      </c>
      <c r="M968" t="s">
        <v>78</v>
      </c>
      <c r="N968" t="s">
        <v>79</v>
      </c>
      <c r="O968" t="s">
        <v>74</v>
      </c>
      <c r="P968" t="s">
        <v>74</v>
      </c>
      <c r="Q968" t="s">
        <v>74</v>
      </c>
      <c r="R968" t="s">
        <v>74</v>
      </c>
      <c r="S968" t="s">
        <v>74</v>
      </c>
      <c r="T968" t="s">
        <v>18356</v>
      </c>
      <c r="U968" t="s">
        <v>18357</v>
      </c>
      <c r="V968" t="s">
        <v>18358</v>
      </c>
      <c r="W968" t="s">
        <v>18359</v>
      </c>
      <c r="X968" t="s">
        <v>18360</v>
      </c>
      <c r="Y968" t="s">
        <v>18361</v>
      </c>
      <c r="Z968" t="s">
        <v>2047</v>
      </c>
      <c r="AA968" t="s">
        <v>18362</v>
      </c>
      <c r="AB968" t="s">
        <v>18363</v>
      </c>
      <c r="AC968" t="s">
        <v>18364</v>
      </c>
      <c r="AD968" t="s">
        <v>18365</v>
      </c>
      <c r="AE968" t="s">
        <v>18366</v>
      </c>
      <c r="AF968" t="s">
        <v>74</v>
      </c>
      <c r="AG968">
        <v>91</v>
      </c>
      <c r="AH968">
        <v>8</v>
      </c>
      <c r="AI968">
        <v>8</v>
      </c>
      <c r="AJ968">
        <v>2</v>
      </c>
      <c r="AK968">
        <v>46</v>
      </c>
      <c r="AL968" t="s">
        <v>265</v>
      </c>
      <c r="AM968" t="s">
        <v>266</v>
      </c>
      <c r="AN968" t="s">
        <v>267</v>
      </c>
      <c r="AO968" t="s">
        <v>18367</v>
      </c>
      <c r="AP968" t="s">
        <v>18368</v>
      </c>
      <c r="AQ968" t="s">
        <v>74</v>
      </c>
      <c r="AR968" t="s">
        <v>18369</v>
      </c>
      <c r="AS968" t="s">
        <v>18370</v>
      </c>
      <c r="AT968" t="s">
        <v>1033</v>
      </c>
      <c r="AU968">
        <v>2020</v>
      </c>
      <c r="AV968">
        <v>86</v>
      </c>
      <c r="AW968">
        <v>1</v>
      </c>
      <c r="AX968" t="s">
        <v>74</v>
      </c>
      <c r="AY968" t="s">
        <v>74</v>
      </c>
      <c r="AZ968" t="s">
        <v>74</v>
      </c>
      <c r="BA968" t="s">
        <v>74</v>
      </c>
      <c r="BB968" t="s">
        <v>74</v>
      </c>
      <c r="BC968" t="s">
        <v>74</v>
      </c>
      <c r="BD968" t="s">
        <v>18371</v>
      </c>
      <c r="BE968" t="s">
        <v>18372</v>
      </c>
      <c r="BF968" t="str">
        <f>HYPERLINK("http://dx.doi.org/10.1128/AEM.01968-19","http://dx.doi.org/10.1128/AEM.01968-19")</f>
        <v>http://dx.doi.org/10.1128/AEM.01968-19</v>
      </c>
      <c r="BG968" t="s">
        <v>74</v>
      </c>
      <c r="BH968" t="s">
        <v>74</v>
      </c>
      <c r="BI968">
        <v>15</v>
      </c>
      <c r="BJ968" t="s">
        <v>8935</v>
      </c>
      <c r="BK968" t="s">
        <v>103</v>
      </c>
      <c r="BL968" t="s">
        <v>8935</v>
      </c>
      <c r="BM968" t="s">
        <v>18373</v>
      </c>
      <c r="BN968">
        <v>31628145</v>
      </c>
      <c r="BO968" t="s">
        <v>6205</v>
      </c>
      <c r="BP968" t="s">
        <v>74</v>
      </c>
      <c r="BQ968" t="s">
        <v>74</v>
      </c>
      <c r="BR968" t="s">
        <v>106</v>
      </c>
      <c r="BS968" t="s">
        <v>18374</v>
      </c>
      <c r="BT968" t="str">
        <f>HYPERLINK("https%3A%2F%2Fwww.webofscience.com%2Fwos%2Fwoscc%2Ffull-record%2FWOS:000507382000008","View Full Record in Web of Science")</f>
        <v>View Full Record in Web of Science</v>
      </c>
    </row>
    <row r="969" spans="1:72" x14ac:dyDescent="0.15">
      <c r="A969" t="s">
        <v>72</v>
      </c>
      <c r="B969" t="s">
        <v>18375</v>
      </c>
      <c r="C969" t="s">
        <v>74</v>
      </c>
      <c r="D969" t="s">
        <v>74</v>
      </c>
      <c r="E969" t="s">
        <v>74</v>
      </c>
      <c r="F969" t="s">
        <v>18376</v>
      </c>
      <c r="G969" t="s">
        <v>74</v>
      </c>
      <c r="H969" t="s">
        <v>74</v>
      </c>
      <c r="I969" t="s">
        <v>18377</v>
      </c>
      <c r="J969" t="s">
        <v>13911</v>
      </c>
      <c r="K969" t="s">
        <v>74</v>
      </c>
      <c r="L969" t="s">
        <v>74</v>
      </c>
      <c r="M969" t="s">
        <v>78</v>
      </c>
      <c r="N969" t="s">
        <v>79</v>
      </c>
      <c r="O969" t="s">
        <v>74</v>
      </c>
      <c r="P969" t="s">
        <v>74</v>
      </c>
      <c r="Q969" t="s">
        <v>74</v>
      </c>
      <c r="R969" t="s">
        <v>74</v>
      </c>
      <c r="S969" t="s">
        <v>74</v>
      </c>
      <c r="T969" t="s">
        <v>18378</v>
      </c>
      <c r="U969" t="s">
        <v>18379</v>
      </c>
      <c r="V969" t="s">
        <v>18380</v>
      </c>
      <c r="W969" t="s">
        <v>18381</v>
      </c>
      <c r="X969" t="s">
        <v>18382</v>
      </c>
      <c r="Y969" t="s">
        <v>18383</v>
      </c>
      <c r="Z969" t="s">
        <v>18384</v>
      </c>
      <c r="AA969" t="s">
        <v>74</v>
      </c>
      <c r="AB969" t="s">
        <v>18385</v>
      </c>
      <c r="AC969" t="s">
        <v>18386</v>
      </c>
      <c r="AD969" t="s">
        <v>18387</v>
      </c>
      <c r="AE969" t="s">
        <v>18388</v>
      </c>
      <c r="AF969" t="s">
        <v>74</v>
      </c>
      <c r="AG969">
        <v>42</v>
      </c>
      <c r="AH969">
        <v>5</v>
      </c>
      <c r="AI969">
        <v>7</v>
      </c>
      <c r="AJ969">
        <v>4</v>
      </c>
      <c r="AK969">
        <v>38</v>
      </c>
      <c r="AL969" t="s">
        <v>2627</v>
      </c>
      <c r="AM969" t="s">
        <v>2628</v>
      </c>
      <c r="AN969" t="s">
        <v>2629</v>
      </c>
      <c r="AO969" t="s">
        <v>13924</v>
      </c>
      <c r="AP969" t="s">
        <v>13925</v>
      </c>
      <c r="AQ969" t="s">
        <v>74</v>
      </c>
      <c r="AR969" t="s">
        <v>13926</v>
      </c>
      <c r="AS969" t="s">
        <v>13927</v>
      </c>
      <c r="AT969" t="s">
        <v>12161</v>
      </c>
      <c r="AU969">
        <v>2020</v>
      </c>
      <c r="AV969">
        <v>52</v>
      </c>
      <c r="AW969">
        <v>1</v>
      </c>
      <c r="AX969" t="s">
        <v>74</v>
      </c>
      <c r="AY969" t="s">
        <v>74</v>
      </c>
      <c r="AZ969" t="s">
        <v>74</v>
      </c>
      <c r="BA969" t="s">
        <v>74</v>
      </c>
      <c r="BB969">
        <v>1</v>
      </c>
      <c r="BC969">
        <v>12</v>
      </c>
      <c r="BD969" t="s">
        <v>74</v>
      </c>
      <c r="BE969" t="s">
        <v>18389</v>
      </c>
      <c r="BF969" t="str">
        <f>HYPERLINK("http://dx.doi.org/10.1080/15230430.2019.1698893","http://dx.doi.org/10.1080/15230430.2019.1698893")</f>
        <v>http://dx.doi.org/10.1080/15230430.2019.1698893</v>
      </c>
      <c r="BG969" t="s">
        <v>74</v>
      </c>
      <c r="BH969" t="s">
        <v>74</v>
      </c>
      <c r="BI969">
        <v>12</v>
      </c>
      <c r="BJ969" t="s">
        <v>13929</v>
      </c>
      <c r="BK969" t="s">
        <v>103</v>
      </c>
      <c r="BL969" t="s">
        <v>1828</v>
      </c>
      <c r="BM969" t="s">
        <v>18390</v>
      </c>
      <c r="BN969" t="s">
        <v>74</v>
      </c>
      <c r="BO969" t="s">
        <v>2592</v>
      </c>
      <c r="BP969" t="s">
        <v>74</v>
      </c>
      <c r="BQ969" t="s">
        <v>74</v>
      </c>
      <c r="BR969" t="s">
        <v>106</v>
      </c>
      <c r="BS969" t="s">
        <v>18391</v>
      </c>
      <c r="BT969" t="str">
        <f>HYPERLINK("https%3A%2F%2Fwww.webofscience.com%2Fwos%2Fwoscc%2Ffull-record%2FWOS:000507604100001","View Full Record in Web of Science")</f>
        <v>View Full Record in Web of Science</v>
      </c>
    </row>
    <row r="970" spans="1:72" x14ac:dyDescent="0.15">
      <c r="A970" t="s">
        <v>72</v>
      </c>
      <c r="B970" t="s">
        <v>18392</v>
      </c>
      <c r="C970" t="s">
        <v>74</v>
      </c>
      <c r="D970" t="s">
        <v>74</v>
      </c>
      <c r="E970" t="s">
        <v>74</v>
      </c>
      <c r="F970" t="s">
        <v>18393</v>
      </c>
      <c r="G970" t="s">
        <v>74</v>
      </c>
      <c r="H970" t="s">
        <v>74</v>
      </c>
      <c r="I970" t="s">
        <v>18394</v>
      </c>
      <c r="J970" t="s">
        <v>13911</v>
      </c>
      <c r="K970" t="s">
        <v>74</v>
      </c>
      <c r="L970" t="s">
        <v>74</v>
      </c>
      <c r="M970" t="s">
        <v>78</v>
      </c>
      <c r="N970" t="s">
        <v>79</v>
      </c>
      <c r="O970" t="s">
        <v>74</v>
      </c>
      <c r="P970" t="s">
        <v>74</v>
      </c>
      <c r="Q970" t="s">
        <v>74</v>
      </c>
      <c r="R970" t="s">
        <v>74</v>
      </c>
      <c r="S970" t="s">
        <v>74</v>
      </c>
      <c r="T970" t="s">
        <v>18395</v>
      </c>
      <c r="U970" t="s">
        <v>18396</v>
      </c>
      <c r="V970" t="s">
        <v>18397</v>
      </c>
      <c r="W970" t="s">
        <v>18398</v>
      </c>
      <c r="X970" t="s">
        <v>18399</v>
      </c>
      <c r="Y970" t="s">
        <v>18400</v>
      </c>
      <c r="Z970" t="s">
        <v>18401</v>
      </c>
      <c r="AA970" t="s">
        <v>18402</v>
      </c>
      <c r="AB970" t="s">
        <v>18403</v>
      </c>
      <c r="AC970" t="s">
        <v>18404</v>
      </c>
      <c r="AD970" t="s">
        <v>18405</v>
      </c>
      <c r="AE970" t="s">
        <v>18406</v>
      </c>
      <c r="AF970" t="s">
        <v>74</v>
      </c>
      <c r="AG970">
        <v>46</v>
      </c>
      <c r="AH970">
        <v>11</v>
      </c>
      <c r="AI970">
        <v>11</v>
      </c>
      <c r="AJ970">
        <v>4</v>
      </c>
      <c r="AK970">
        <v>23</v>
      </c>
      <c r="AL970" t="s">
        <v>2627</v>
      </c>
      <c r="AM970" t="s">
        <v>2628</v>
      </c>
      <c r="AN970" t="s">
        <v>2629</v>
      </c>
      <c r="AO970" t="s">
        <v>13924</v>
      </c>
      <c r="AP970" t="s">
        <v>13925</v>
      </c>
      <c r="AQ970" t="s">
        <v>74</v>
      </c>
      <c r="AR970" t="s">
        <v>13926</v>
      </c>
      <c r="AS970" t="s">
        <v>13927</v>
      </c>
      <c r="AT970" t="s">
        <v>12161</v>
      </c>
      <c r="AU970">
        <v>2020</v>
      </c>
      <c r="AV970">
        <v>52</v>
      </c>
      <c r="AW970">
        <v>1</v>
      </c>
      <c r="AX970" t="s">
        <v>74</v>
      </c>
      <c r="AY970" t="s">
        <v>74</v>
      </c>
      <c r="AZ970" t="s">
        <v>74</v>
      </c>
      <c r="BA970" t="s">
        <v>74</v>
      </c>
      <c r="BB970">
        <v>13</v>
      </c>
      <c r="BC970">
        <v>26</v>
      </c>
      <c r="BD970" t="s">
        <v>74</v>
      </c>
      <c r="BE970" t="s">
        <v>18407</v>
      </c>
      <c r="BF970" t="str">
        <f>HYPERLINK("http://dx.doi.org/10.1080/15230430.2019.1704347","http://dx.doi.org/10.1080/15230430.2019.1704347")</f>
        <v>http://dx.doi.org/10.1080/15230430.2019.1704347</v>
      </c>
      <c r="BG970" t="s">
        <v>74</v>
      </c>
      <c r="BH970" t="s">
        <v>74</v>
      </c>
      <c r="BI970">
        <v>14</v>
      </c>
      <c r="BJ970" t="s">
        <v>13929</v>
      </c>
      <c r="BK970" t="s">
        <v>103</v>
      </c>
      <c r="BL970" t="s">
        <v>1828</v>
      </c>
      <c r="BM970" t="s">
        <v>18408</v>
      </c>
      <c r="BN970" t="s">
        <v>74</v>
      </c>
      <c r="BO970" t="s">
        <v>2592</v>
      </c>
      <c r="BP970" t="s">
        <v>74</v>
      </c>
      <c r="BQ970" t="s">
        <v>74</v>
      </c>
      <c r="BR970" t="s">
        <v>106</v>
      </c>
      <c r="BS970" t="s">
        <v>18409</v>
      </c>
      <c r="BT970" t="str">
        <f>HYPERLINK("https%3A%2F%2Fwww.webofscience.com%2Fwos%2Fwoscc%2Ffull-record%2FWOS:000507602800001","View Full Record in Web of Science")</f>
        <v>View Full Record in Web of Science</v>
      </c>
    </row>
    <row r="971" spans="1:72" x14ac:dyDescent="0.15">
      <c r="A971" t="s">
        <v>72</v>
      </c>
      <c r="B971" t="s">
        <v>18410</v>
      </c>
      <c r="C971" t="s">
        <v>74</v>
      </c>
      <c r="D971" t="s">
        <v>74</v>
      </c>
      <c r="E971" t="s">
        <v>74</v>
      </c>
      <c r="F971" t="s">
        <v>18411</v>
      </c>
      <c r="G971" t="s">
        <v>74</v>
      </c>
      <c r="H971" t="s">
        <v>74</v>
      </c>
      <c r="I971" t="s">
        <v>18412</v>
      </c>
      <c r="J971" t="s">
        <v>13911</v>
      </c>
      <c r="K971" t="s">
        <v>74</v>
      </c>
      <c r="L971" t="s">
        <v>74</v>
      </c>
      <c r="M971" t="s">
        <v>78</v>
      </c>
      <c r="N971" t="s">
        <v>79</v>
      </c>
      <c r="O971" t="s">
        <v>74</v>
      </c>
      <c r="P971" t="s">
        <v>74</v>
      </c>
      <c r="Q971" t="s">
        <v>74</v>
      </c>
      <c r="R971" t="s">
        <v>74</v>
      </c>
      <c r="S971" t="s">
        <v>74</v>
      </c>
      <c r="T971" t="s">
        <v>18413</v>
      </c>
      <c r="U971" t="s">
        <v>18414</v>
      </c>
      <c r="V971" t="s">
        <v>18415</v>
      </c>
      <c r="W971" t="s">
        <v>18416</v>
      </c>
      <c r="X971" t="s">
        <v>18417</v>
      </c>
      <c r="Y971" t="s">
        <v>18418</v>
      </c>
      <c r="Z971" t="s">
        <v>18419</v>
      </c>
      <c r="AA971" t="s">
        <v>74</v>
      </c>
      <c r="AB971" t="s">
        <v>18420</v>
      </c>
      <c r="AC971" t="s">
        <v>18421</v>
      </c>
      <c r="AD971" t="s">
        <v>18422</v>
      </c>
      <c r="AE971" t="s">
        <v>18423</v>
      </c>
      <c r="AF971" t="s">
        <v>74</v>
      </c>
      <c r="AG971">
        <v>46</v>
      </c>
      <c r="AH971">
        <v>8</v>
      </c>
      <c r="AI971">
        <v>8</v>
      </c>
      <c r="AJ971">
        <v>4</v>
      </c>
      <c r="AK971">
        <v>22</v>
      </c>
      <c r="AL971" t="s">
        <v>2627</v>
      </c>
      <c r="AM971" t="s">
        <v>2628</v>
      </c>
      <c r="AN971" t="s">
        <v>2629</v>
      </c>
      <c r="AO971" t="s">
        <v>13924</v>
      </c>
      <c r="AP971" t="s">
        <v>13925</v>
      </c>
      <c r="AQ971" t="s">
        <v>74</v>
      </c>
      <c r="AR971" t="s">
        <v>13926</v>
      </c>
      <c r="AS971" t="s">
        <v>13927</v>
      </c>
      <c r="AT971" t="s">
        <v>12161</v>
      </c>
      <c r="AU971">
        <v>2020</v>
      </c>
      <c r="AV971">
        <v>52</v>
      </c>
      <c r="AW971">
        <v>1</v>
      </c>
      <c r="AX971" t="s">
        <v>74</v>
      </c>
      <c r="AY971" t="s">
        <v>74</v>
      </c>
      <c r="AZ971" t="s">
        <v>74</v>
      </c>
      <c r="BA971" t="s">
        <v>74</v>
      </c>
      <c r="BB971">
        <v>41</v>
      </c>
      <c r="BC971">
        <v>46</v>
      </c>
      <c r="BD971" t="s">
        <v>74</v>
      </c>
      <c r="BE971" t="s">
        <v>18424</v>
      </c>
      <c r="BF971" t="str">
        <f>HYPERLINK("http://dx.doi.org/10.1080/15230430.2019.1698894","http://dx.doi.org/10.1080/15230430.2019.1698894")</f>
        <v>http://dx.doi.org/10.1080/15230430.2019.1698894</v>
      </c>
      <c r="BG971" t="s">
        <v>74</v>
      </c>
      <c r="BH971" t="s">
        <v>74</v>
      </c>
      <c r="BI971">
        <v>6</v>
      </c>
      <c r="BJ971" t="s">
        <v>13929</v>
      </c>
      <c r="BK971" t="s">
        <v>103</v>
      </c>
      <c r="BL971" t="s">
        <v>1828</v>
      </c>
      <c r="BM971" t="s">
        <v>18425</v>
      </c>
      <c r="BN971" t="s">
        <v>74</v>
      </c>
      <c r="BO971" t="s">
        <v>2592</v>
      </c>
      <c r="BP971" t="s">
        <v>74</v>
      </c>
      <c r="BQ971" t="s">
        <v>74</v>
      </c>
      <c r="BR971" t="s">
        <v>106</v>
      </c>
      <c r="BS971" t="s">
        <v>18426</v>
      </c>
      <c r="BT971" t="str">
        <f>HYPERLINK("https%3A%2F%2Fwww.webofscience.com%2Fwos%2Fwoscc%2Ffull-record%2FWOS:000507605200001","View Full Record in Web of Science")</f>
        <v>View Full Record in Web of Science</v>
      </c>
    </row>
    <row r="972" spans="1:72" x14ac:dyDescent="0.15">
      <c r="A972" t="s">
        <v>72</v>
      </c>
      <c r="B972" t="s">
        <v>18427</v>
      </c>
      <c r="C972" t="s">
        <v>74</v>
      </c>
      <c r="D972" t="s">
        <v>74</v>
      </c>
      <c r="E972" t="s">
        <v>74</v>
      </c>
      <c r="F972" t="s">
        <v>18428</v>
      </c>
      <c r="G972" t="s">
        <v>74</v>
      </c>
      <c r="H972" t="s">
        <v>74</v>
      </c>
      <c r="I972" t="s">
        <v>18429</v>
      </c>
      <c r="J972" t="s">
        <v>18430</v>
      </c>
      <c r="K972" t="s">
        <v>74</v>
      </c>
      <c r="L972" t="s">
        <v>74</v>
      </c>
      <c r="M972" t="s">
        <v>78</v>
      </c>
      <c r="N972" t="s">
        <v>79</v>
      </c>
      <c r="O972" t="s">
        <v>74</v>
      </c>
      <c r="P972" t="s">
        <v>74</v>
      </c>
      <c r="Q972" t="s">
        <v>74</v>
      </c>
      <c r="R972" t="s">
        <v>74</v>
      </c>
      <c r="S972" t="s">
        <v>74</v>
      </c>
      <c r="T972" t="s">
        <v>18431</v>
      </c>
      <c r="U972" t="s">
        <v>18432</v>
      </c>
      <c r="V972" t="s">
        <v>18433</v>
      </c>
      <c r="W972" t="s">
        <v>18434</v>
      </c>
      <c r="X972" t="s">
        <v>18435</v>
      </c>
      <c r="Y972" t="s">
        <v>18436</v>
      </c>
      <c r="Z972" t="s">
        <v>18437</v>
      </c>
      <c r="AA972" t="s">
        <v>18438</v>
      </c>
      <c r="AB972" t="s">
        <v>18439</v>
      </c>
      <c r="AC972" t="s">
        <v>74</v>
      </c>
      <c r="AD972" t="s">
        <v>74</v>
      </c>
      <c r="AE972" t="s">
        <v>74</v>
      </c>
      <c r="AF972" t="s">
        <v>74</v>
      </c>
      <c r="AG972">
        <v>41</v>
      </c>
      <c r="AH972">
        <v>118</v>
      </c>
      <c r="AI972">
        <v>130</v>
      </c>
      <c r="AJ972">
        <v>0</v>
      </c>
      <c r="AK972">
        <v>31</v>
      </c>
      <c r="AL972" t="s">
        <v>211</v>
      </c>
      <c r="AM972" t="s">
        <v>212</v>
      </c>
      <c r="AN972" t="s">
        <v>213</v>
      </c>
      <c r="AO972" t="s">
        <v>18440</v>
      </c>
      <c r="AP972" t="s">
        <v>18441</v>
      </c>
      <c r="AQ972" t="s">
        <v>74</v>
      </c>
      <c r="AR972" t="s">
        <v>18442</v>
      </c>
      <c r="AS972" t="s">
        <v>18443</v>
      </c>
      <c r="AT972" t="s">
        <v>1033</v>
      </c>
      <c r="AU972">
        <v>2020</v>
      </c>
      <c r="AV972">
        <v>89</v>
      </c>
      <c r="AW972">
        <v>1</v>
      </c>
      <c r="AX972" t="s">
        <v>74</v>
      </c>
      <c r="AY972" t="s">
        <v>74</v>
      </c>
      <c r="AZ972" t="s">
        <v>74</v>
      </c>
      <c r="BA972" t="s">
        <v>74</v>
      </c>
      <c r="BB972">
        <v>221</v>
      </c>
      <c r="BC972">
        <v>236</v>
      </c>
      <c r="BD972" t="s">
        <v>74</v>
      </c>
      <c r="BE972" t="s">
        <v>18444</v>
      </c>
      <c r="BF972" t="str">
        <f>HYPERLINK("http://dx.doi.org/10.1111/1365-2656.13036","http://dx.doi.org/10.1111/1365-2656.13036")</f>
        <v>http://dx.doi.org/10.1111/1365-2656.13036</v>
      </c>
      <c r="BG972" t="s">
        <v>74</v>
      </c>
      <c r="BH972" t="s">
        <v>74</v>
      </c>
      <c r="BI972">
        <v>16</v>
      </c>
      <c r="BJ972" t="s">
        <v>18445</v>
      </c>
      <c r="BK972" t="s">
        <v>103</v>
      </c>
      <c r="BL972" t="s">
        <v>18446</v>
      </c>
      <c r="BM972" t="s">
        <v>18447</v>
      </c>
      <c r="BN972">
        <v>31190329</v>
      </c>
      <c r="BO972" t="s">
        <v>461</v>
      </c>
      <c r="BP972" t="s">
        <v>1869</v>
      </c>
      <c r="BQ972" t="s">
        <v>1870</v>
      </c>
      <c r="BR972" t="s">
        <v>106</v>
      </c>
      <c r="BS972" t="s">
        <v>18448</v>
      </c>
      <c r="BT972" t="str">
        <f>HYPERLINK("https%3A%2F%2Fwww.webofscience.com%2Fwos%2Fwoscc%2Ffull-record%2FWOS:000506707800019","View Full Record in Web of Science")</f>
        <v>View Full Record in Web of Science</v>
      </c>
    </row>
    <row r="973" spans="1:72" x14ac:dyDescent="0.15">
      <c r="A973" t="s">
        <v>72</v>
      </c>
      <c r="B973" t="s">
        <v>18449</v>
      </c>
      <c r="C973" t="s">
        <v>74</v>
      </c>
      <c r="D973" t="s">
        <v>74</v>
      </c>
      <c r="E973" t="s">
        <v>74</v>
      </c>
      <c r="F973" t="s">
        <v>18450</v>
      </c>
      <c r="G973" t="s">
        <v>74</v>
      </c>
      <c r="H973" t="s">
        <v>74</v>
      </c>
      <c r="I973" t="s">
        <v>18451</v>
      </c>
      <c r="J973" t="s">
        <v>4603</v>
      </c>
      <c r="K973" t="s">
        <v>74</v>
      </c>
      <c r="L973" t="s">
        <v>74</v>
      </c>
      <c r="M973" t="s">
        <v>78</v>
      </c>
      <c r="N973" t="s">
        <v>79</v>
      </c>
      <c r="O973" t="s">
        <v>74</v>
      </c>
      <c r="P973" t="s">
        <v>74</v>
      </c>
      <c r="Q973" t="s">
        <v>74</v>
      </c>
      <c r="R973" t="s">
        <v>74</v>
      </c>
      <c r="S973" t="s">
        <v>74</v>
      </c>
      <c r="T973" t="s">
        <v>74</v>
      </c>
      <c r="U973" t="s">
        <v>18452</v>
      </c>
      <c r="V973" t="s">
        <v>18453</v>
      </c>
      <c r="W973" t="s">
        <v>18454</v>
      </c>
      <c r="X973" t="s">
        <v>18455</v>
      </c>
      <c r="Y973" t="s">
        <v>18456</v>
      </c>
      <c r="Z973" t="s">
        <v>18457</v>
      </c>
      <c r="AA973" t="s">
        <v>18458</v>
      </c>
      <c r="AB973" t="s">
        <v>18459</v>
      </c>
      <c r="AC973" t="s">
        <v>18460</v>
      </c>
      <c r="AD973" t="s">
        <v>18461</v>
      </c>
      <c r="AE973" t="s">
        <v>18462</v>
      </c>
      <c r="AF973" t="s">
        <v>74</v>
      </c>
      <c r="AG973">
        <v>83</v>
      </c>
      <c r="AH973">
        <v>9</v>
      </c>
      <c r="AI973">
        <v>10</v>
      </c>
      <c r="AJ973">
        <v>0</v>
      </c>
      <c r="AK973">
        <v>8</v>
      </c>
      <c r="AL973" t="s">
        <v>4615</v>
      </c>
      <c r="AM973" t="s">
        <v>4616</v>
      </c>
      <c r="AN973" t="s">
        <v>4617</v>
      </c>
      <c r="AO973" t="s">
        <v>4618</v>
      </c>
      <c r="AP973" t="s">
        <v>4619</v>
      </c>
      <c r="AQ973" t="s">
        <v>74</v>
      </c>
      <c r="AR973" t="s">
        <v>4620</v>
      </c>
      <c r="AS973" t="s">
        <v>4621</v>
      </c>
      <c r="AT973" t="s">
        <v>17236</v>
      </c>
      <c r="AU973">
        <v>2020</v>
      </c>
      <c r="AV973">
        <v>132</v>
      </c>
      <c r="AW973" t="s">
        <v>3085</v>
      </c>
      <c r="AX973" t="s">
        <v>74</v>
      </c>
      <c r="AY973" t="s">
        <v>74</v>
      </c>
      <c r="AZ973" t="s">
        <v>74</v>
      </c>
      <c r="BA973" t="s">
        <v>74</v>
      </c>
      <c r="BB973">
        <v>31</v>
      </c>
      <c r="BC973">
        <v>47</v>
      </c>
      <c r="BD973" t="s">
        <v>74</v>
      </c>
      <c r="BE973" t="s">
        <v>18463</v>
      </c>
      <c r="BF973" t="str">
        <f>HYPERLINK("http://dx.doi.org/10.1130/B35139.1","http://dx.doi.org/10.1130/B35139.1")</f>
        <v>http://dx.doi.org/10.1130/B35139.1</v>
      </c>
      <c r="BG973" t="s">
        <v>74</v>
      </c>
      <c r="BH973" t="s">
        <v>74</v>
      </c>
      <c r="BI973">
        <v>17</v>
      </c>
      <c r="BJ973" t="s">
        <v>246</v>
      </c>
      <c r="BK973" t="s">
        <v>103</v>
      </c>
      <c r="BL973" t="s">
        <v>247</v>
      </c>
      <c r="BM973" t="s">
        <v>18464</v>
      </c>
      <c r="BN973" t="s">
        <v>74</v>
      </c>
      <c r="BO973" t="s">
        <v>74</v>
      </c>
      <c r="BP973" t="s">
        <v>74</v>
      </c>
      <c r="BQ973" t="s">
        <v>74</v>
      </c>
      <c r="BR973" t="s">
        <v>106</v>
      </c>
      <c r="BS973" t="s">
        <v>18465</v>
      </c>
      <c r="BT973" t="str">
        <f>HYPERLINK("https%3A%2F%2Fwww.webofscience.com%2Fwos%2Fwoscc%2Ffull-record%2FWOS:000505809800003","View Full Record in Web of Science")</f>
        <v>View Full Record in Web of Science</v>
      </c>
    </row>
    <row r="974" spans="1:72" x14ac:dyDescent="0.15">
      <c r="A974" t="s">
        <v>72</v>
      </c>
      <c r="B974" t="s">
        <v>18466</v>
      </c>
      <c r="C974" t="s">
        <v>74</v>
      </c>
      <c r="D974" t="s">
        <v>74</v>
      </c>
      <c r="E974" t="s">
        <v>74</v>
      </c>
      <c r="F974" t="s">
        <v>18467</v>
      </c>
      <c r="G974" t="s">
        <v>74</v>
      </c>
      <c r="H974" t="s">
        <v>74</v>
      </c>
      <c r="I974" t="s">
        <v>18468</v>
      </c>
      <c r="J974" t="s">
        <v>4603</v>
      </c>
      <c r="K974" t="s">
        <v>74</v>
      </c>
      <c r="L974" t="s">
        <v>74</v>
      </c>
      <c r="M974" t="s">
        <v>78</v>
      </c>
      <c r="N974" t="s">
        <v>79</v>
      </c>
      <c r="O974" t="s">
        <v>74</v>
      </c>
      <c r="P974" t="s">
        <v>74</v>
      </c>
      <c r="Q974" t="s">
        <v>74</v>
      </c>
      <c r="R974" t="s">
        <v>74</v>
      </c>
      <c r="S974" t="s">
        <v>74</v>
      </c>
      <c r="T974" t="s">
        <v>74</v>
      </c>
      <c r="U974" t="s">
        <v>18469</v>
      </c>
      <c r="V974" t="s">
        <v>18470</v>
      </c>
      <c r="W974" t="s">
        <v>18471</v>
      </c>
      <c r="X974" t="s">
        <v>18472</v>
      </c>
      <c r="Y974" t="s">
        <v>18473</v>
      </c>
      <c r="Z974" t="s">
        <v>18474</v>
      </c>
      <c r="AA974" t="s">
        <v>18475</v>
      </c>
      <c r="AB974" t="s">
        <v>74</v>
      </c>
      <c r="AC974" t="s">
        <v>18476</v>
      </c>
      <c r="AD974" t="s">
        <v>18477</v>
      </c>
      <c r="AE974" t="s">
        <v>18478</v>
      </c>
      <c r="AF974" t="s">
        <v>74</v>
      </c>
      <c r="AG974">
        <v>78</v>
      </c>
      <c r="AH974">
        <v>5</v>
      </c>
      <c r="AI974">
        <v>6</v>
      </c>
      <c r="AJ974">
        <v>0</v>
      </c>
      <c r="AK974">
        <v>10</v>
      </c>
      <c r="AL974" t="s">
        <v>4615</v>
      </c>
      <c r="AM974" t="s">
        <v>4616</v>
      </c>
      <c r="AN974" t="s">
        <v>4617</v>
      </c>
      <c r="AO974" t="s">
        <v>4618</v>
      </c>
      <c r="AP974" t="s">
        <v>4619</v>
      </c>
      <c r="AQ974" t="s">
        <v>74</v>
      </c>
      <c r="AR974" t="s">
        <v>4620</v>
      </c>
      <c r="AS974" t="s">
        <v>4621</v>
      </c>
      <c r="AT974" t="s">
        <v>17236</v>
      </c>
      <c r="AU974">
        <v>2020</v>
      </c>
      <c r="AV974">
        <v>132</v>
      </c>
      <c r="AW974" t="s">
        <v>3085</v>
      </c>
      <c r="AX974" t="s">
        <v>74</v>
      </c>
      <c r="AY974" t="s">
        <v>74</v>
      </c>
      <c r="AZ974" t="s">
        <v>74</v>
      </c>
      <c r="BA974" t="s">
        <v>74</v>
      </c>
      <c r="BB974">
        <v>373</v>
      </c>
      <c r="BC974">
        <v>388</v>
      </c>
      <c r="BD974" t="s">
        <v>74</v>
      </c>
      <c r="BE974" t="s">
        <v>18479</v>
      </c>
      <c r="BF974" t="str">
        <f>HYPERLINK("http://dx.doi.org/10.1130/B35184.1","http://dx.doi.org/10.1130/B35184.1")</f>
        <v>http://dx.doi.org/10.1130/B35184.1</v>
      </c>
      <c r="BG974" t="s">
        <v>74</v>
      </c>
      <c r="BH974" t="s">
        <v>74</v>
      </c>
      <c r="BI974">
        <v>16</v>
      </c>
      <c r="BJ974" t="s">
        <v>246</v>
      </c>
      <c r="BK974" t="s">
        <v>103</v>
      </c>
      <c r="BL974" t="s">
        <v>247</v>
      </c>
      <c r="BM974" t="s">
        <v>18464</v>
      </c>
      <c r="BN974" t="s">
        <v>74</v>
      </c>
      <c r="BO974" t="s">
        <v>694</v>
      </c>
      <c r="BP974" t="s">
        <v>74</v>
      </c>
      <c r="BQ974" t="s">
        <v>74</v>
      </c>
      <c r="BR974" t="s">
        <v>106</v>
      </c>
      <c r="BS974" t="s">
        <v>18480</v>
      </c>
      <c r="BT974" t="str">
        <f>HYPERLINK("https%3A%2F%2Fwww.webofscience.com%2Fwos%2Fwoscc%2Ffull-record%2FWOS:000505809800021","View Full Record in Web of Science")</f>
        <v>View Full Record in Web of Science</v>
      </c>
    </row>
    <row r="975" spans="1:72" x14ac:dyDescent="0.15">
      <c r="A975" t="s">
        <v>72</v>
      </c>
      <c r="B975" t="s">
        <v>18481</v>
      </c>
      <c r="C975" t="s">
        <v>74</v>
      </c>
      <c r="D975" t="s">
        <v>74</v>
      </c>
      <c r="E975" t="s">
        <v>74</v>
      </c>
      <c r="F975" t="s">
        <v>18482</v>
      </c>
      <c r="G975" t="s">
        <v>74</v>
      </c>
      <c r="H975" t="s">
        <v>74</v>
      </c>
      <c r="I975" t="s">
        <v>18483</v>
      </c>
      <c r="J975" t="s">
        <v>18484</v>
      </c>
      <c r="K975" t="s">
        <v>74</v>
      </c>
      <c r="L975" t="s">
        <v>74</v>
      </c>
      <c r="M975" t="s">
        <v>78</v>
      </c>
      <c r="N975" t="s">
        <v>79</v>
      </c>
      <c r="O975" t="s">
        <v>74</v>
      </c>
      <c r="P975" t="s">
        <v>74</v>
      </c>
      <c r="Q975" t="s">
        <v>74</v>
      </c>
      <c r="R975" t="s">
        <v>74</v>
      </c>
      <c r="S975" t="s">
        <v>74</v>
      </c>
      <c r="T975" t="s">
        <v>74</v>
      </c>
      <c r="U975" t="s">
        <v>18485</v>
      </c>
      <c r="V975" t="s">
        <v>18486</v>
      </c>
      <c r="W975" t="s">
        <v>18487</v>
      </c>
      <c r="X975" t="s">
        <v>18488</v>
      </c>
      <c r="Y975" t="s">
        <v>18489</v>
      </c>
      <c r="Z975" t="s">
        <v>18490</v>
      </c>
      <c r="AA975" t="s">
        <v>18491</v>
      </c>
      <c r="AB975" t="s">
        <v>18492</v>
      </c>
      <c r="AC975" t="s">
        <v>18493</v>
      </c>
      <c r="AD975" t="s">
        <v>18494</v>
      </c>
      <c r="AE975" t="s">
        <v>18495</v>
      </c>
      <c r="AF975" t="s">
        <v>74</v>
      </c>
      <c r="AG975">
        <v>28</v>
      </c>
      <c r="AH975">
        <v>6</v>
      </c>
      <c r="AI975">
        <v>6</v>
      </c>
      <c r="AJ975">
        <v>0</v>
      </c>
      <c r="AK975">
        <v>4</v>
      </c>
      <c r="AL975" t="s">
        <v>18496</v>
      </c>
      <c r="AM975" t="s">
        <v>18497</v>
      </c>
      <c r="AN975" t="s">
        <v>18498</v>
      </c>
      <c r="AO975" t="s">
        <v>18499</v>
      </c>
      <c r="AP975" t="s">
        <v>18500</v>
      </c>
      <c r="AQ975" t="s">
        <v>74</v>
      </c>
      <c r="AR975" t="s">
        <v>18501</v>
      </c>
      <c r="AS975" t="s">
        <v>18502</v>
      </c>
      <c r="AT975" t="s">
        <v>1033</v>
      </c>
      <c r="AU975">
        <v>2020</v>
      </c>
      <c r="AV975">
        <v>91</v>
      </c>
      <c r="AW975">
        <v>1</v>
      </c>
      <c r="AX975" t="s">
        <v>74</v>
      </c>
      <c r="AY975" t="s">
        <v>74</v>
      </c>
      <c r="AZ975" t="s">
        <v>74</v>
      </c>
      <c r="BA975" t="s">
        <v>74</v>
      </c>
      <c r="BB975">
        <v>272</v>
      </c>
      <c r="BC975">
        <v>286</v>
      </c>
      <c r="BD975" t="s">
        <v>74</v>
      </c>
      <c r="BE975" t="s">
        <v>18503</v>
      </c>
      <c r="BF975" t="str">
        <f>HYPERLINK("http://dx.doi.org/10.1785/0220190180","http://dx.doi.org/10.1785/0220190180")</f>
        <v>http://dx.doi.org/10.1785/0220190180</v>
      </c>
      <c r="BG975" t="s">
        <v>74</v>
      </c>
      <c r="BH975" t="s">
        <v>74</v>
      </c>
      <c r="BI975">
        <v>15</v>
      </c>
      <c r="BJ975" t="s">
        <v>442</v>
      </c>
      <c r="BK975" t="s">
        <v>103</v>
      </c>
      <c r="BL975" t="s">
        <v>442</v>
      </c>
      <c r="BM975" t="s">
        <v>18504</v>
      </c>
      <c r="BN975" t="s">
        <v>74</v>
      </c>
      <c r="BO975" t="s">
        <v>74</v>
      </c>
      <c r="BP975" t="s">
        <v>74</v>
      </c>
      <c r="BQ975" t="s">
        <v>74</v>
      </c>
      <c r="BR975" t="s">
        <v>106</v>
      </c>
      <c r="BS975" t="s">
        <v>18505</v>
      </c>
      <c r="BT975" t="str">
        <f>HYPERLINK("https%3A%2F%2Fwww.webofscience.com%2Fwos%2Fwoscc%2Ffull-record%2FWOS:000504758600021","View Full Record in Web of Science")</f>
        <v>View Full Record in Web of Science</v>
      </c>
    </row>
    <row r="976" spans="1:72" x14ac:dyDescent="0.15">
      <c r="A976" t="s">
        <v>72</v>
      </c>
      <c r="B976" t="s">
        <v>18506</v>
      </c>
      <c r="C976" t="s">
        <v>74</v>
      </c>
      <c r="D976" t="s">
        <v>74</v>
      </c>
      <c r="E976" t="s">
        <v>74</v>
      </c>
      <c r="F976" t="s">
        <v>18507</v>
      </c>
      <c r="G976" t="s">
        <v>74</v>
      </c>
      <c r="H976" t="s">
        <v>74</v>
      </c>
      <c r="I976" t="s">
        <v>18508</v>
      </c>
      <c r="J976" t="s">
        <v>5168</v>
      </c>
      <c r="K976" t="s">
        <v>74</v>
      </c>
      <c r="L976" t="s">
        <v>74</v>
      </c>
      <c r="M976" t="s">
        <v>78</v>
      </c>
      <c r="N976" t="s">
        <v>79</v>
      </c>
      <c r="O976" t="s">
        <v>74</v>
      </c>
      <c r="P976" t="s">
        <v>74</v>
      </c>
      <c r="Q976" t="s">
        <v>74</v>
      </c>
      <c r="R976" t="s">
        <v>74</v>
      </c>
      <c r="S976" t="s">
        <v>74</v>
      </c>
      <c r="T976" t="s">
        <v>18509</v>
      </c>
      <c r="U976" t="s">
        <v>18510</v>
      </c>
      <c r="V976" t="s">
        <v>18511</v>
      </c>
      <c r="W976" t="s">
        <v>18512</v>
      </c>
      <c r="X976" t="s">
        <v>18513</v>
      </c>
      <c r="Y976" t="s">
        <v>18514</v>
      </c>
      <c r="Z976" t="s">
        <v>18515</v>
      </c>
      <c r="AA976" t="s">
        <v>18516</v>
      </c>
      <c r="AB976" t="s">
        <v>18517</v>
      </c>
      <c r="AC976" t="s">
        <v>18518</v>
      </c>
      <c r="AD976" t="s">
        <v>18519</v>
      </c>
      <c r="AE976" t="s">
        <v>18520</v>
      </c>
      <c r="AF976" t="s">
        <v>74</v>
      </c>
      <c r="AG976">
        <v>49</v>
      </c>
      <c r="AH976">
        <v>12</v>
      </c>
      <c r="AI976">
        <v>13</v>
      </c>
      <c r="AJ976">
        <v>3</v>
      </c>
      <c r="AK976">
        <v>37</v>
      </c>
      <c r="AL976" t="s">
        <v>4959</v>
      </c>
      <c r="AM976" t="s">
        <v>435</v>
      </c>
      <c r="AN976" t="s">
        <v>4960</v>
      </c>
      <c r="AO976" t="s">
        <v>5179</v>
      </c>
      <c r="AP976" t="s">
        <v>5180</v>
      </c>
      <c r="AQ976" t="s">
        <v>74</v>
      </c>
      <c r="AR976" t="s">
        <v>5181</v>
      </c>
      <c r="AS976" t="s">
        <v>5182</v>
      </c>
      <c r="AT976" t="s">
        <v>1033</v>
      </c>
      <c r="AU976">
        <v>2020</v>
      </c>
      <c r="AV976">
        <v>256</v>
      </c>
      <c r="AW976" t="s">
        <v>74</v>
      </c>
      <c r="AX976" t="s">
        <v>74</v>
      </c>
      <c r="AY976" t="s">
        <v>74</v>
      </c>
      <c r="AZ976" t="s">
        <v>74</v>
      </c>
      <c r="BA976" t="s">
        <v>74</v>
      </c>
      <c r="BB976" t="s">
        <v>74</v>
      </c>
      <c r="BC976" t="s">
        <v>74</v>
      </c>
      <c r="BD976">
        <v>113386</v>
      </c>
      <c r="BE976" t="s">
        <v>18521</v>
      </c>
      <c r="BF976" t="str">
        <f>HYPERLINK("http://dx.doi.org/10.1016/j.envpol.2019.113386","http://dx.doi.org/10.1016/j.envpol.2019.113386")</f>
        <v>http://dx.doi.org/10.1016/j.envpol.2019.113386</v>
      </c>
      <c r="BG976" t="s">
        <v>74</v>
      </c>
      <c r="BH976" t="s">
        <v>74</v>
      </c>
      <c r="BI976">
        <v>7</v>
      </c>
      <c r="BJ976" t="s">
        <v>1196</v>
      </c>
      <c r="BK976" t="s">
        <v>103</v>
      </c>
      <c r="BL976" t="s">
        <v>219</v>
      </c>
      <c r="BM976" t="s">
        <v>18522</v>
      </c>
      <c r="BN976">
        <v>31706761</v>
      </c>
      <c r="BO976" t="s">
        <v>74</v>
      </c>
      <c r="BP976" t="s">
        <v>74</v>
      </c>
      <c r="BQ976" t="s">
        <v>74</v>
      </c>
      <c r="BR976" t="s">
        <v>106</v>
      </c>
      <c r="BS976" t="s">
        <v>18523</v>
      </c>
      <c r="BT976" t="str">
        <f>HYPERLINK("https%3A%2F%2Fwww.webofscience.com%2Fwos%2Fwoscc%2Ffull-record%2FWOS:000504757200042","View Full Record in Web of Science")</f>
        <v>View Full Record in Web of Science</v>
      </c>
    </row>
    <row r="977" spans="1:72" x14ac:dyDescent="0.15">
      <c r="A977" t="s">
        <v>72</v>
      </c>
      <c r="B977" t="s">
        <v>18524</v>
      </c>
      <c r="C977" t="s">
        <v>74</v>
      </c>
      <c r="D977" t="s">
        <v>74</v>
      </c>
      <c r="E977" t="s">
        <v>74</v>
      </c>
      <c r="F977" t="s">
        <v>18525</v>
      </c>
      <c r="G977" t="s">
        <v>74</v>
      </c>
      <c r="H977" t="s">
        <v>74</v>
      </c>
      <c r="I977" t="s">
        <v>18526</v>
      </c>
      <c r="J977" t="s">
        <v>5168</v>
      </c>
      <c r="K977" t="s">
        <v>74</v>
      </c>
      <c r="L977" t="s">
        <v>74</v>
      </c>
      <c r="M977" t="s">
        <v>78</v>
      </c>
      <c r="N977" t="s">
        <v>79</v>
      </c>
      <c r="O977" t="s">
        <v>74</v>
      </c>
      <c r="P977" t="s">
        <v>74</v>
      </c>
      <c r="Q977" t="s">
        <v>74</v>
      </c>
      <c r="R977" t="s">
        <v>74</v>
      </c>
      <c r="S977" t="s">
        <v>74</v>
      </c>
      <c r="T977" t="s">
        <v>18527</v>
      </c>
      <c r="U977" t="s">
        <v>18528</v>
      </c>
      <c r="V977" t="s">
        <v>18529</v>
      </c>
      <c r="W977" t="s">
        <v>18530</v>
      </c>
      <c r="X977" t="s">
        <v>4166</v>
      </c>
      <c r="Y977" t="s">
        <v>18531</v>
      </c>
      <c r="Z977" t="s">
        <v>18532</v>
      </c>
      <c r="AA977" t="s">
        <v>18533</v>
      </c>
      <c r="AB977" t="s">
        <v>18534</v>
      </c>
      <c r="AC977" t="s">
        <v>74</v>
      </c>
      <c r="AD977" t="s">
        <v>74</v>
      </c>
      <c r="AE977" t="s">
        <v>74</v>
      </c>
      <c r="AF977" t="s">
        <v>74</v>
      </c>
      <c r="AG977">
        <v>47</v>
      </c>
      <c r="AH977">
        <v>3</v>
      </c>
      <c r="AI977">
        <v>4</v>
      </c>
      <c r="AJ977">
        <v>1</v>
      </c>
      <c r="AK977">
        <v>7</v>
      </c>
      <c r="AL977" t="s">
        <v>4959</v>
      </c>
      <c r="AM977" t="s">
        <v>435</v>
      </c>
      <c r="AN977" t="s">
        <v>4960</v>
      </c>
      <c r="AO977" t="s">
        <v>5179</v>
      </c>
      <c r="AP977" t="s">
        <v>5180</v>
      </c>
      <c r="AQ977" t="s">
        <v>74</v>
      </c>
      <c r="AR977" t="s">
        <v>5181</v>
      </c>
      <c r="AS977" t="s">
        <v>5182</v>
      </c>
      <c r="AT977" t="s">
        <v>1033</v>
      </c>
      <c r="AU977">
        <v>2020</v>
      </c>
      <c r="AV977">
        <v>256</v>
      </c>
      <c r="AW977" t="s">
        <v>74</v>
      </c>
      <c r="AX977" t="s">
        <v>74</v>
      </c>
      <c r="AY977" t="s">
        <v>74</v>
      </c>
      <c r="AZ977" t="s">
        <v>74</v>
      </c>
      <c r="BA977" t="s">
        <v>74</v>
      </c>
      <c r="BB977" t="s">
        <v>74</v>
      </c>
      <c r="BC977" t="s">
        <v>74</v>
      </c>
      <c r="BD977">
        <v>113452</v>
      </c>
      <c r="BE977" t="s">
        <v>18535</v>
      </c>
      <c r="BF977" t="str">
        <f>HYPERLINK("http://dx.doi.org/10.1016/j.envpol.2019.113452","http://dx.doi.org/10.1016/j.envpol.2019.113452")</f>
        <v>http://dx.doi.org/10.1016/j.envpol.2019.113452</v>
      </c>
      <c r="BG977" t="s">
        <v>74</v>
      </c>
      <c r="BH977" t="s">
        <v>74</v>
      </c>
      <c r="BI977">
        <v>9</v>
      </c>
      <c r="BJ977" t="s">
        <v>1196</v>
      </c>
      <c r="BK977" t="s">
        <v>103</v>
      </c>
      <c r="BL977" t="s">
        <v>219</v>
      </c>
      <c r="BM977" t="s">
        <v>18522</v>
      </c>
      <c r="BN977">
        <v>31706763</v>
      </c>
      <c r="BO977" t="s">
        <v>74</v>
      </c>
      <c r="BP977" t="s">
        <v>74</v>
      </c>
      <c r="BQ977" t="s">
        <v>74</v>
      </c>
      <c r="BR977" t="s">
        <v>106</v>
      </c>
      <c r="BS977" t="s">
        <v>18536</v>
      </c>
      <c r="BT977" t="str">
        <f>HYPERLINK("https%3A%2F%2Fwww.webofscience.com%2Fwos%2Fwoscc%2Ffull-record%2FWOS:000504757200099","View Full Record in Web of Science")</f>
        <v>View Full Record in Web of Science</v>
      </c>
    </row>
    <row r="978" spans="1:72" x14ac:dyDescent="0.15">
      <c r="A978" t="s">
        <v>72</v>
      </c>
      <c r="B978" t="s">
        <v>18537</v>
      </c>
      <c r="C978" t="s">
        <v>74</v>
      </c>
      <c r="D978" t="s">
        <v>74</v>
      </c>
      <c r="E978" t="s">
        <v>74</v>
      </c>
      <c r="F978" t="s">
        <v>18538</v>
      </c>
      <c r="G978" t="s">
        <v>74</v>
      </c>
      <c r="H978" t="s">
        <v>74</v>
      </c>
      <c r="I978" t="s">
        <v>18539</v>
      </c>
      <c r="J978" t="s">
        <v>396</v>
      </c>
      <c r="K978" t="s">
        <v>74</v>
      </c>
      <c r="L978" t="s">
        <v>74</v>
      </c>
      <c r="M978" t="s">
        <v>78</v>
      </c>
      <c r="N978" t="s">
        <v>79</v>
      </c>
      <c r="O978" t="s">
        <v>74</v>
      </c>
      <c r="P978" t="s">
        <v>74</v>
      </c>
      <c r="Q978" t="s">
        <v>74</v>
      </c>
      <c r="R978" t="s">
        <v>74</v>
      </c>
      <c r="S978" t="s">
        <v>74</v>
      </c>
      <c r="T978" t="s">
        <v>18540</v>
      </c>
      <c r="U978" t="s">
        <v>18541</v>
      </c>
      <c r="V978" t="s">
        <v>18542</v>
      </c>
      <c r="W978" t="s">
        <v>18543</v>
      </c>
      <c r="X978" t="s">
        <v>10365</v>
      </c>
      <c r="Y978" t="s">
        <v>18544</v>
      </c>
      <c r="Z978" t="s">
        <v>18545</v>
      </c>
      <c r="AA978" t="s">
        <v>74</v>
      </c>
      <c r="AB978" t="s">
        <v>18546</v>
      </c>
      <c r="AC978" t="s">
        <v>74</v>
      </c>
      <c r="AD978" t="s">
        <v>74</v>
      </c>
      <c r="AE978" t="s">
        <v>74</v>
      </c>
      <c r="AF978" t="s">
        <v>74</v>
      </c>
      <c r="AG978">
        <v>111</v>
      </c>
      <c r="AH978">
        <v>9</v>
      </c>
      <c r="AI978">
        <v>9</v>
      </c>
      <c r="AJ978">
        <v>2</v>
      </c>
      <c r="AK978">
        <v>4</v>
      </c>
      <c r="AL978" t="s">
        <v>289</v>
      </c>
      <c r="AM978" t="s">
        <v>290</v>
      </c>
      <c r="AN978" t="s">
        <v>291</v>
      </c>
      <c r="AO978" t="s">
        <v>408</v>
      </c>
      <c r="AP978" t="s">
        <v>409</v>
      </c>
      <c r="AQ978" t="s">
        <v>74</v>
      </c>
      <c r="AR978" t="s">
        <v>410</v>
      </c>
      <c r="AS978" t="s">
        <v>411</v>
      </c>
      <c r="AT978" t="s">
        <v>12161</v>
      </c>
      <c r="AU978">
        <v>2020</v>
      </c>
      <c r="AV978">
        <v>537</v>
      </c>
      <c r="AW978" t="s">
        <v>74</v>
      </c>
      <c r="AX978" t="s">
        <v>74</v>
      </c>
      <c r="AY978" t="s">
        <v>74</v>
      </c>
      <c r="AZ978" t="s">
        <v>74</v>
      </c>
      <c r="BA978" t="s">
        <v>74</v>
      </c>
      <c r="BB978" t="s">
        <v>74</v>
      </c>
      <c r="BC978" t="s">
        <v>74</v>
      </c>
      <c r="BD978">
        <v>109419</v>
      </c>
      <c r="BE978" t="s">
        <v>18547</v>
      </c>
      <c r="BF978" t="str">
        <f>HYPERLINK("http://dx.doi.org/10.1016/j.palaeo.2019.109419","http://dx.doi.org/10.1016/j.palaeo.2019.109419")</f>
        <v>http://dx.doi.org/10.1016/j.palaeo.2019.109419</v>
      </c>
      <c r="BG978" t="s">
        <v>74</v>
      </c>
      <c r="BH978" t="s">
        <v>74</v>
      </c>
      <c r="BI978">
        <v>16</v>
      </c>
      <c r="BJ978" t="s">
        <v>413</v>
      </c>
      <c r="BK978" t="s">
        <v>103</v>
      </c>
      <c r="BL978" t="s">
        <v>414</v>
      </c>
      <c r="BM978" t="s">
        <v>18548</v>
      </c>
      <c r="BN978" t="s">
        <v>74</v>
      </c>
      <c r="BO978" t="s">
        <v>74</v>
      </c>
      <c r="BP978" t="s">
        <v>74</v>
      </c>
      <c r="BQ978" t="s">
        <v>74</v>
      </c>
      <c r="BR978" t="s">
        <v>106</v>
      </c>
      <c r="BS978" t="s">
        <v>18549</v>
      </c>
      <c r="BT978" t="str">
        <f>HYPERLINK("https%3A%2F%2Fwww.webofscience.com%2Fwos%2Fwoscc%2Ffull-record%2FWOS:000504778600016","View Full Record in Web of Science")</f>
        <v>View Full Record in Web of Science</v>
      </c>
    </row>
    <row r="979" spans="1:72" x14ac:dyDescent="0.15">
      <c r="A979" t="s">
        <v>72</v>
      </c>
      <c r="B979" t="s">
        <v>18550</v>
      </c>
      <c r="C979" t="s">
        <v>74</v>
      </c>
      <c r="D979" t="s">
        <v>74</v>
      </c>
      <c r="E979" t="s">
        <v>74</v>
      </c>
      <c r="F979" t="s">
        <v>18551</v>
      </c>
      <c r="G979" t="s">
        <v>74</v>
      </c>
      <c r="H979" t="s">
        <v>74</v>
      </c>
      <c r="I979" t="s">
        <v>18552</v>
      </c>
      <c r="J979" t="s">
        <v>396</v>
      </c>
      <c r="K979" t="s">
        <v>74</v>
      </c>
      <c r="L979" t="s">
        <v>74</v>
      </c>
      <c r="M979" t="s">
        <v>78</v>
      </c>
      <c r="N979" t="s">
        <v>79</v>
      </c>
      <c r="O979" t="s">
        <v>74</v>
      </c>
      <c r="P979" t="s">
        <v>74</v>
      </c>
      <c r="Q979" t="s">
        <v>74</v>
      </c>
      <c r="R979" t="s">
        <v>74</v>
      </c>
      <c r="S979" t="s">
        <v>74</v>
      </c>
      <c r="T979" t="s">
        <v>18553</v>
      </c>
      <c r="U979" t="s">
        <v>18554</v>
      </c>
      <c r="V979" t="s">
        <v>18555</v>
      </c>
      <c r="W979" t="s">
        <v>18556</v>
      </c>
      <c r="X979" t="s">
        <v>18557</v>
      </c>
      <c r="Y979" t="s">
        <v>18558</v>
      </c>
      <c r="Z979" t="s">
        <v>18559</v>
      </c>
      <c r="AA979" t="s">
        <v>74</v>
      </c>
      <c r="AB979" t="s">
        <v>74</v>
      </c>
      <c r="AC979" t="s">
        <v>18560</v>
      </c>
      <c r="AD979" t="s">
        <v>9048</v>
      </c>
      <c r="AE979" t="s">
        <v>18561</v>
      </c>
      <c r="AF979" t="s">
        <v>74</v>
      </c>
      <c r="AG979">
        <v>89</v>
      </c>
      <c r="AH979">
        <v>15</v>
      </c>
      <c r="AI979">
        <v>16</v>
      </c>
      <c r="AJ979">
        <v>1</v>
      </c>
      <c r="AK979">
        <v>9</v>
      </c>
      <c r="AL979" t="s">
        <v>289</v>
      </c>
      <c r="AM979" t="s">
        <v>290</v>
      </c>
      <c r="AN979" t="s">
        <v>291</v>
      </c>
      <c r="AO979" t="s">
        <v>408</v>
      </c>
      <c r="AP979" t="s">
        <v>409</v>
      </c>
      <c r="AQ979" t="s">
        <v>74</v>
      </c>
      <c r="AR979" t="s">
        <v>410</v>
      </c>
      <c r="AS979" t="s">
        <v>411</v>
      </c>
      <c r="AT979" t="s">
        <v>12161</v>
      </c>
      <c r="AU979">
        <v>2020</v>
      </c>
      <c r="AV979">
        <v>537</v>
      </c>
      <c r="AW979" t="s">
        <v>74</v>
      </c>
      <c r="AX979" t="s">
        <v>74</v>
      </c>
      <c r="AY979" t="s">
        <v>74</v>
      </c>
      <c r="AZ979" t="s">
        <v>74</v>
      </c>
      <c r="BA979" t="s">
        <v>74</v>
      </c>
      <c r="BB979" t="s">
        <v>74</v>
      </c>
      <c r="BC979" t="s">
        <v>74</v>
      </c>
      <c r="BD979">
        <v>109374</v>
      </c>
      <c r="BE979" t="s">
        <v>18562</v>
      </c>
      <c r="BF979" t="str">
        <f>HYPERLINK("http://dx.doi.org/10.1016/j.palaeo.2019.109374","http://dx.doi.org/10.1016/j.palaeo.2019.109374")</f>
        <v>http://dx.doi.org/10.1016/j.palaeo.2019.109374</v>
      </c>
      <c r="BG979" t="s">
        <v>74</v>
      </c>
      <c r="BH979" t="s">
        <v>74</v>
      </c>
      <c r="BI979">
        <v>14</v>
      </c>
      <c r="BJ979" t="s">
        <v>413</v>
      </c>
      <c r="BK979" t="s">
        <v>103</v>
      </c>
      <c r="BL979" t="s">
        <v>414</v>
      </c>
      <c r="BM979" t="s">
        <v>18548</v>
      </c>
      <c r="BN979" t="s">
        <v>74</v>
      </c>
      <c r="BO979" t="s">
        <v>148</v>
      </c>
      <c r="BP979" t="s">
        <v>74</v>
      </c>
      <c r="BQ979" t="s">
        <v>74</v>
      </c>
      <c r="BR979" t="s">
        <v>106</v>
      </c>
      <c r="BS979" t="s">
        <v>18563</v>
      </c>
      <c r="BT979" t="str">
        <f>HYPERLINK("https%3A%2F%2Fwww.webofscience.com%2Fwos%2Fwoscc%2Ffull-record%2FWOS:000504778600002","View Full Record in Web of Science")</f>
        <v>View Full Record in Web of Science</v>
      </c>
    </row>
    <row r="980" spans="1:72" x14ac:dyDescent="0.15">
      <c r="A980" t="s">
        <v>72</v>
      </c>
      <c r="B980" t="s">
        <v>18564</v>
      </c>
      <c r="C980" t="s">
        <v>74</v>
      </c>
      <c r="D980" t="s">
        <v>74</v>
      </c>
      <c r="E980" t="s">
        <v>74</v>
      </c>
      <c r="F980" t="s">
        <v>18565</v>
      </c>
      <c r="G980" t="s">
        <v>74</v>
      </c>
      <c r="H980" t="s">
        <v>74</v>
      </c>
      <c r="I980" t="s">
        <v>18566</v>
      </c>
      <c r="J980" t="s">
        <v>18567</v>
      </c>
      <c r="K980" t="s">
        <v>74</v>
      </c>
      <c r="L980" t="s">
        <v>74</v>
      </c>
      <c r="M980" t="s">
        <v>78</v>
      </c>
      <c r="N980" t="s">
        <v>79</v>
      </c>
      <c r="O980" t="s">
        <v>74</v>
      </c>
      <c r="P980" t="s">
        <v>74</v>
      </c>
      <c r="Q980" t="s">
        <v>74</v>
      </c>
      <c r="R980" t="s">
        <v>74</v>
      </c>
      <c r="S980" t="s">
        <v>74</v>
      </c>
      <c r="T980" t="s">
        <v>18568</v>
      </c>
      <c r="U980" t="s">
        <v>18569</v>
      </c>
      <c r="V980" t="s">
        <v>18570</v>
      </c>
      <c r="W980" t="s">
        <v>18571</v>
      </c>
      <c r="X980" t="s">
        <v>18572</v>
      </c>
      <c r="Y980" t="s">
        <v>18573</v>
      </c>
      <c r="Z980" t="s">
        <v>18574</v>
      </c>
      <c r="AA980" t="s">
        <v>74</v>
      </c>
      <c r="AB980" t="s">
        <v>18575</v>
      </c>
      <c r="AC980" t="s">
        <v>74</v>
      </c>
      <c r="AD980" t="s">
        <v>74</v>
      </c>
      <c r="AE980" t="s">
        <v>74</v>
      </c>
      <c r="AF980" t="s">
        <v>74</v>
      </c>
      <c r="AG980">
        <v>73</v>
      </c>
      <c r="AH980">
        <v>14</v>
      </c>
      <c r="AI980">
        <v>15</v>
      </c>
      <c r="AJ980">
        <v>1</v>
      </c>
      <c r="AK980">
        <v>42</v>
      </c>
      <c r="AL980" t="s">
        <v>121</v>
      </c>
      <c r="AM980" t="s">
        <v>122</v>
      </c>
      <c r="AN980" t="s">
        <v>123</v>
      </c>
      <c r="AO980" t="s">
        <v>18576</v>
      </c>
      <c r="AP980" t="s">
        <v>18577</v>
      </c>
      <c r="AQ980" t="s">
        <v>74</v>
      </c>
      <c r="AR980" t="s">
        <v>18567</v>
      </c>
      <c r="AS980" t="s">
        <v>18578</v>
      </c>
      <c r="AT980" t="s">
        <v>1033</v>
      </c>
      <c r="AU980">
        <v>2020</v>
      </c>
      <c r="AV980">
        <v>147</v>
      </c>
      <c r="AW980">
        <v>1</v>
      </c>
      <c r="AX980" t="s">
        <v>74</v>
      </c>
      <c r="AY980" t="s">
        <v>74</v>
      </c>
      <c r="AZ980" t="s">
        <v>74</v>
      </c>
      <c r="BA980" t="s">
        <v>74</v>
      </c>
      <c r="BB980">
        <v>53</v>
      </c>
      <c r="BC980">
        <v>69</v>
      </c>
      <c r="BD980" t="s">
        <v>74</v>
      </c>
      <c r="BE980" t="s">
        <v>18579</v>
      </c>
      <c r="BF980" t="str">
        <f>HYPERLINK("http://dx.doi.org/10.1007/s10533-019-00628-8","http://dx.doi.org/10.1007/s10533-019-00628-8")</f>
        <v>http://dx.doi.org/10.1007/s10533-019-00628-8</v>
      </c>
      <c r="BG980" t="s">
        <v>74</v>
      </c>
      <c r="BH980" t="s">
        <v>74</v>
      </c>
      <c r="BI980">
        <v>17</v>
      </c>
      <c r="BJ980" t="s">
        <v>10258</v>
      </c>
      <c r="BK980" t="s">
        <v>103</v>
      </c>
      <c r="BL980" t="s">
        <v>1405</v>
      </c>
      <c r="BM980" t="s">
        <v>18580</v>
      </c>
      <c r="BN980" t="s">
        <v>74</v>
      </c>
      <c r="BO980" t="s">
        <v>193</v>
      </c>
      <c r="BP980" t="s">
        <v>74</v>
      </c>
      <c r="BQ980" t="s">
        <v>74</v>
      </c>
      <c r="BR980" t="s">
        <v>106</v>
      </c>
      <c r="BS980" t="s">
        <v>18581</v>
      </c>
      <c r="BT980" t="str">
        <f>HYPERLINK("https%3A%2F%2Fwww.webofscience.com%2Fwos%2Fwoscc%2Ffull-record%2FWOS:000504612200004","View Full Record in Web of Science")</f>
        <v>View Full Record in Web of Science</v>
      </c>
    </row>
    <row r="981" spans="1:72" x14ac:dyDescent="0.15">
      <c r="A981" t="s">
        <v>72</v>
      </c>
      <c r="B981" t="s">
        <v>18582</v>
      </c>
      <c r="C981" t="s">
        <v>74</v>
      </c>
      <c r="D981" t="s">
        <v>74</v>
      </c>
      <c r="E981" t="s">
        <v>74</v>
      </c>
      <c r="F981" t="s">
        <v>18583</v>
      </c>
      <c r="G981" t="s">
        <v>74</v>
      </c>
      <c r="H981" t="s">
        <v>74</v>
      </c>
      <c r="I981" t="s">
        <v>18584</v>
      </c>
      <c r="J981" t="s">
        <v>18585</v>
      </c>
      <c r="K981" t="s">
        <v>74</v>
      </c>
      <c r="L981" t="s">
        <v>74</v>
      </c>
      <c r="M981" t="s">
        <v>13425</v>
      </c>
      <c r="N981" t="s">
        <v>79</v>
      </c>
      <c r="O981" t="s">
        <v>74</v>
      </c>
      <c r="P981" t="s">
        <v>74</v>
      </c>
      <c r="Q981" t="s">
        <v>74</v>
      </c>
      <c r="R981" t="s">
        <v>74</v>
      </c>
      <c r="S981" t="s">
        <v>74</v>
      </c>
      <c r="T981" t="s">
        <v>18586</v>
      </c>
      <c r="U981" t="s">
        <v>74</v>
      </c>
      <c r="V981" t="s">
        <v>18587</v>
      </c>
      <c r="W981" t="s">
        <v>18588</v>
      </c>
      <c r="X981" t="s">
        <v>18589</v>
      </c>
      <c r="Y981" t="s">
        <v>18590</v>
      </c>
      <c r="Z981" t="s">
        <v>18591</v>
      </c>
      <c r="AA981" t="s">
        <v>74</v>
      </c>
      <c r="AB981" t="s">
        <v>74</v>
      </c>
      <c r="AC981" t="s">
        <v>74</v>
      </c>
      <c r="AD981" t="s">
        <v>74</v>
      </c>
      <c r="AE981" t="s">
        <v>74</v>
      </c>
      <c r="AF981" t="s">
        <v>74</v>
      </c>
      <c r="AG981">
        <v>23</v>
      </c>
      <c r="AH981">
        <v>0</v>
      </c>
      <c r="AI981">
        <v>0</v>
      </c>
      <c r="AJ981">
        <v>1</v>
      </c>
      <c r="AK981">
        <v>4</v>
      </c>
      <c r="AL981" t="s">
        <v>18592</v>
      </c>
      <c r="AM981" t="s">
        <v>18593</v>
      </c>
      <c r="AN981" t="s">
        <v>18594</v>
      </c>
      <c r="AO981" t="s">
        <v>18595</v>
      </c>
      <c r="AP981" t="s">
        <v>18596</v>
      </c>
      <c r="AQ981" t="s">
        <v>74</v>
      </c>
      <c r="AR981" t="s">
        <v>18597</v>
      </c>
      <c r="AS981" t="s">
        <v>18598</v>
      </c>
      <c r="AT981" t="s">
        <v>15610</v>
      </c>
      <c r="AU981">
        <v>2020</v>
      </c>
      <c r="AV981">
        <v>36</v>
      </c>
      <c r="AW981">
        <v>1</v>
      </c>
      <c r="AX981" t="s">
        <v>74</v>
      </c>
      <c r="AY981" t="s">
        <v>74</v>
      </c>
      <c r="AZ981" t="s">
        <v>74</v>
      </c>
      <c r="BA981" t="s">
        <v>74</v>
      </c>
      <c r="BB981">
        <v>109</v>
      </c>
      <c r="BC981">
        <v>133</v>
      </c>
      <c r="BD981" t="s">
        <v>74</v>
      </c>
      <c r="BE981" t="s">
        <v>18599</v>
      </c>
      <c r="BF981" t="str">
        <f>HYPERLINK("http://dx.doi.org/10.15581/008.36.1.109-33","http://dx.doi.org/10.15581/008.36.1.109-33")</f>
        <v>http://dx.doi.org/10.15581/008.36.1.109-33</v>
      </c>
      <c r="BG981" t="s">
        <v>74</v>
      </c>
      <c r="BH981" t="s">
        <v>74</v>
      </c>
      <c r="BI981">
        <v>25</v>
      </c>
      <c r="BJ981" t="s">
        <v>18600</v>
      </c>
      <c r="BK981" t="s">
        <v>18601</v>
      </c>
      <c r="BL981" t="s">
        <v>18602</v>
      </c>
      <c r="BM981" t="s">
        <v>18603</v>
      </c>
      <c r="BN981" t="s">
        <v>74</v>
      </c>
      <c r="BO981" t="s">
        <v>1310</v>
      </c>
      <c r="BP981" t="s">
        <v>74</v>
      </c>
      <c r="BQ981" t="s">
        <v>74</v>
      </c>
      <c r="BR981" t="s">
        <v>106</v>
      </c>
      <c r="BS981" t="s">
        <v>18604</v>
      </c>
      <c r="BT981" t="str">
        <f>HYPERLINK("https%3A%2F%2Fwww.webofscience.com%2Fwos%2Fwoscc%2Ffull-record%2FWOS:000504047600006","View Full Record in Web of Science")</f>
        <v>View Full Record in Web of Science</v>
      </c>
    </row>
    <row r="982" spans="1:72" x14ac:dyDescent="0.15">
      <c r="A982" t="s">
        <v>72</v>
      </c>
      <c r="B982" t="s">
        <v>18605</v>
      </c>
      <c r="C982" t="s">
        <v>74</v>
      </c>
      <c r="D982" t="s">
        <v>74</v>
      </c>
      <c r="E982" t="s">
        <v>74</v>
      </c>
      <c r="F982" t="s">
        <v>18606</v>
      </c>
      <c r="G982" t="s">
        <v>74</v>
      </c>
      <c r="H982" t="s">
        <v>74</v>
      </c>
      <c r="I982" t="s">
        <v>18607</v>
      </c>
      <c r="J982" t="s">
        <v>5066</v>
      </c>
      <c r="K982" t="s">
        <v>74</v>
      </c>
      <c r="L982" t="s">
        <v>74</v>
      </c>
      <c r="M982" t="s">
        <v>78</v>
      </c>
      <c r="N982" t="s">
        <v>79</v>
      </c>
      <c r="O982" t="s">
        <v>74</v>
      </c>
      <c r="P982" t="s">
        <v>74</v>
      </c>
      <c r="Q982" t="s">
        <v>74</v>
      </c>
      <c r="R982" t="s">
        <v>74</v>
      </c>
      <c r="S982" t="s">
        <v>74</v>
      </c>
      <c r="T982" t="s">
        <v>18608</v>
      </c>
      <c r="U982" t="s">
        <v>18609</v>
      </c>
      <c r="V982" t="s">
        <v>18610</v>
      </c>
      <c r="W982" t="s">
        <v>18611</v>
      </c>
      <c r="X982" t="s">
        <v>18612</v>
      </c>
      <c r="Y982" t="s">
        <v>18613</v>
      </c>
      <c r="Z982" t="s">
        <v>18614</v>
      </c>
      <c r="AA982" t="s">
        <v>18615</v>
      </c>
      <c r="AB982" t="s">
        <v>18616</v>
      </c>
      <c r="AC982" t="s">
        <v>18617</v>
      </c>
      <c r="AD982" t="s">
        <v>18618</v>
      </c>
      <c r="AE982" t="s">
        <v>18619</v>
      </c>
      <c r="AF982" t="s">
        <v>74</v>
      </c>
      <c r="AG982">
        <v>73</v>
      </c>
      <c r="AH982">
        <v>12</v>
      </c>
      <c r="AI982">
        <v>13</v>
      </c>
      <c r="AJ982">
        <v>4</v>
      </c>
      <c r="AK982">
        <v>43</v>
      </c>
      <c r="AL982" t="s">
        <v>4084</v>
      </c>
      <c r="AM982" t="s">
        <v>4085</v>
      </c>
      <c r="AN982" t="s">
        <v>4086</v>
      </c>
      <c r="AO982" t="s">
        <v>5079</v>
      </c>
      <c r="AP982" t="s">
        <v>5080</v>
      </c>
      <c r="AQ982" t="s">
        <v>74</v>
      </c>
      <c r="AR982" t="s">
        <v>5081</v>
      </c>
      <c r="AS982" t="s">
        <v>5082</v>
      </c>
      <c r="AT982" t="s">
        <v>1033</v>
      </c>
      <c r="AU982">
        <v>2020</v>
      </c>
      <c r="AV982">
        <v>33</v>
      </c>
      <c r="AW982">
        <v>2</v>
      </c>
      <c r="AX982" t="s">
        <v>74</v>
      </c>
      <c r="AY982" t="s">
        <v>74</v>
      </c>
      <c r="AZ982" t="s">
        <v>74</v>
      </c>
      <c r="BA982" t="s">
        <v>74</v>
      </c>
      <c r="BB982">
        <v>639</v>
      </c>
      <c r="BC982">
        <v>656</v>
      </c>
      <c r="BD982" t="s">
        <v>74</v>
      </c>
      <c r="BE982" t="s">
        <v>18620</v>
      </c>
      <c r="BF982" t="str">
        <f>HYPERLINK("http://dx.doi.org/10.1175/JCLI-D-19-0111.1","http://dx.doi.org/10.1175/JCLI-D-19-0111.1")</f>
        <v>http://dx.doi.org/10.1175/JCLI-D-19-0111.1</v>
      </c>
      <c r="BG982" t="s">
        <v>74</v>
      </c>
      <c r="BH982" t="s">
        <v>74</v>
      </c>
      <c r="BI982">
        <v>18</v>
      </c>
      <c r="BJ982" t="s">
        <v>907</v>
      </c>
      <c r="BK982" t="s">
        <v>103</v>
      </c>
      <c r="BL982" t="s">
        <v>907</v>
      </c>
      <c r="BM982" t="s">
        <v>18621</v>
      </c>
      <c r="BN982" t="s">
        <v>74</v>
      </c>
      <c r="BO982" t="s">
        <v>517</v>
      </c>
      <c r="BP982" t="s">
        <v>74</v>
      </c>
      <c r="BQ982" t="s">
        <v>74</v>
      </c>
      <c r="BR982" t="s">
        <v>106</v>
      </c>
      <c r="BS982" t="s">
        <v>18622</v>
      </c>
      <c r="BT982" t="str">
        <f>HYPERLINK("https%3A%2F%2Fwww.webofscience.com%2Fwos%2Fwoscc%2Ffull-record%2FWOS:000504084500003","View Full Record in Web of Science")</f>
        <v>View Full Record in Web of Science</v>
      </c>
    </row>
    <row r="983" spans="1:72" x14ac:dyDescent="0.15">
      <c r="A983" t="s">
        <v>72</v>
      </c>
      <c r="B983" t="s">
        <v>18623</v>
      </c>
      <c r="C983" t="s">
        <v>74</v>
      </c>
      <c r="D983" t="s">
        <v>74</v>
      </c>
      <c r="E983" t="s">
        <v>74</v>
      </c>
      <c r="F983" t="s">
        <v>18624</v>
      </c>
      <c r="G983" t="s">
        <v>74</v>
      </c>
      <c r="H983" t="s">
        <v>74</v>
      </c>
      <c r="I983" t="s">
        <v>18625</v>
      </c>
      <c r="J983" t="s">
        <v>4949</v>
      </c>
      <c r="K983" t="s">
        <v>74</v>
      </c>
      <c r="L983" t="s">
        <v>74</v>
      </c>
      <c r="M983" t="s">
        <v>78</v>
      </c>
      <c r="N983" t="s">
        <v>79</v>
      </c>
      <c r="O983" t="s">
        <v>74</v>
      </c>
      <c r="P983" t="s">
        <v>74</v>
      </c>
      <c r="Q983" t="s">
        <v>74</v>
      </c>
      <c r="R983" t="s">
        <v>74</v>
      </c>
      <c r="S983" t="s">
        <v>74</v>
      </c>
      <c r="T983" t="s">
        <v>18626</v>
      </c>
      <c r="U983" t="s">
        <v>18627</v>
      </c>
      <c r="V983" t="s">
        <v>18628</v>
      </c>
      <c r="W983" t="s">
        <v>18629</v>
      </c>
      <c r="X983" t="s">
        <v>18630</v>
      </c>
      <c r="Y983" t="s">
        <v>18631</v>
      </c>
      <c r="Z983" t="s">
        <v>18632</v>
      </c>
      <c r="AA983" t="s">
        <v>18633</v>
      </c>
      <c r="AB983" t="s">
        <v>18634</v>
      </c>
      <c r="AC983" t="s">
        <v>74</v>
      </c>
      <c r="AD983" t="s">
        <v>74</v>
      </c>
      <c r="AE983" t="s">
        <v>74</v>
      </c>
      <c r="AF983" t="s">
        <v>74</v>
      </c>
      <c r="AG983">
        <v>46</v>
      </c>
      <c r="AH983">
        <v>13</v>
      </c>
      <c r="AI983">
        <v>13</v>
      </c>
      <c r="AJ983">
        <v>0</v>
      </c>
      <c r="AK983">
        <v>16</v>
      </c>
      <c r="AL983" t="s">
        <v>4959</v>
      </c>
      <c r="AM983" t="s">
        <v>435</v>
      </c>
      <c r="AN983" t="s">
        <v>4960</v>
      </c>
      <c r="AO983" t="s">
        <v>4961</v>
      </c>
      <c r="AP983" t="s">
        <v>4962</v>
      </c>
      <c r="AQ983" t="s">
        <v>74</v>
      </c>
      <c r="AR983" t="s">
        <v>4963</v>
      </c>
      <c r="AS983" t="s">
        <v>4964</v>
      </c>
      <c r="AT983" t="s">
        <v>1033</v>
      </c>
      <c r="AU983">
        <v>2020</v>
      </c>
      <c r="AV983">
        <v>111</v>
      </c>
      <c r="AW983" t="s">
        <v>74</v>
      </c>
      <c r="AX983" t="s">
        <v>74</v>
      </c>
      <c r="AY983" t="s">
        <v>74</v>
      </c>
      <c r="AZ983" t="s">
        <v>74</v>
      </c>
      <c r="BA983" t="s">
        <v>74</v>
      </c>
      <c r="BB983" t="s">
        <v>74</v>
      </c>
      <c r="BC983" t="s">
        <v>74</v>
      </c>
      <c r="BD983">
        <v>103719</v>
      </c>
      <c r="BE983" t="s">
        <v>18635</v>
      </c>
      <c r="BF983" t="str">
        <f>HYPERLINK("http://dx.doi.org/10.1016/j.marpol.2019.103719","http://dx.doi.org/10.1016/j.marpol.2019.103719")</f>
        <v>http://dx.doi.org/10.1016/j.marpol.2019.103719</v>
      </c>
      <c r="BG983" t="s">
        <v>74</v>
      </c>
      <c r="BH983" t="s">
        <v>74</v>
      </c>
      <c r="BI983">
        <v>9</v>
      </c>
      <c r="BJ983" t="s">
        <v>4966</v>
      </c>
      <c r="BK983" t="s">
        <v>3467</v>
      </c>
      <c r="BL983" t="s">
        <v>4967</v>
      </c>
      <c r="BM983" t="s">
        <v>18636</v>
      </c>
      <c r="BN983" t="s">
        <v>74</v>
      </c>
      <c r="BO983" t="s">
        <v>74</v>
      </c>
      <c r="BP983" t="s">
        <v>74</v>
      </c>
      <c r="BQ983" t="s">
        <v>74</v>
      </c>
      <c r="BR983" t="s">
        <v>106</v>
      </c>
      <c r="BS983" t="s">
        <v>18637</v>
      </c>
      <c r="BT983" t="str">
        <f>HYPERLINK("https%3A%2F%2Fwww.webofscience.com%2Fwos%2Fwoscc%2Ffull-record%2FWOS:000503319000008","View Full Record in Web of Science")</f>
        <v>View Full Record in Web of Science</v>
      </c>
    </row>
    <row r="984" spans="1:72" x14ac:dyDescent="0.15">
      <c r="A984" t="s">
        <v>72</v>
      </c>
      <c r="B984" t="s">
        <v>18638</v>
      </c>
      <c r="C984" t="s">
        <v>74</v>
      </c>
      <c r="D984" t="s">
        <v>74</v>
      </c>
      <c r="E984" t="s">
        <v>74</v>
      </c>
      <c r="F984" t="s">
        <v>18639</v>
      </c>
      <c r="G984" t="s">
        <v>74</v>
      </c>
      <c r="H984" t="s">
        <v>74</v>
      </c>
      <c r="I984" t="s">
        <v>18640</v>
      </c>
      <c r="J984" t="s">
        <v>2079</v>
      </c>
      <c r="K984" t="s">
        <v>74</v>
      </c>
      <c r="L984" t="s">
        <v>74</v>
      </c>
      <c r="M984" t="s">
        <v>78</v>
      </c>
      <c r="N984" t="s">
        <v>79</v>
      </c>
      <c r="O984" t="s">
        <v>74</v>
      </c>
      <c r="P984" t="s">
        <v>74</v>
      </c>
      <c r="Q984" t="s">
        <v>74</v>
      </c>
      <c r="R984" t="s">
        <v>74</v>
      </c>
      <c r="S984" t="s">
        <v>74</v>
      </c>
      <c r="T984" t="s">
        <v>18641</v>
      </c>
      <c r="U984" t="s">
        <v>18642</v>
      </c>
      <c r="V984" t="s">
        <v>18643</v>
      </c>
      <c r="W984" t="s">
        <v>18644</v>
      </c>
      <c r="X984" t="s">
        <v>18645</v>
      </c>
      <c r="Y984" t="s">
        <v>18646</v>
      </c>
      <c r="Z984" t="s">
        <v>18647</v>
      </c>
      <c r="AA984" t="s">
        <v>18648</v>
      </c>
      <c r="AB984" t="s">
        <v>18649</v>
      </c>
      <c r="AC984" t="s">
        <v>18650</v>
      </c>
      <c r="AD984" t="s">
        <v>18651</v>
      </c>
      <c r="AE984" t="s">
        <v>18652</v>
      </c>
      <c r="AF984" t="s">
        <v>74</v>
      </c>
      <c r="AG984">
        <v>130</v>
      </c>
      <c r="AH984">
        <v>16</v>
      </c>
      <c r="AI984">
        <v>18</v>
      </c>
      <c r="AJ984">
        <v>0</v>
      </c>
      <c r="AK984">
        <v>7</v>
      </c>
      <c r="AL984" t="s">
        <v>434</v>
      </c>
      <c r="AM984" t="s">
        <v>435</v>
      </c>
      <c r="AN984" t="s">
        <v>436</v>
      </c>
      <c r="AO984" t="s">
        <v>2088</v>
      </c>
      <c r="AP984" t="s">
        <v>74</v>
      </c>
      <c r="AQ984" t="s">
        <v>74</v>
      </c>
      <c r="AR984" t="s">
        <v>2089</v>
      </c>
      <c r="AS984" t="s">
        <v>2090</v>
      </c>
      <c r="AT984" t="s">
        <v>12161</v>
      </c>
      <c r="AU984">
        <v>2020</v>
      </c>
      <c r="AV984">
        <v>227</v>
      </c>
      <c r="AW984" t="s">
        <v>74</v>
      </c>
      <c r="AX984" t="s">
        <v>74</v>
      </c>
      <c r="AY984" t="s">
        <v>74</v>
      </c>
      <c r="AZ984" t="s">
        <v>74</v>
      </c>
      <c r="BA984" t="s">
        <v>74</v>
      </c>
      <c r="BB984" t="s">
        <v>74</v>
      </c>
      <c r="BC984" t="s">
        <v>74</v>
      </c>
      <c r="BD984">
        <v>105996</v>
      </c>
      <c r="BE984" t="s">
        <v>18653</v>
      </c>
      <c r="BF984" t="str">
        <f>HYPERLINK("http://dx.doi.org/10.1016/j.quascirev.2019.105996","http://dx.doi.org/10.1016/j.quascirev.2019.105996")</f>
        <v>http://dx.doi.org/10.1016/j.quascirev.2019.105996</v>
      </c>
      <c r="BG984" t="s">
        <v>74</v>
      </c>
      <c r="BH984" t="s">
        <v>74</v>
      </c>
      <c r="BI984">
        <v>16</v>
      </c>
      <c r="BJ984" t="s">
        <v>1307</v>
      </c>
      <c r="BK984" t="s">
        <v>103</v>
      </c>
      <c r="BL984" t="s">
        <v>1308</v>
      </c>
      <c r="BM984" t="s">
        <v>18654</v>
      </c>
      <c r="BN984" t="s">
        <v>74</v>
      </c>
      <c r="BO984" t="s">
        <v>193</v>
      </c>
      <c r="BP984" t="s">
        <v>74</v>
      </c>
      <c r="BQ984" t="s">
        <v>74</v>
      </c>
      <c r="BR984" t="s">
        <v>106</v>
      </c>
      <c r="BS984" t="s">
        <v>18655</v>
      </c>
      <c r="BT984" t="str">
        <f>HYPERLINK("https%3A%2F%2Fwww.webofscience.com%2Fwos%2Fwoscc%2Ffull-record%2FWOS:000503096400001","View Full Record in Web of Science")</f>
        <v>View Full Record in Web of Science</v>
      </c>
    </row>
    <row r="985" spans="1:72" x14ac:dyDescent="0.15">
      <c r="A985" t="s">
        <v>72</v>
      </c>
      <c r="B985" t="s">
        <v>18656</v>
      </c>
      <c r="C985" t="s">
        <v>74</v>
      </c>
      <c r="D985" t="s">
        <v>74</v>
      </c>
      <c r="E985" t="s">
        <v>74</v>
      </c>
      <c r="F985" t="s">
        <v>18657</v>
      </c>
      <c r="G985" t="s">
        <v>74</v>
      </c>
      <c r="H985" t="s">
        <v>74</v>
      </c>
      <c r="I985" t="s">
        <v>18658</v>
      </c>
      <c r="J985" t="s">
        <v>2079</v>
      </c>
      <c r="K985" t="s">
        <v>74</v>
      </c>
      <c r="L985" t="s">
        <v>74</v>
      </c>
      <c r="M985" t="s">
        <v>78</v>
      </c>
      <c r="N985" t="s">
        <v>79</v>
      </c>
      <c r="O985" t="s">
        <v>74</v>
      </c>
      <c r="P985" t="s">
        <v>74</v>
      </c>
      <c r="Q985" t="s">
        <v>74</v>
      </c>
      <c r="R985" t="s">
        <v>74</v>
      </c>
      <c r="S985" t="s">
        <v>74</v>
      </c>
      <c r="T985" t="s">
        <v>18659</v>
      </c>
      <c r="U985" t="s">
        <v>18660</v>
      </c>
      <c r="V985" t="s">
        <v>18661</v>
      </c>
      <c r="W985" t="s">
        <v>18662</v>
      </c>
      <c r="X985" t="s">
        <v>18663</v>
      </c>
      <c r="Y985" t="s">
        <v>18646</v>
      </c>
      <c r="Z985" t="s">
        <v>18647</v>
      </c>
      <c r="AA985" t="s">
        <v>18664</v>
      </c>
      <c r="AB985" t="s">
        <v>18665</v>
      </c>
      <c r="AC985" t="s">
        <v>18666</v>
      </c>
      <c r="AD985" t="s">
        <v>18667</v>
      </c>
      <c r="AE985" t="s">
        <v>18668</v>
      </c>
      <c r="AF985" t="s">
        <v>74</v>
      </c>
      <c r="AG985">
        <v>98</v>
      </c>
      <c r="AH985">
        <v>21</v>
      </c>
      <c r="AI985">
        <v>23</v>
      </c>
      <c r="AJ985">
        <v>1</v>
      </c>
      <c r="AK985">
        <v>12</v>
      </c>
      <c r="AL985" t="s">
        <v>434</v>
      </c>
      <c r="AM985" t="s">
        <v>435</v>
      </c>
      <c r="AN985" t="s">
        <v>436</v>
      </c>
      <c r="AO985" t="s">
        <v>2088</v>
      </c>
      <c r="AP985" t="s">
        <v>74</v>
      </c>
      <c r="AQ985" t="s">
        <v>74</v>
      </c>
      <c r="AR985" t="s">
        <v>2089</v>
      </c>
      <c r="AS985" t="s">
        <v>2090</v>
      </c>
      <c r="AT985" t="s">
        <v>12161</v>
      </c>
      <c r="AU985">
        <v>2020</v>
      </c>
      <c r="AV985">
        <v>227</v>
      </c>
      <c r="AW985" t="s">
        <v>74</v>
      </c>
      <c r="AX985" t="s">
        <v>74</v>
      </c>
      <c r="AY985" t="s">
        <v>74</v>
      </c>
      <c r="AZ985" t="s">
        <v>74</v>
      </c>
      <c r="BA985" t="s">
        <v>74</v>
      </c>
      <c r="BB985" t="s">
        <v>74</v>
      </c>
      <c r="BC985" t="s">
        <v>74</v>
      </c>
      <c r="BD985">
        <v>106047</v>
      </c>
      <c r="BE985" t="s">
        <v>18669</v>
      </c>
      <c r="BF985" t="str">
        <f>HYPERLINK("http://dx.doi.org/10.1016/j.quascirev.2019.106047","http://dx.doi.org/10.1016/j.quascirev.2019.106047")</f>
        <v>http://dx.doi.org/10.1016/j.quascirev.2019.106047</v>
      </c>
      <c r="BG985" t="s">
        <v>74</v>
      </c>
      <c r="BH985" t="s">
        <v>74</v>
      </c>
      <c r="BI985">
        <v>19</v>
      </c>
      <c r="BJ985" t="s">
        <v>1307</v>
      </c>
      <c r="BK985" t="s">
        <v>103</v>
      </c>
      <c r="BL985" t="s">
        <v>1308</v>
      </c>
      <c r="BM985" t="s">
        <v>18654</v>
      </c>
      <c r="BN985" t="s">
        <v>74</v>
      </c>
      <c r="BO985" t="s">
        <v>193</v>
      </c>
      <c r="BP985" t="s">
        <v>74</v>
      </c>
      <c r="BQ985" t="s">
        <v>74</v>
      </c>
      <c r="BR985" t="s">
        <v>106</v>
      </c>
      <c r="BS985" t="s">
        <v>18670</v>
      </c>
      <c r="BT985" t="str">
        <f>HYPERLINK("https%3A%2F%2Fwww.webofscience.com%2Fwos%2Fwoscc%2Ffull-record%2FWOS:000503096400016","View Full Record in Web of Science")</f>
        <v>View Full Record in Web of Science</v>
      </c>
    </row>
    <row r="986" spans="1:72" x14ac:dyDescent="0.15">
      <c r="A986" t="s">
        <v>12440</v>
      </c>
      <c r="B986" t="s">
        <v>18671</v>
      </c>
      <c r="C986" t="s">
        <v>74</v>
      </c>
      <c r="D986" t="s">
        <v>74</v>
      </c>
      <c r="E986" t="s">
        <v>12442</v>
      </c>
      <c r="F986" t="s">
        <v>18672</v>
      </c>
      <c r="G986" t="s">
        <v>74</v>
      </c>
      <c r="H986" t="s">
        <v>74</v>
      </c>
      <c r="I986" t="s">
        <v>18673</v>
      </c>
      <c r="J986" t="s">
        <v>13354</v>
      </c>
      <c r="K986" t="s">
        <v>74</v>
      </c>
      <c r="L986" t="s">
        <v>74</v>
      </c>
      <c r="M986" t="s">
        <v>78</v>
      </c>
      <c r="N986" t="s">
        <v>12447</v>
      </c>
      <c r="O986" t="s">
        <v>13355</v>
      </c>
      <c r="P986" t="s">
        <v>13356</v>
      </c>
      <c r="Q986" t="s">
        <v>13357</v>
      </c>
      <c r="R986" t="s">
        <v>74</v>
      </c>
      <c r="S986" t="s">
        <v>74</v>
      </c>
      <c r="T986" t="s">
        <v>18674</v>
      </c>
      <c r="U986" t="s">
        <v>74</v>
      </c>
      <c r="V986" t="s">
        <v>18675</v>
      </c>
      <c r="W986" t="s">
        <v>18676</v>
      </c>
      <c r="X986" t="s">
        <v>18677</v>
      </c>
      <c r="Y986" t="s">
        <v>18678</v>
      </c>
      <c r="Z986" t="s">
        <v>18679</v>
      </c>
      <c r="AA986" t="s">
        <v>13386</v>
      </c>
      <c r="AB986" t="s">
        <v>74</v>
      </c>
      <c r="AC986" t="s">
        <v>18680</v>
      </c>
      <c r="AD986" t="s">
        <v>18681</v>
      </c>
      <c r="AE986" t="s">
        <v>18682</v>
      </c>
      <c r="AF986" t="s">
        <v>74</v>
      </c>
      <c r="AG986">
        <v>10</v>
      </c>
      <c r="AH986">
        <v>1</v>
      </c>
      <c r="AI986">
        <v>1</v>
      </c>
      <c r="AJ986">
        <v>1</v>
      </c>
      <c r="AK986">
        <v>2</v>
      </c>
      <c r="AL986" t="s">
        <v>12442</v>
      </c>
      <c r="AM986" t="s">
        <v>166</v>
      </c>
      <c r="AN986" t="s">
        <v>12459</v>
      </c>
      <c r="AO986" t="s">
        <v>74</v>
      </c>
      <c r="AP986" t="s">
        <v>74</v>
      </c>
      <c r="AQ986" t="s">
        <v>13370</v>
      </c>
      <c r="AR986" t="s">
        <v>74</v>
      </c>
      <c r="AS986" t="s">
        <v>74</v>
      </c>
      <c r="AT986" t="s">
        <v>74</v>
      </c>
      <c r="AU986">
        <v>2020</v>
      </c>
      <c r="AV986" t="s">
        <v>74</v>
      </c>
      <c r="AW986" t="s">
        <v>74</v>
      </c>
      <c r="AX986" t="s">
        <v>74</v>
      </c>
      <c r="AY986" t="s">
        <v>74</v>
      </c>
      <c r="AZ986" t="s">
        <v>74</v>
      </c>
      <c r="BA986" t="s">
        <v>74</v>
      </c>
      <c r="BB986">
        <v>270</v>
      </c>
      <c r="BC986">
        <v>272</v>
      </c>
      <c r="BD986" t="s">
        <v>74</v>
      </c>
      <c r="BE986" t="s">
        <v>74</v>
      </c>
      <c r="BF986" t="s">
        <v>74</v>
      </c>
      <c r="BG986" t="s">
        <v>74</v>
      </c>
      <c r="BH986" t="s">
        <v>74</v>
      </c>
      <c r="BI986">
        <v>3</v>
      </c>
      <c r="BJ986" t="s">
        <v>13372</v>
      </c>
      <c r="BK986" t="s">
        <v>12464</v>
      </c>
      <c r="BL986" t="s">
        <v>13373</v>
      </c>
      <c r="BM986" t="s">
        <v>13374</v>
      </c>
      <c r="BN986" t="s">
        <v>74</v>
      </c>
      <c r="BO986" t="s">
        <v>74</v>
      </c>
      <c r="BP986" t="s">
        <v>74</v>
      </c>
      <c r="BQ986" t="s">
        <v>74</v>
      </c>
      <c r="BR986" t="s">
        <v>106</v>
      </c>
      <c r="BS986" t="s">
        <v>18683</v>
      </c>
      <c r="BT986" t="str">
        <f>HYPERLINK("https%3A%2F%2Fwww.webofscience.com%2Fwos%2Fwoscc%2Ffull-record%2FWOS:000626733300052","View Full Record in Web of Science")</f>
        <v>View Full Record in Web of Science</v>
      </c>
    </row>
    <row r="987" spans="1:72" x14ac:dyDescent="0.15">
      <c r="A987" t="s">
        <v>12440</v>
      </c>
      <c r="B987" t="s">
        <v>18684</v>
      </c>
      <c r="C987" t="s">
        <v>74</v>
      </c>
      <c r="D987" t="s">
        <v>74</v>
      </c>
      <c r="E987" t="s">
        <v>12442</v>
      </c>
      <c r="F987" t="s">
        <v>18685</v>
      </c>
      <c r="G987" t="s">
        <v>74</v>
      </c>
      <c r="H987" t="s">
        <v>74</v>
      </c>
      <c r="I987" t="s">
        <v>18686</v>
      </c>
      <c r="J987" t="s">
        <v>18687</v>
      </c>
      <c r="K987" t="s">
        <v>18688</v>
      </c>
      <c r="L987" t="s">
        <v>74</v>
      </c>
      <c r="M987" t="s">
        <v>78</v>
      </c>
      <c r="N987" t="s">
        <v>12447</v>
      </c>
      <c r="O987" t="s">
        <v>18689</v>
      </c>
      <c r="P987" t="s">
        <v>18690</v>
      </c>
      <c r="Q987" t="s">
        <v>12450</v>
      </c>
      <c r="R987" t="s">
        <v>74</v>
      </c>
      <c r="S987" t="s">
        <v>74</v>
      </c>
      <c r="T987" t="s">
        <v>74</v>
      </c>
      <c r="U987" t="s">
        <v>74</v>
      </c>
      <c r="V987" t="s">
        <v>74</v>
      </c>
      <c r="W987" t="s">
        <v>18691</v>
      </c>
      <c r="X987" t="s">
        <v>18692</v>
      </c>
      <c r="Y987" t="s">
        <v>18693</v>
      </c>
      <c r="Z987" t="s">
        <v>18694</v>
      </c>
      <c r="AA987" t="s">
        <v>18695</v>
      </c>
      <c r="AB987" t="s">
        <v>18696</v>
      </c>
      <c r="AC987" t="s">
        <v>18697</v>
      </c>
      <c r="AD987" t="s">
        <v>18698</v>
      </c>
      <c r="AE987" t="s">
        <v>18699</v>
      </c>
      <c r="AF987" t="s">
        <v>74</v>
      </c>
      <c r="AG987">
        <v>8</v>
      </c>
      <c r="AH987">
        <v>0</v>
      </c>
      <c r="AI987">
        <v>0</v>
      </c>
      <c r="AJ987">
        <v>2</v>
      </c>
      <c r="AK987">
        <v>2</v>
      </c>
      <c r="AL987" t="s">
        <v>12442</v>
      </c>
      <c r="AM987" t="s">
        <v>166</v>
      </c>
      <c r="AN987" t="s">
        <v>12459</v>
      </c>
      <c r="AO987" t="s">
        <v>18700</v>
      </c>
      <c r="AP987" t="s">
        <v>74</v>
      </c>
      <c r="AQ987" t="s">
        <v>18701</v>
      </c>
      <c r="AR987" t="s">
        <v>18702</v>
      </c>
      <c r="AS987" t="s">
        <v>74</v>
      </c>
      <c r="AT987" t="s">
        <v>74</v>
      </c>
      <c r="AU987">
        <v>2020</v>
      </c>
      <c r="AV987" t="s">
        <v>74</v>
      </c>
      <c r="AW987" t="s">
        <v>74</v>
      </c>
      <c r="AX987" t="s">
        <v>74</v>
      </c>
      <c r="AY987" t="s">
        <v>74</v>
      </c>
      <c r="AZ987" t="s">
        <v>74</v>
      </c>
      <c r="BA987" t="s">
        <v>74</v>
      </c>
      <c r="BB987" t="s">
        <v>74</v>
      </c>
      <c r="BC987" t="s">
        <v>74</v>
      </c>
      <c r="BD987" t="s">
        <v>74</v>
      </c>
      <c r="BE987" t="s">
        <v>18703</v>
      </c>
      <c r="BF987" t="str">
        <f>HYPERLINK("http://dx.doi.org/10.1109/auv50043.2020.9267920","http://dx.doi.org/10.1109/auv50043.2020.9267920")</f>
        <v>http://dx.doi.org/10.1109/auv50043.2020.9267920</v>
      </c>
      <c r="BG987" t="s">
        <v>74</v>
      </c>
      <c r="BH987" t="s">
        <v>74</v>
      </c>
      <c r="BI987">
        <v>2</v>
      </c>
      <c r="BJ987" t="s">
        <v>18704</v>
      </c>
      <c r="BK987" t="s">
        <v>12464</v>
      </c>
      <c r="BL987" t="s">
        <v>18705</v>
      </c>
      <c r="BM987" t="s">
        <v>18706</v>
      </c>
      <c r="BN987" t="s">
        <v>74</v>
      </c>
      <c r="BO987" t="s">
        <v>74</v>
      </c>
      <c r="BP987" t="s">
        <v>74</v>
      </c>
      <c r="BQ987" t="s">
        <v>74</v>
      </c>
      <c r="BR987" t="s">
        <v>106</v>
      </c>
      <c r="BS987" t="s">
        <v>18707</v>
      </c>
      <c r="BT987" t="str">
        <f>HYPERLINK("https%3A%2F%2Fwww.webofscience.com%2Fwos%2Fwoscc%2Ffull-record%2FWOS:000896378600037","View Full Record in Web of Science")</f>
        <v>View Full Record in Web of Science</v>
      </c>
    </row>
    <row r="988" spans="1:72" x14ac:dyDescent="0.15">
      <c r="A988" t="s">
        <v>12440</v>
      </c>
      <c r="B988" t="s">
        <v>18708</v>
      </c>
      <c r="C988" t="s">
        <v>74</v>
      </c>
      <c r="D988" t="s">
        <v>74</v>
      </c>
      <c r="E988" t="s">
        <v>12442</v>
      </c>
      <c r="F988" t="s">
        <v>18709</v>
      </c>
      <c r="G988" t="s">
        <v>74</v>
      </c>
      <c r="H988" t="s">
        <v>74</v>
      </c>
      <c r="I988" t="s">
        <v>18710</v>
      </c>
      <c r="J988" t="s">
        <v>18687</v>
      </c>
      <c r="K988" t="s">
        <v>18688</v>
      </c>
      <c r="L988" t="s">
        <v>74</v>
      </c>
      <c r="M988" t="s">
        <v>78</v>
      </c>
      <c r="N988" t="s">
        <v>12447</v>
      </c>
      <c r="O988" t="s">
        <v>18689</v>
      </c>
      <c r="P988" t="s">
        <v>18690</v>
      </c>
      <c r="Q988" t="s">
        <v>12450</v>
      </c>
      <c r="R988" t="s">
        <v>74</v>
      </c>
      <c r="S988" t="s">
        <v>74</v>
      </c>
      <c r="T988" t="s">
        <v>18711</v>
      </c>
      <c r="U988" t="s">
        <v>74</v>
      </c>
      <c r="V988" t="s">
        <v>18712</v>
      </c>
      <c r="W988" t="s">
        <v>18713</v>
      </c>
      <c r="X988" t="s">
        <v>18714</v>
      </c>
      <c r="Y988" t="s">
        <v>18715</v>
      </c>
      <c r="Z988" t="s">
        <v>18716</v>
      </c>
      <c r="AA988" t="s">
        <v>74</v>
      </c>
      <c r="AB988" t="s">
        <v>18717</v>
      </c>
      <c r="AC988" t="s">
        <v>18718</v>
      </c>
      <c r="AD988" t="s">
        <v>7151</v>
      </c>
      <c r="AE988" t="s">
        <v>18719</v>
      </c>
      <c r="AF988" t="s">
        <v>74</v>
      </c>
      <c r="AG988">
        <v>16</v>
      </c>
      <c r="AH988">
        <v>1</v>
      </c>
      <c r="AI988">
        <v>1</v>
      </c>
      <c r="AJ988">
        <v>0</v>
      </c>
      <c r="AK988">
        <v>0</v>
      </c>
      <c r="AL988" t="s">
        <v>12442</v>
      </c>
      <c r="AM988" t="s">
        <v>166</v>
      </c>
      <c r="AN988" t="s">
        <v>12459</v>
      </c>
      <c r="AO988" t="s">
        <v>18700</v>
      </c>
      <c r="AP988" t="s">
        <v>74</v>
      </c>
      <c r="AQ988" t="s">
        <v>18701</v>
      </c>
      <c r="AR988" t="s">
        <v>18702</v>
      </c>
      <c r="AS988" t="s">
        <v>74</v>
      </c>
      <c r="AT988" t="s">
        <v>74</v>
      </c>
      <c r="AU988">
        <v>2020</v>
      </c>
      <c r="AV988" t="s">
        <v>74</v>
      </c>
      <c r="AW988" t="s">
        <v>74</v>
      </c>
      <c r="AX988" t="s">
        <v>74</v>
      </c>
      <c r="AY988" t="s">
        <v>74</v>
      </c>
      <c r="AZ988" t="s">
        <v>74</v>
      </c>
      <c r="BA988" t="s">
        <v>74</v>
      </c>
      <c r="BB988" t="s">
        <v>74</v>
      </c>
      <c r="BC988" t="s">
        <v>74</v>
      </c>
      <c r="BD988" t="s">
        <v>74</v>
      </c>
      <c r="BE988" t="s">
        <v>18720</v>
      </c>
      <c r="BF988" t="str">
        <f>HYPERLINK("http://dx.doi.org/10.1109/auv50043.2020.9267892","http://dx.doi.org/10.1109/auv50043.2020.9267892")</f>
        <v>http://dx.doi.org/10.1109/auv50043.2020.9267892</v>
      </c>
      <c r="BG988" t="s">
        <v>74</v>
      </c>
      <c r="BH988" t="s">
        <v>74</v>
      </c>
      <c r="BI988">
        <v>5</v>
      </c>
      <c r="BJ988" t="s">
        <v>18704</v>
      </c>
      <c r="BK988" t="s">
        <v>12464</v>
      </c>
      <c r="BL988" t="s">
        <v>18705</v>
      </c>
      <c r="BM988" t="s">
        <v>18706</v>
      </c>
      <c r="BN988" t="s">
        <v>74</v>
      </c>
      <c r="BO988" t="s">
        <v>74</v>
      </c>
      <c r="BP988" t="s">
        <v>74</v>
      </c>
      <c r="BQ988" t="s">
        <v>74</v>
      </c>
      <c r="BR988" t="s">
        <v>106</v>
      </c>
      <c r="BS988" t="s">
        <v>18721</v>
      </c>
      <c r="BT988" t="str">
        <f>HYPERLINK("https%3A%2F%2Fwww.webofscience.com%2Fwos%2Fwoscc%2Ffull-record%2FWOS:000896378600009","View Full Record in Web of Science")</f>
        <v>View Full Record in Web of Science</v>
      </c>
    </row>
    <row r="989" spans="1:72" x14ac:dyDescent="0.15">
      <c r="A989" t="s">
        <v>12440</v>
      </c>
      <c r="B989" t="s">
        <v>18722</v>
      </c>
      <c r="C989" t="s">
        <v>74</v>
      </c>
      <c r="D989" t="s">
        <v>74</v>
      </c>
      <c r="E989" t="s">
        <v>12442</v>
      </c>
      <c r="F989" t="s">
        <v>18723</v>
      </c>
      <c r="G989" t="s">
        <v>74</v>
      </c>
      <c r="H989" t="s">
        <v>74</v>
      </c>
      <c r="I989" t="s">
        <v>18724</v>
      </c>
      <c r="J989" t="s">
        <v>18687</v>
      </c>
      <c r="K989" t="s">
        <v>18688</v>
      </c>
      <c r="L989" t="s">
        <v>74</v>
      </c>
      <c r="M989" t="s">
        <v>78</v>
      </c>
      <c r="N989" t="s">
        <v>12447</v>
      </c>
      <c r="O989" t="s">
        <v>18689</v>
      </c>
      <c r="P989" t="s">
        <v>18690</v>
      </c>
      <c r="Q989" t="s">
        <v>12450</v>
      </c>
      <c r="R989" t="s">
        <v>74</v>
      </c>
      <c r="S989" t="s">
        <v>74</v>
      </c>
      <c r="T989" t="s">
        <v>18725</v>
      </c>
      <c r="U989" t="s">
        <v>74</v>
      </c>
      <c r="V989" t="s">
        <v>18726</v>
      </c>
      <c r="W989" t="s">
        <v>18727</v>
      </c>
      <c r="X989" t="s">
        <v>18728</v>
      </c>
      <c r="Y989" t="s">
        <v>18729</v>
      </c>
      <c r="Z989" t="s">
        <v>18730</v>
      </c>
      <c r="AA989" t="s">
        <v>18731</v>
      </c>
      <c r="AB989" t="s">
        <v>74</v>
      </c>
      <c r="AC989" t="s">
        <v>18732</v>
      </c>
      <c r="AD989" t="s">
        <v>18733</v>
      </c>
      <c r="AE989" t="s">
        <v>18734</v>
      </c>
      <c r="AF989" t="s">
        <v>74</v>
      </c>
      <c r="AG989">
        <v>19</v>
      </c>
      <c r="AH989">
        <v>1</v>
      </c>
      <c r="AI989">
        <v>1</v>
      </c>
      <c r="AJ989">
        <v>0</v>
      </c>
      <c r="AK989">
        <v>0</v>
      </c>
      <c r="AL989" t="s">
        <v>12442</v>
      </c>
      <c r="AM989" t="s">
        <v>166</v>
      </c>
      <c r="AN989" t="s">
        <v>12459</v>
      </c>
      <c r="AO989" t="s">
        <v>18700</v>
      </c>
      <c r="AP989" t="s">
        <v>74</v>
      </c>
      <c r="AQ989" t="s">
        <v>18701</v>
      </c>
      <c r="AR989" t="s">
        <v>18702</v>
      </c>
      <c r="AS989" t="s">
        <v>74</v>
      </c>
      <c r="AT989" t="s">
        <v>74</v>
      </c>
      <c r="AU989">
        <v>2020</v>
      </c>
      <c r="AV989" t="s">
        <v>74</v>
      </c>
      <c r="AW989" t="s">
        <v>74</v>
      </c>
      <c r="AX989" t="s">
        <v>74</v>
      </c>
      <c r="AY989" t="s">
        <v>74</v>
      </c>
      <c r="AZ989" t="s">
        <v>74</v>
      </c>
      <c r="BA989" t="s">
        <v>74</v>
      </c>
      <c r="BB989" t="s">
        <v>74</v>
      </c>
      <c r="BC989" t="s">
        <v>74</v>
      </c>
      <c r="BD989" t="s">
        <v>74</v>
      </c>
      <c r="BE989" t="s">
        <v>18735</v>
      </c>
      <c r="BF989" t="str">
        <f>HYPERLINK("http://dx.doi.org/10.1109/auv50043.2020.9267936","http://dx.doi.org/10.1109/auv50043.2020.9267936")</f>
        <v>http://dx.doi.org/10.1109/auv50043.2020.9267936</v>
      </c>
      <c r="BG989" t="s">
        <v>74</v>
      </c>
      <c r="BH989" t="s">
        <v>74</v>
      </c>
      <c r="BI989">
        <v>7</v>
      </c>
      <c r="BJ989" t="s">
        <v>18704</v>
      </c>
      <c r="BK989" t="s">
        <v>12464</v>
      </c>
      <c r="BL989" t="s">
        <v>18705</v>
      </c>
      <c r="BM989" t="s">
        <v>18706</v>
      </c>
      <c r="BN989" t="s">
        <v>74</v>
      </c>
      <c r="BO989" t="s">
        <v>74</v>
      </c>
      <c r="BP989" t="s">
        <v>74</v>
      </c>
      <c r="BQ989" t="s">
        <v>74</v>
      </c>
      <c r="BR989" t="s">
        <v>106</v>
      </c>
      <c r="BS989" t="s">
        <v>18736</v>
      </c>
      <c r="BT989" t="str">
        <f>HYPERLINK("https%3A%2F%2Fwww.webofscience.com%2Fwos%2Fwoscc%2Ffull-record%2FWOS:000896378600053","View Full Record in Web of Science")</f>
        <v>View Full Record in Web of Science</v>
      </c>
    </row>
    <row r="990" spans="1:72" x14ac:dyDescent="0.15">
      <c r="A990" t="s">
        <v>12440</v>
      </c>
      <c r="B990" t="s">
        <v>18737</v>
      </c>
      <c r="C990" t="s">
        <v>74</v>
      </c>
      <c r="D990" t="s">
        <v>74</v>
      </c>
      <c r="E990" t="s">
        <v>12442</v>
      </c>
      <c r="F990" t="s">
        <v>18738</v>
      </c>
      <c r="G990" t="s">
        <v>74</v>
      </c>
      <c r="H990" t="s">
        <v>74</v>
      </c>
      <c r="I990" t="s">
        <v>18739</v>
      </c>
      <c r="J990" t="s">
        <v>18687</v>
      </c>
      <c r="K990" t="s">
        <v>18688</v>
      </c>
      <c r="L990" t="s">
        <v>74</v>
      </c>
      <c r="M990" t="s">
        <v>78</v>
      </c>
      <c r="N990" t="s">
        <v>12447</v>
      </c>
      <c r="O990" t="s">
        <v>18689</v>
      </c>
      <c r="P990" t="s">
        <v>18690</v>
      </c>
      <c r="Q990" t="s">
        <v>12450</v>
      </c>
      <c r="R990" t="s">
        <v>74</v>
      </c>
      <c r="S990" t="s">
        <v>74</v>
      </c>
      <c r="T990" t="s">
        <v>18740</v>
      </c>
      <c r="U990" t="s">
        <v>18741</v>
      </c>
      <c r="V990" t="s">
        <v>18742</v>
      </c>
      <c r="W990" t="s">
        <v>18743</v>
      </c>
      <c r="X990" t="s">
        <v>18744</v>
      </c>
      <c r="Y990" t="s">
        <v>18745</v>
      </c>
      <c r="Z990" t="s">
        <v>18746</v>
      </c>
      <c r="AA990" t="s">
        <v>74</v>
      </c>
      <c r="AB990" t="s">
        <v>74</v>
      </c>
      <c r="AC990" t="s">
        <v>18747</v>
      </c>
      <c r="AD990" t="s">
        <v>18747</v>
      </c>
      <c r="AE990" t="s">
        <v>18748</v>
      </c>
      <c r="AF990" t="s">
        <v>74</v>
      </c>
      <c r="AG990">
        <v>50</v>
      </c>
      <c r="AH990">
        <v>8</v>
      </c>
      <c r="AI990">
        <v>8</v>
      </c>
      <c r="AJ990">
        <v>4</v>
      </c>
      <c r="AK990">
        <v>5</v>
      </c>
      <c r="AL990" t="s">
        <v>12442</v>
      </c>
      <c r="AM990" t="s">
        <v>166</v>
      </c>
      <c r="AN990" t="s">
        <v>12459</v>
      </c>
      <c r="AO990" t="s">
        <v>18700</v>
      </c>
      <c r="AP990" t="s">
        <v>74</v>
      </c>
      <c r="AQ990" t="s">
        <v>18701</v>
      </c>
      <c r="AR990" t="s">
        <v>18702</v>
      </c>
      <c r="AS990" t="s">
        <v>74</v>
      </c>
      <c r="AT990" t="s">
        <v>74</v>
      </c>
      <c r="AU990">
        <v>2020</v>
      </c>
      <c r="AV990" t="s">
        <v>74</v>
      </c>
      <c r="AW990" t="s">
        <v>74</v>
      </c>
      <c r="AX990" t="s">
        <v>74</v>
      </c>
      <c r="AY990" t="s">
        <v>74</v>
      </c>
      <c r="AZ990" t="s">
        <v>74</v>
      </c>
      <c r="BA990" t="s">
        <v>74</v>
      </c>
      <c r="BB990" t="s">
        <v>74</v>
      </c>
      <c r="BC990" t="s">
        <v>74</v>
      </c>
      <c r="BD990" t="s">
        <v>74</v>
      </c>
      <c r="BE990" t="s">
        <v>18749</v>
      </c>
      <c r="BF990" t="str">
        <f>HYPERLINK("http://dx.doi.org/10.1109/auv50043.2020.9267952","http://dx.doi.org/10.1109/auv50043.2020.9267952")</f>
        <v>http://dx.doi.org/10.1109/auv50043.2020.9267952</v>
      </c>
      <c r="BG990" t="s">
        <v>74</v>
      </c>
      <c r="BH990" t="s">
        <v>74</v>
      </c>
      <c r="BI990">
        <v>8</v>
      </c>
      <c r="BJ990" t="s">
        <v>18704</v>
      </c>
      <c r="BK990" t="s">
        <v>12464</v>
      </c>
      <c r="BL990" t="s">
        <v>18705</v>
      </c>
      <c r="BM990" t="s">
        <v>18706</v>
      </c>
      <c r="BN990" t="s">
        <v>74</v>
      </c>
      <c r="BO990" t="s">
        <v>74</v>
      </c>
      <c r="BP990" t="s">
        <v>74</v>
      </c>
      <c r="BQ990" t="s">
        <v>74</v>
      </c>
      <c r="BR990" t="s">
        <v>106</v>
      </c>
      <c r="BS990" t="s">
        <v>18750</v>
      </c>
      <c r="BT990" t="str">
        <f>HYPERLINK("https%3A%2F%2Fwww.webofscience.com%2Fwos%2Fwoscc%2Ffull-record%2FWOS:000896378600069","View Full Record in Web of Science")</f>
        <v>View Full Record in Web of Science</v>
      </c>
    </row>
    <row r="991" spans="1:72" x14ac:dyDescent="0.15">
      <c r="A991" t="s">
        <v>12440</v>
      </c>
      <c r="B991" t="s">
        <v>18751</v>
      </c>
      <c r="C991" t="s">
        <v>74</v>
      </c>
      <c r="D991" t="s">
        <v>74</v>
      </c>
      <c r="E991" t="s">
        <v>12442</v>
      </c>
      <c r="F991" t="s">
        <v>18752</v>
      </c>
      <c r="G991" t="s">
        <v>74</v>
      </c>
      <c r="H991" t="s">
        <v>74</v>
      </c>
      <c r="I991" t="s">
        <v>18753</v>
      </c>
      <c r="J991" t="s">
        <v>18754</v>
      </c>
      <c r="K991" t="s">
        <v>74</v>
      </c>
      <c r="L991" t="s">
        <v>74</v>
      </c>
      <c r="M991" t="s">
        <v>78</v>
      </c>
      <c r="N991" t="s">
        <v>12447</v>
      </c>
      <c r="O991" t="s">
        <v>18755</v>
      </c>
      <c r="P991" t="s">
        <v>18756</v>
      </c>
      <c r="Q991" t="s">
        <v>12450</v>
      </c>
      <c r="R991" t="s">
        <v>74</v>
      </c>
      <c r="S991" t="s">
        <v>74</v>
      </c>
      <c r="T991" t="s">
        <v>18757</v>
      </c>
      <c r="U991" t="s">
        <v>74</v>
      </c>
      <c r="V991" t="s">
        <v>18758</v>
      </c>
      <c r="W991" t="s">
        <v>74</v>
      </c>
      <c r="X991" t="s">
        <v>74</v>
      </c>
      <c r="Y991" t="s">
        <v>74</v>
      </c>
      <c r="Z991" t="s">
        <v>74</v>
      </c>
      <c r="AA991" t="s">
        <v>18759</v>
      </c>
      <c r="AB991" t="s">
        <v>18760</v>
      </c>
      <c r="AC991" t="s">
        <v>18761</v>
      </c>
      <c r="AD991" t="s">
        <v>18762</v>
      </c>
      <c r="AE991" t="s">
        <v>18763</v>
      </c>
      <c r="AF991" t="s">
        <v>74</v>
      </c>
      <c r="AG991">
        <v>5</v>
      </c>
      <c r="AH991">
        <v>2</v>
      </c>
      <c r="AI991">
        <v>2</v>
      </c>
      <c r="AJ991">
        <v>0</v>
      </c>
      <c r="AK991">
        <v>1</v>
      </c>
      <c r="AL991" t="s">
        <v>12442</v>
      </c>
      <c r="AM991" t="s">
        <v>166</v>
      </c>
      <c r="AN991" t="s">
        <v>12459</v>
      </c>
      <c r="AO991" t="s">
        <v>74</v>
      </c>
      <c r="AP991" t="s">
        <v>74</v>
      </c>
      <c r="AQ991" t="s">
        <v>18764</v>
      </c>
      <c r="AR991" t="s">
        <v>74</v>
      </c>
      <c r="AS991" t="s">
        <v>74</v>
      </c>
      <c r="AT991" t="s">
        <v>74</v>
      </c>
      <c r="AU991">
        <v>2020</v>
      </c>
      <c r="AV991" t="s">
        <v>74</v>
      </c>
      <c r="AW991" t="s">
        <v>74</v>
      </c>
      <c r="AX991" t="s">
        <v>74</v>
      </c>
      <c r="AY991" t="s">
        <v>74</v>
      </c>
      <c r="AZ991" t="s">
        <v>74</v>
      </c>
      <c r="BA991" t="s">
        <v>74</v>
      </c>
      <c r="BB991" t="s">
        <v>74</v>
      </c>
      <c r="BC991" t="s">
        <v>74</v>
      </c>
      <c r="BD991" t="s">
        <v>74</v>
      </c>
      <c r="BE991" t="s">
        <v>18765</v>
      </c>
      <c r="BF991" t="str">
        <f>HYPERLINK("http://dx.doi.org/10.1109/sas48726.2020.9220085","http://dx.doi.org/10.1109/sas48726.2020.9220085")</f>
        <v>http://dx.doi.org/10.1109/sas48726.2020.9220085</v>
      </c>
      <c r="BG991" t="s">
        <v>74</v>
      </c>
      <c r="BH991" t="s">
        <v>74</v>
      </c>
      <c r="BI991">
        <v>5</v>
      </c>
      <c r="BJ991" t="s">
        <v>18766</v>
      </c>
      <c r="BK991" t="s">
        <v>12464</v>
      </c>
      <c r="BL991" t="s">
        <v>18767</v>
      </c>
      <c r="BM991" t="s">
        <v>18768</v>
      </c>
      <c r="BN991" t="s">
        <v>74</v>
      </c>
      <c r="BO991" t="s">
        <v>74</v>
      </c>
      <c r="BP991" t="s">
        <v>74</v>
      </c>
      <c r="BQ991" t="s">
        <v>74</v>
      </c>
      <c r="BR991" t="s">
        <v>106</v>
      </c>
      <c r="BS991" t="s">
        <v>18769</v>
      </c>
      <c r="BT991" t="str">
        <f>HYPERLINK("https%3A%2F%2Fwww.webofscience.com%2Fwos%2Fwoscc%2Ffull-record%2FWOS:000758443500072","View Full Record in Web of Science")</f>
        <v>View Full Record in Web of Science</v>
      </c>
    </row>
    <row r="992" spans="1:72" x14ac:dyDescent="0.15">
      <c r="A992" t="s">
        <v>12440</v>
      </c>
      <c r="B992" t="s">
        <v>18770</v>
      </c>
      <c r="C992" t="s">
        <v>74</v>
      </c>
      <c r="D992" t="s">
        <v>18771</v>
      </c>
      <c r="E992" t="s">
        <v>74</v>
      </c>
      <c r="F992" t="s">
        <v>18772</v>
      </c>
      <c r="G992" t="s">
        <v>74</v>
      </c>
      <c r="H992" t="s">
        <v>74</v>
      </c>
      <c r="I992" t="s">
        <v>18773</v>
      </c>
      <c r="J992" t="s">
        <v>18774</v>
      </c>
      <c r="K992" t="s">
        <v>18775</v>
      </c>
      <c r="L992" t="s">
        <v>74</v>
      </c>
      <c r="M992" t="s">
        <v>78</v>
      </c>
      <c r="N992" t="s">
        <v>12447</v>
      </c>
      <c r="O992" t="s">
        <v>18776</v>
      </c>
      <c r="P992" t="s">
        <v>18777</v>
      </c>
      <c r="Q992" t="s">
        <v>18778</v>
      </c>
      <c r="R992" t="s">
        <v>74</v>
      </c>
      <c r="S992" t="s">
        <v>74</v>
      </c>
      <c r="T992" t="s">
        <v>18779</v>
      </c>
      <c r="U992" t="s">
        <v>18780</v>
      </c>
      <c r="V992" t="s">
        <v>18781</v>
      </c>
      <c r="W992" t="s">
        <v>18782</v>
      </c>
      <c r="X992" t="s">
        <v>18783</v>
      </c>
      <c r="Y992" t="s">
        <v>18784</v>
      </c>
      <c r="Z992" t="s">
        <v>18785</v>
      </c>
      <c r="AA992" t="s">
        <v>74</v>
      </c>
      <c r="AB992" t="s">
        <v>74</v>
      </c>
      <c r="AC992" t="s">
        <v>18786</v>
      </c>
      <c r="AD992" t="s">
        <v>18787</v>
      </c>
      <c r="AE992" t="s">
        <v>18788</v>
      </c>
      <c r="AF992" t="s">
        <v>74</v>
      </c>
      <c r="AG992">
        <v>22</v>
      </c>
      <c r="AH992">
        <v>0</v>
      </c>
      <c r="AI992">
        <v>0</v>
      </c>
      <c r="AJ992">
        <v>0</v>
      </c>
      <c r="AK992">
        <v>0</v>
      </c>
      <c r="AL992" t="s">
        <v>18789</v>
      </c>
      <c r="AM992" t="s">
        <v>17255</v>
      </c>
      <c r="AN992" t="s">
        <v>18790</v>
      </c>
      <c r="AO992" t="s">
        <v>18791</v>
      </c>
      <c r="AP992" t="s">
        <v>74</v>
      </c>
      <c r="AQ992" t="s">
        <v>74</v>
      </c>
      <c r="AR992" t="s">
        <v>18792</v>
      </c>
      <c r="AS992" t="s">
        <v>74</v>
      </c>
      <c r="AT992" t="s">
        <v>74</v>
      </c>
      <c r="AU992">
        <v>2020</v>
      </c>
      <c r="AV992" t="s">
        <v>74</v>
      </c>
      <c r="AW992" t="s">
        <v>74</v>
      </c>
      <c r="AX992" t="s">
        <v>74</v>
      </c>
      <c r="AY992" t="s">
        <v>74</v>
      </c>
      <c r="AZ992" t="s">
        <v>74</v>
      </c>
      <c r="BA992" t="s">
        <v>74</v>
      </c>
      <c r="BB992">
        <v>213</v>
      </c>
      <c r="BC992">
        <v>221</v>
      </c>
      <c r="BD992" t="s">
        <v>74</v>
      </c>
      <c r="BE992" t="s">
        <v>74</v>
      </c>
      <c r="BF992" t="s">
        <v>74</v>
      </c>
      <c r="BG992" t="s">
        <v>74</v>
      </c>
      <c r="BH992" t="s">
        <v>74</v>
      </c>
      <c r="BI992">
        <v>9</v>
      </c>
      <c r="BJ992" t="s">
        <v>18793</v>
      </c>
      <c r="BK992" t="s">
        <v>18794</v>
      </c>
      <c r="BL992" t="s">
        <v>18795</v>
      </c>
      <c r="BM992" t="s">
        <v>18796</v>
      </c>
      <c r="BN992" t="s">
        <v>74</v>
      </c>
      <c r="BO992" t="s">
        <v>74</v>
      </c>
      <c r="BP992" t="s">
        <v>74</v>
      </c>
      <c r="BQ992" t="s">
        <v>74</v>
      </c>
      <c r="BR992" t="s">
        <v>106</v>
      </c>
      <c r="BS992" t="s">
        <v>18797</v>
      </c>
      <c r="BT992" t="str">
        <f>HYPERLINK("https%3A%2F%2Fwww.webofscience.com%2Fwos%2Fwoscc%2Ffull-record%2FWOS:000853257000023","View Full Record in Web of Science")</f>
        <v>View Full Record in Web of Science</v>
      </c>
    </row>
    <row r="993" spans="1:72" x14ac:dyDescent="0.15">
      <c r="A993" t="s">
        <v>72</v>
      </c>
      <c r="B993" t="s">
        <v>18798</v>
      </c>
      <c r="C993" t="s">
        <v>74</v>
      </c>
      <c r="D993" t="s">
        <v>74</v>
      </c>
      <c r="E993" t="s">
        <v>74</v>
      </c>
      <c r="F993" t="s">
        <v>18799</v>
      </c>
      <c r="G993" t="s">
        <v>74</v>
      </c>
      <c r="H993" t="s">
        <v>74</v>
      </c>
      <c r="I993" t="s">
        <v>18800</v>
      </c>
      <c r="J993" t="s">
        <v>18801</v>
      </c>
      <c r="K993" t="s">
        <v>74</v>
      </c>
      <c r="L993" t="s">
        <v>74</v>
      </c>
      <c r="M993" t="s">
        <v>78</v>
      </c>
      <c r="N993" t="s">
        <v>79</v>
      </c>
      <c r="O993" t="s">
        <v>74</v>
      </c>
      <c r="P993" t="s">
        <v>74</v>
      </c>
      <c r="Q993" t="s">
        <v>74</v>
      </c>
      <c r="R993" t="s">
        <v>74</v>
      </c>
      <c r="S993" t="s">
        <v>74</v>
      </c>
      <c r="T993" t="s">
        <v>18802</v>
      </c>
      <c r="U993" t="s">
        <v>18803</v>
      </c>
      <c r="V993" t="s">
        <v>18804</v>
      </c>
      <c r="W993" t="s">
        <v>18805</v>
      </c>
      <c r="X993" t="s">
        <v>18806</v>
      </c>
      <c r="Y993" t="s">
        <v>18807</v>
      </c>
      <c r="Z993" t="s">
        <v>18808</v>
      </c>
      <c r="AA993" t="s">
        <v>18809</v>
      </c>
      <c r="AB993" t="s">
        <v>18810</v>
      </c>
      <c r="AC993" t="s">
        <v>18811</v>
      </c>
      <c r="AD993" t="s">
        <v>18812</v>
      </c>
      <c r="AE993" t="s">
        <v>18813</v>
      </c>
      <c r="AF993" t="s">
        <v>74</v>
      </c>
      <c r="AG993">
        <v>63</v>
      </c>
      <c r="AH993">
        <v>17</v>
      </c>
      <c r="AI993">
        <v>17</v>
      </c>
      <c r="AJ993">
        <v>9</v>
      </c>
      <c r="AK993">
        <v>36</v>
      </c>
      <c r="AL993" t="s">
        <v>289</v>
      </c>
      <c r="AM993" t="s">
        <v>290</v>
      </c>
      <c r="AN993" t="s">
        <v>291</v>
      </c>
      <c r="AO993" t="s">
        <v>18814</v>
      </c>
      <c r="AP993" t="s">
        <v>74</v>
      </c>
      <c r="AQ993" t="s">
        <v>74</v>
      </c>
      <c r="AR993" t="s">
        <v>18815</v>
      </c>
      <c r="AS993" t="s">
        <v>18816</v>
      </c>
      <c r="AT993" t="s">
        <v>1033</v>
      </c>
      <c r="AU993">
        <v>2020</v>
      </c>
      <c r="AV993">
        <v>45</v>
      </c>
      <c r="AW993" t="s">
        <v>74</v>
      </c>
      <c r="AX993" t="s">
        <v>74</v>
      </c>
      <c r="AY993" t="s">
        <v>74</v>
      </c>
      <c r="AZ993" t="s">
        <v>74</v>
      </c>
      <c r="BA993" t="s">
        <v>74</v>
      </c>
      <c r="BB993" t="s">
        <v>74</v>
      </c>
      <c r="BC993" t="s">
        <v>74</v>
      </c>
      <c r="BD993">
        <v>101738</v>
      </c>
      <c r="BE993" t="s">
        <v>18817</v>
      </c>
      <c r="BF993" t="str">
        <f>HYPERLINK("http://dx.doi.org/10.1016/j.algal.2019.101738","http://dx.doi.org/10.1016/j.algal.2019.101738")</f>
        <v>http://dx.doi.org/10.1016/j.algal.2019.101738</v>
      </c>
      <c r="BG993" t="s">
        <v>74</v>
      </c>
      <c r="BH993" t="s">
        <v>74</v>
      </c>
      <c r="BI993">
        <v>8</v>
      </c>
      <c r="BJ993" t="s">
        <v>6453</v>
      </c>
      <c r="BK993" t="s">
        <v>103</v>
      </c>
      <c r="BL993" t="s">
        <v>6453</v>
      </c>
      <c r="BM993" t="s">
        <v>18818</v>
      </c>
      <c r="BN993" t="s">
        <v>74</v>
      </c>
      <c r="BO993" t="s">
        <v>74</v>
      </c>
      <c r="BP993" t="s">
        <v>74</v>
      </c>
      <c r="BQ993" t="s">
        <v>74</v>
      </c>
      <c r="BR993" t="s">
        <v>106</v>
      </c>
      <c r="BS993" t="s">
        <v>18819</v>
      </c>
      <c r="BT993" t="str">
        <f>HYPERLINK("https%3A%2F%2Fwww.webofscience.com%2Fwos%2Fwoscc%2Ffull-record%2FWOS:000507580300026","View Full Record in Web of Science")</f>
        <v>View Full Record in Web of Science</v>
      </c>
    </row>
    <row r="994" spans="1:72" x14ac:dyDescent="0.15">
      <c r="A994" t="s">
        <v>72</v>
      </c>
      <c r="B994" t="s">
        <v>18820</v>
      </c>
      <c r="C994" t="s">
        <v>74</v>
      </c>
      <c r="D994" t="s">
        <v>74</v>
      </c>
      <c r="E994" t="s">
        <v>74</v>
      </c>
      <c r="F994" t="s">
        <v>18821</v>
      </c>
      <c r="G994" t="s">
        <v>74</v>
      </c>
      <c r="H994" t="s">
        <v>74</v>
      </c>
      <c r="I994" t="s">
        <v>18822</v>
      </c>
      <c r="J994" t="s">
        <v>13911</v>
      </c>
      <c r="K994" t="s">
        <v>74</v>
      </c>
      <c r="L994" t="s">
        <v>74</v>
      </c>
      <c r="M994" t="s">
        <v>78</v>
      </c>
      <c r="N994" t="s">
        <v>79</v>
      </c>
      <c r="O994" t="s">
        <v>74</v>
      </c>
      <c r="P994" t="s">
        <v>74</v>
      </c>
      <c r="Q994" t="s">
        <v>74</v>
      </c>
      <c r="R994" t="s">
        <v>74</v>
      </c>
      <c r="S994" t="s">
        <v>74</v>
      </c>
      <c r="T994" t="s">
        <v>18823</v>
      </c>
      <c r="U994" t="s">
        <v>18824</v>
      </c>
      <c r="V994" t="s">
        <v>18825</v>
      </c>
      <c r="W994" t="s">
        <v>18826</v>
      </c>
      <c r="X994" t="s">
        <v>18827</v>
      </c>
      <c r="Y994" t="s">
        <v>18828</v>
      </c>
      <c r="Z994" t="s">
        <v>18829</v>
      </c>
      <c r="AA994" t="s">
        <v>18830</v>
      </c>
      <c r="AB994" t="s">
        <v>18831</v>
      </c>
      <c r="AC994" t="s">
        <v>18832</v>
      </c>
      <c r="AD994" t="s">
        <v>18833</v>
      </c>
      <c r="AE994" t="s">
        <v>18834</v>
      </c>
      <c r="AF994" t="s">
        <v>74</v>
      </c>
      <c r="AG994">
        <v>63</v>
      </c>
      <c r="AH994">
        <v>2</v>
      </c>
      <c r="AI994">
        <v>2</v>
      </c>
      <c r="AJ994">
        <v>2</v>
      </c>
      <c r="AK994">
        <v>12</v>
      </c>
      <c r="AL994" t="s">
        <v>2627</v>
      </c>
      <c r="AM994" t="s">
        <v>2628</v>
      </c>
      <c r="AN994" t="s">
        <v>2629</v>
      </c>
      <c r="AO994" t="s">
        <v>13924</v>
      </c>
      <c r="AP994" t="s">
        <v>13925</v>
      </c>
      <c r="AQ994" t="s">
        <v>74</v>
      </c>
      <c r="AR994" t="s">
        <v>13926</v>
      </c>
      <c r="AS994" t="s">
        <v>13927</v>
      </c>
      <c r="AT994" t="s">
        <v>12161</v>
      </c>
      <c r="AU994">
        <v>2020</v>
      </c>
      <c r="AV994">
        <v>52</v>
      </c>
      <c r="AW994">
        <v>1</v>
      </c>
      <c r="AX994" t="s">
        <v>74</v>
      </c>
      <c r="AY994" t="s">
        <v>74</v>
      </c>
      <c r="AZ994" t="s">
        <v>74</v>
      </c>
      <c r="BA994" t="s">
        <v>74</v>
      </c>
      <c r="BB994">
        <v>424</v>
      </c>
      <c r="BC994">
        <v>434</v>
      </c>
      <c r="BD994" t="s">
        <v>74</v>
      </c>
      <c r="BE994" t="s">
        <v>18835</v>
      </c>
      <c r="BF994" t="str">
        <f>HYPERLINK("http://dx.doi.org/10.1080/15230430.2020.1800972","http://dx.doi.org/10.1080/15230430.2020.1800972")</f>
        <v>http://dx.doi.org/10.1080/15230430.2020.1800972</v>
      </c>
      <c r="BG994" t="s">
        <v>74</v>
      </c>
      <c r="BH994" t="s">
        <v>74</v>
      </c>
      <c r="BI994">
        <v>11</v>
      </c>
      <c r="BJ994" t="s">
        <v>13929</v>
      </c>
      <c r="BK994" t="s">
        <v>103</v>
      </c>
      <c r="BL994" t="s">
        <v>1828</v>
      </c>
      <c r="BM994" t="s">
        <v>18836</v>
      </c>
      <c r="BN994" t="s">
        <v>74</v>
      </c>
      <c r="BO994" t="s">
        <v>2592</v>
      </c>
      <c r="BP994" t="s">
        <v>74</v>
      </c>
      <c r="BQ994" t="s">
        <v>74</v>
      </c>
      <c r="BR994" t="s">
        <v>106</v>
      </c>
      <c r="BS994" t="s">
        <v>18837</v>
      </c>
      <c r="BT994" t="str">
        <f>HYPERLINK("https%3A%2F%2Fwww.webofscience.com%2Fwos%2Fwoscc%2Ffull-record%2FWOS:000563206300001","View Full Record in Web of Science")</f>
        <v>View Full Record in Web of Science</v>
      </c>
    </row>
    <row r="995" spans="1:72" x14ac:dyDescent="0.15">
      <c r="A995" t="s">
        <v>72</v>
      </c>
      <c r="B995" t="s">
        <v>18838</v>
      </c>
      <c r="C995" t="s">
        <v>74</v>
      </c>
      <c r="D995" t="s">
        <v>74</v>
      </c>
      <c r="E995" t="s">
        <v>74</v>
      </c>
      <c r="F995" t="s">
        <v>18839</v>
      </c>
      <c r="G995" t="s">
        <v>74</v>
      </c>
      <c r="H995" t="s">
        <v>74</v>
      </c>
      <c r="I995" t="s">
        <v>18840</v>
      </c>
      <c r="J995" t="s">
        <v>13911</v>
      </c>
      <c r="K995" t="s">
        <v>74</v>
      </c>
      <c r="L995" t="s">
        <v>74</v>
      </c>
      <c r="M995" t="s">
        <v>78</v>
      </c>
      <c r="N995" t="s">
        <v>79</v>
      </c>
      <c r="O995" t="s">
        <v>74</v>
      </c>
      <c r="P995" t="s">
        <v>74</v>
      </c>
      <c r="Q995" t="s">
        <v>74</v>
      </c>
      <c r="R995" t="s">
        <v>74</v>
      </c>
      <c r="S995" t="s">
        <v>74</v>
      </c>
      <c r="T995" t="s">
        <v>18841</v>
      </c>
      <c r="U995" t="s">
        <v>18842</v>
      </c>
      <c r="V995" t="s">
        <v>18843</v>
      </c>
      <c r="W995" t="s">
        <v>18844</v>
      </c>
      <c r="X995" t="s">
        <v>18845</v>
      </c>
      <c r="Y995" t="s">
        <v>18846</v>
      </c>
      <c r="Z995" t="s">
        <v>18847</v>
      </c>
      <c r="AA995" t="s">
        <v>18848</v>
      </c>
      <c r="AB995" t="s">
        <v>18849</v>
      </c>
      <c r="AC995" t="s">
        <v>18850</v>
      </c>
      <c r="AD995" t="s">
        <v>18851</v>
      </c>
      <c r="AE995" t="s">
        <v>18852</v>
      </c>
      <c r="AF995" t="s">
        <v>74</v>
      </c>
      <c r="AG995">
        <v>112</v>
      </c>
      <c r="AH995">
        <v>19</v>
      </c>
      <c r="AI995">
        <v>22</v>
      </c>
      <c r="AJ995">
        <v>10</v>
      </c>
      <c r="AK995">
        <v>61</v>
      </c>
      <c r="AL995" t="s">
        <v>2627</v>
      </c>
      <c r="AM995" t="s">
        <v>2628</v>
      </c>
      <c r="AN995" t="s">
        <v>2629</v>
      </c>
      <c r="AO995" t="s">
        <v>13924</v>
      </c>
      <c r="AP995" t="s">
        <v>13925</v>
      </c>
      <c r="AQ995" t="s">
        <v>74</v>
      </c>
      <c r="AR995" t="s">
        <v>13926</v>
      </c>
      <c r="AS995" t="s">
        <v>13927</v>
      </c>
      <c r="AT995" t="s">
        <v>12161</v>
      </c>
      <c r="AU995">
        <v>2020</v>
      </c>
      <c r="AV995">
        <v>52</v>
      </c>
      <c r="AW995">
        <v>1</v>
      </c>
      <c r="AX995" t="s">
        <v>74</v>
      </c>
      <c r="AY995" t="s">
        <v>74</v>
      </c>
      <c r="AZ995" t="s">
        <v>74</v>
      </c>
      <c r="BA995" t="s">
        <v>74</v>
      </c>
      <c r="BB995">
        <v>651</v>
      </c>
      <c r="BC995">
        <v>665</v>
      </c>
      <c r="BD995" t="s">
        <v>74</v>
      </c>
      <c r="BE995" t="s">
        <v>18853</v>
      </c>
      <c r="BF995" t="str">
        <f>HYPERLINK("http://dx.doi.org/10.1080/15230430.2020.1845919","http://dx.doi.org/10.1080/15230430.2020.1845919")</f>
        <v>http://dx.doi.org/10.1080/15230430.2020.1845919</v>
      </c>
      <c r="BG995" t="s">
        <v>74</v>
      </c>
      <c r="BH995" t="s">
        <v>74</v>
      </c>
      <c r="BI995">
        <v>15</v>
      </c>
      <c r="BJ995" t="s">
        <v>13929</v>
      </c>
      <c r="BK995" t="s">
        <v>103</v>
      </c>
      <c r="BL995" t="s">
        <v>1828</v>
      </c>
      <c r="BM995" t="s">
        <v>18854</v>
      </c>
      <c r="BN995" t="s">
        <v>74</v>
      </c>
      <c r="BO995" t="s">
        <v>276</v>
      </c>
      <c r="BP995" t="s">
        <v>74</v>
      </c>
      <c r="BQ995" t="s">
        <v>74</v>
      </c>
      <c r="BR995" t="s">
        <v>106</v>
      </c>
      <c r="BS995" t="s">
        <v>18855</v>
      </c>
      <c r="BT995" t="str">
        <f>HYPERLINK("https%3A%2F%2Fwww.webofscience.com%2Fwos%2Fwoscc%2Ffull-record%2FWOS:000601401000001","View Full Record in Web of Science")</f>
        <v>View Full Record in Web of Science</v>
      </c>
    </row>
    <row r="996" spans="1:72" x14ac:dyDescent="0.15">
      <c r="A996" t="s">
        <v>72</v>
      </c>
      <c r="B996" t="s">
        <v>18856</v>
      </c>
      <c r="C996" t="s">
        <v>74</v>
      </c>
      <c r="D996" t="s">
        <v>74</v>
      </c>
      <c r="E996" t="s">
        <v>74</v>
      </c>
      <c r="F996" t="s">
        <v>18857</v>
      </c>
      <c r="G996" t="s">
        <v>74</v>
      </c>
      <c r="H996" t="s">
        <v>74</v>
      </c>
      <c r="I996" t="s">
        <v>18858</v>
      </c>
      <c r="J996" t="s">
        <v>18859</v>
      </c>
      <c r="K996" t="s">
        <v>74</v>
      </c>
      <c r="L996" t="s">
        <v>74</v>
      </c>
      <c r="M996" t="s">
        <v>78</v>
      </c>
      <c r="N996" t="s">
        <v>79</v>
      </c>
      <c r="O996" t="s">
        <v>74</v>
      </c>
      <c r="P996" t="s">
        <v>74</v>
      </c>
      <c r="Q996" t="s">
        <v>74</v>
      </c>
      <c r="R996" t="s">
        <v>74</v>
      </c>
      <c r="S996" t="s">
        <v>74</v>
      </c>
      <c r="T996" t="s">
        <v>18860</v>
      </c>
      <c r="U996" t="s">
        <v>18861</v>
      </c>
      <c r="V996" t="s">
        <v>18862</v>
      </c>
      <c r="W996" t="s">
        <v>18863</v>
      </c>
      <c r="X996" t="s">
        <v>18864</v>
      </c>
      <c r="Y996" t="s">
        <v>18865</v>
      </c>
      <c r="Z996" t="s">
        <v>18866</v>
      </c>
      <c r="AA996" t="s">
        <v>18867</v>
      </c>
      <c r="AB996" t="s">
        <v>18868</v>
      </c>
      <c r="AC996" t="s">
        <v>74</v>
      </c>
      <c r="AD996" t="s">
        <v>74</v>
      </c>
      <c r="AE996" t="s">
        <v>74</v>
      </c>
      <c r="AF996" t="s">
        <v>74</v>
      </c>
      <c r="AG996">
        <v>123</v>
      </c>
      <c r="AH996">
        <v>28</v>
      </c>
      <c r="AI996">
        <v>29</v>
      </c>
      <c r="AJ996">
        <v>3</v>
      </c>
      <c r="AK996">
        <v>47</v>
      </c>
      <c r="AL996" t="s">
        <v>121</v>
      </c>
      <c r="AM996" t="s">
        <v>122</v>
      </c>
      <c r="AN996" t="s">
        <v>123</v>
      </c>
      <c r="AO996" t="s">
        <v>18869</v>
      </c>
      <c r="AP996" t="s">
        <v>18870</v>
      </c>
      <c r="AQ996" t="s">
        <v>74</v>
      </c>
      <c r="AR996" t="s">
        <v>18871</v>
      </c>
      <c r="AS996" t="s">
        <v>18872</v>
      </c>
      <c r="AT996" t="s">
        <v>1033</v>
      </c>
      <c r="AU996">
        <v>2020</v>
      </c>
      <c r="AV996">
        <v>29</v>
      </c>
      <c r="AW996">
        <v>1</v>
      </c>
      <c r="AX996" t="s">
        <v>74</v>
      </c>
      <c r="AY996" t="s">
        <v>74</v>
      </c>
      <c r="AZ996" t="s">
        <v>74</v>
      </c>
      <c r="BA996" t="s">
        <v>74</v>
      </c>
      <c r="BB996">
        <v>251</v>
      </c>
      <c r="BC996">
        <v>282</v>
      </c>
      <c r="BD996" t="s">
        <v>74</v>
      </c>
      <c r="BE996" t="s">
        <v>18873</v>
      </c>
      <c r="BF996" t="str">
        <f>HYPERLINK("http://dx.doi.org/10.1007/s10531-019-01881-x","http://dx.doi.org/10.1007/s10531-019-01881-x")</f>
        <v>http://dx.doi.org/10.1007/s10531-019-01881-x</v>
      </c>
      <c r="BG996" t="s">
        <v>74</v>
      </c>
      <c r="BH996" t="s">
        <v>74</v>
      </c>
      <c r="BI996">
        <v>32</v>
      </c>
      <c r="BJ996" t="s">
        <v>784</v>
      </c>
      <c r="BK996" t="s">
        <v>103</v>
      </c>
      <c r="BL996" t="s">
        <v>131</v>
      </c>
      <c r="BM996" t="s">
        <v>18874</v>
      </c>
      <c r="BN996" t="s">
        <v>74</v>
      </c>
      <c r="BO996" t="s">
        <v>298</v>
      </c>
      <c r="BP996" t="s">
        <v>74</v>
      </c>
      <c r="BQ996" t="s">
        <v>74</v>
      </c>
      <c r="BR996" t="s">
        <v>106</v>
      </c>
      <c r="BS996" t="s">
        <v>18875</v>
      </c>
      <c r="BT996" t="str">
        <f>HYPERLINK("https%3A%2F%2Fwww.webofscience.com%2Fwos%2Fwoscc%2Ffull-record%2FWOS:000511866200014","View Full Record in Web of Science")</f>
        <v>View Full Record in Web of Science</v>
      </c>
    </row>
    <row r="997" spans="1:72" x14ac:dyDescent="0.15">
      <c r="A997" t="s">
        <v>12556</v>
      </c>
      <c r="B997" t="s">
        <v>18876</v>
      </c>
      <c r="C997" t="s">
        <v>74</v>
      </c>
      <c r="D997" t="s">
        <v>18877</v>
      </c>
      <c r="E997" t="s">
        <v>74</v>
      </c>
      <c r="F997" t="s">
        <v>18878</v>
      </c>
      <c r="G997" t="s">
        <v>74</v>
      </c>
      <c r="H997" t="s">
        <v>74</v>
      </c>
      <c r="I997" t="s">
        <v>18879</v>
      </c>
      <c r="J997" t="s">
        <v>18880</v>
      </c>
      <c r="K997" t="s">
        <v>18881</v>
      </c>
      <c r="L997" t="s">
        <v>74</v>
      </c>
      <c r="M997" t="s">
        <v>78</v>
      </c>
      <c r="N997" t="s">
        <v>12598</v>
      </c>
      <c r="O997" t="s">
        <v>74</v>
      </c>
      <c r="P997" t="s">
        <v>74</v>
      </c>
      <c r="Q997" t="s">
        <v>74</v>
      </c>
      <c r="R997" t="s">
        <v>74</v>
      </c>
      <c r="S997" t="s">
        <v>74</v>
      </c>
      <c r="T997" t="s">
        <v>74</v>
      </c>
      <c r="U997" t="s">
        <v>18882</v>
      </c>
      <c r="V997" t="s">
        <v>18883</v>
      </c>
      <c r="W997" t="s">
        <v>18884</v>
      </c>
      <c r="X997" t="s">
        <v>18885</v>
      </c>
      <c r="Y997" t="s">
        <v>18886</v>
      </c>
      <c r="Z997" t="s">
        <v>18887</v>
      </c>
      <c r="AA997" t="s">
        <v>18888</v>
      </c>
      <c r="AB997" t="s">
        <v>18889</v>
      </c>
      <c r="AC997" t="s">
        <v>18890</v>
      </c>
      <c r="AD997" t="s">
        <v>18890</v>
      </c>
      <c r="AE997" t="s">
        <v>18891</v>
      </c>
      <c r="AF997" t="s">
        <v>74</v>
      </c>
      <c r="AG997">
        <v>105</v>
      </c>
      <c r="AH997">
        <v>67</v>
      </c>
      <c r="AI997">
        <v>68</v>
      </c>
      <c r="AJ997">
        <v>1</v>
      </c>
      <c r="AK997">
        <v>6</v>
      </c>
      <c r="AL997" t="s">
        <v>121</v>
      </c>
      <c r="AM997" t="s">
        <v>122</v>
      </c>
      <c r="AN997" t="s">
        <v>18892</v>
      </c>
      <c r="AO997" t="s">
        <v>18893</v>
      </c>
      <c r="AP997" t="s">
        <v>74</v>
      </c>
      <c r="AQ997" t="s">
        <v>18894</v>
      </c>
      <c r="AR997" t="s">
        <v>18895</v>
      </c>
      <c r="AS997" t="s">
        <v>18896</v>
      </c>
      <c r="AT997" t="s">
        <v>74</v>
      </c>
      <c r="AU997">
        <v>2020</v>
      </c>
      <c r="AV997">
        <v>14</v>
      </c>
      <c r="AW997" t="s">
        <v>74</v>
      </c>
      <c r="AX997" t="s">
        <v>74</v>
      </c>
      <c r="AY997" t="s">
        <v>74</v>
      </c>
      <c r="AZ997" t="s">
        <v>74</v>
      </c>
      <c r="BA997" t="s">
        <v>74</v>
      </c>
      <c r="BB997">
        <v>3</v>
      </c>
      <c r="BC997">
        <v>31</v>
      </c>
      <c r="BD997" t="s">
        <v>74</v>
      </c>
      <c r="BE997" t="s">
        <v>18897</v>
      </c>
      <c r="BF997" t="str">
        <f>HYPERLINK("http://dx.doi.org/10.1007/978-3-030-32394-3_1","http://dx.doi.org/10.1007/978-3-030-32394-3_1")</f>
        <v>http://dx.doi.org/10.1007/978-3-030-32394-3_1</v>
      </c>
      <c r="BG997" t="s">
        <v>18898</v>
      </c>
      <c r="BH997" t="s">
        <v>74</v>
      </c>
      <c r="BI997">
        <v>29</v>
      </c>
      <c r="BJ997" t="s">
        <v>18899</v>
      </c>
      <c r="BK997" t="s">
        <v>13302</v>
      </c>
      <c r="BL997" t="s">
        <v>131</v>
      </c>
      <c r="BM997" t="s">
        <v>18900</v>
      </c>
      <c r="BN997" t="s">
        <v>74</v>
      </c>
      <c r="BO997" t="s">
        <v>461</v>
      </c>
      <c r="BP997" t="s">
        <v>74</v>
      </c>
      <c r="BQ997" t="s">
        <v>74</v>
      </c>
      <c r="BR997" t="s">
        <v>106</v>
      </c>
      <c r="BS997" t="s">
        <v>18901</v>
      </c>
      <c r="BT997" t="str">
        <f>HYPERLINK("https%3A%2F%2Fwww.webofscience.com%2Fwos%2Fwoscc%2Ffull-record%2FWOS:000879690200002","View Full Record in Web of Science")</f>
        <v>View Full Record in Web of Science</v>
      </c>
    </row>
    <row r="998" spans="1:72" x14ac:dyDescent="0.15">
      <c r="A998" t="s">
        <v>12556</v>
      </c>
      <c r="B998" t="s">
        <v>18902</v>
      </c>
      <c r="C998" t="s">
        <v>74</v>
      </c>
      <c r="D998" t="s">
        <v>18877</v>
      </c>
      <c r="E998" t="s">
        <v>74</v>
      </c>
      <c r="F998" t="s">
        <v>18903</v>
      </c>
      <c r="G998" t="s">
        <v>74</v>
      </c>
      <c r="H998" t="s">
        <v>74</v>
      </c>
      <c r="I998" t="s">
        <v>18904</v>
      </c>
      <c r="J998" t="s">
        <v>18880</v>
      </c>
      <c r="K998" t="s">
        <v>18881</v>
      </c>
      <c r="L998" t="s">
        <v>74</v>
      </c>
      <c r="M998" t="s">
        <v>78</v>
      </c>
      <c r="N998" t="s">
        <v>12422</v>
      </c>
      <c r="O998" t="s">
        <v>74</v>
      </c>
      <c r="P998" t="s">
        <v>74</v>
      </c>
      <c r="Q998" t="s">
        <v>74</v>
      </c>
      <c r="R998" t="s">
        <v>74</v>
      </c>
      <c r="S998" t="s">
        <v>74</v>
      </c>
      <c r="T998" t="s">
        <v>74</v>
      </c>
      <c r="U998" t="s">
        <v>18905</v>
      </c>
      <c r="V998" t="s">
        <v>18906</v>
      </c>
      <c r="W998" t="s">
        <v>18907</v>
      </c>
      <c r="X998" t="s">
        <v>18908</v>
      </c>
      <c r="Y998" t="s">
        <v>18909</v>
      </c>
      <c r="Z998" t="s">
        <v>18910</v>
      </c>
      <c r="AA998" t="s">
        <v>74</v>
      </c>
      <c r="AB998" t="s">
        <v>18911</v>
      </c>
      <c r="AC998" t="s">
        <v>18912</v>
      </c>
      <c r="AD998" t="s">
        <v>18912</v>
      </c>
      <c r="AE998" t="s">
        <v>18913</v>
      </c>
      <c r="AF998" t="s">
        <v>74</v>
      </c>
      <c r="AG998">
        <v>123</v>
      </c>
      <c r="AH998">
        <v>2</v>
      </c>
      <c r="AI998">
        <v>2</v>
      </c>
      <c r="AJ998">
        <v>0</v>
      </c>
      <c r="AK998">
        <v>1</v>
      </c>
      <c r="AL998" t="s">
        <v>121</v>
      </c>
      <c r="AM998" t="s">
        <v>122</v>
      </c>
      <c r="AN998" t="s">
        <v>18892</v>
      </c>
      <c r="AO998" t="s">
        <v>18893</v>
      </c>
      <c r="AP998" t="s">
        <v>74</v>
      </c>
      <c r="AQ998" t="s">
        <v>18894</v>
      </c>
      <c r="AR998" t="s">
        <v>18895</v>
      </c>
      <c r="AS998" t="s">
        <v>18896</v>
      </c>
      <c r="AT998" t="s">
        <v>74</v>
      </c>
      <c r="AU998">
        <v>2020</v>
      </c>
      <c r="AV998">
        <v>14</v>
      </c>
      <c r="AW998" t="s">
        <v>74</v>
      </c>
      <c r="AX998" t="s">
        <v>74</v>
      </c>
      <c r="AY998" t="s">
        <v>74</v>
      </c>
      <c r="AZ998" t="s">
        <v>74</v>
      </c>
      <c r="BA998" t="s">
        <v>74</v>
      </c>
      <c r="BB998">
        <v>207</v>
      </c>
      <c r="BC998">
        <v>227</v>
      </c>
      <c r="BD998" t="s">
        <v>74</v>
      </c>
      <c r="BE998" t="s">
        <v>18914</v>
      </c>
      <c r="BF998" t="str">
        <f>HYPERLINK("http://dx.doi.org/10.1007/978-3-030-32394-3_8","http://dx.doi.org/10.1007/978-3-030-32394-3_8")</f>
        <v>http://dx.doi.org/10.1007/978-3-030-32394-3_8</v>
      </c>
      <c r="BG998" t="s">
        <v>18898</v>
      </c>
      <c r="BH998" t="s">
        <v>74</v>
      </c>
      <c r="BI998">
        <v>21</v>
      </c>
      <c r="BJ998" t="s">
        <v>18899</v>
      </c>
      <c r="BK998" t="s">
        <v>13302</v>
      </c>
      <c r="BL998" t="s">
        <v>131</v>
      </c>
      <c r="BM998" t="s">
        <v>18900</v>
      </c>
      <c r="BN998" t="s">
        <v>74</v>
      </c>
      <c r="BO998" t="s">
        <v>148</v>
      </c>
      <c r="BP998" t="s">
        <v>74</v>
      </c>
      <c r="BQ998" t="s">
        <v>74</v>
      </c>
      <c r="BR998" t="s">
        <v>106</v>
      </c>
      <c r="BS998" t="s">
        <v>18915</v>
      </c>
      <c r="BT998" t="str">
        <f>HYPERLINK("https%3A%2F%2Fwww.webofscience.com%2Fwos%2Fwoscc%2Ffull-record%2FWOS:000879690200009","View Full Record in Web of Science")</f>
        <v>View Full Record in Web of Science</v>
      </c>
    </row>
    <row r="999" spans="1:72" x14ac:dyDescent="0.15">
      <c r="A999" t="s">
        <v>12416</v>
      </c>
      <c r="B999" t="s">
        <v>18916</v>
      </c>
      <c r="C999" t="s">
        <v>18916</v>
      </c>
      <c r="D999" t="s">
        <v>74</v>
      </c>
      <c r="E999" t="s">
        <v>74</v>
      </c>
      <c r="F999" t="s">
        <v>18917</v>
      </c>
      <c r="G999" t="s">
        <v>18916</v>
      </c>
      <c r="H999" t="s">
        <v>74</v>
      </c>
      <c r="I999" t="s">
        <v>18918</v>
      </c>
      <c r="J999" t="s">
        <v>18919</v>
      </c>
      <c r="K999" t="s">
        <v>18920</v>
      </c>
      <c r="L999" t="s">
        <v>74</v>
      </c>
      <c r="M999" t="s">
        <v>78</v>
      </c>
      <c r="N999" t="s">
        <v>12598</v>
      </c>
      <c r="O999" t="s">
        <v>74</v>
      </c>
      <c r="P999" t="s">
        <v>74</v>
      </c>
      <c r="Q999" t="s">
        <v>74</v>
      </c>
      <c r="R999" t="s">
        <v>74</v>
      </c>
      <c r="S999" t="s">
        <v>74</v>
      </c>
      <c r="T999" t="s">
        <v>74</v>
      </c>
      <c r="U999" t="s">
        <v>18921</v>
      </c>
      <c r="V999" t="s">
        <v>74</v>
      </c>
      <c r="W999" t="s">
        <v>18922</v>
      </c>
      <c r="X999" t="s">
        <v>18923</v>
      </c>
      <c r="Y999" t="s">
        <v>18924</v>
      </c>
      <c r="Z999" t="s">
        <v>74</v>
      </c>
      <c r="AA999" t="s">
        <v>18925</v>
      </c>
      <c r="AB999" t="s">
        <v>74</v>
      </c>
      <c r="AC999" t="s">
        <v>74</v>
      </c>
      <c r="AD999" t="s">
        <v>74</v>
      </c>
      <c r="AE999" t="s">
        <v>74</v>
      </c>
      <c r="AF999" t="s">
        <v>74</v>
      </c>
      <c r="AG999">
        <v>1344</v>
      </c>
      <c r="AH999">
        <v>0</v>
      </c>
      <c r="AI999">
        <v>0</v>
      </c>
      <c r="AJ999">
        <v>0</v>
      </c>
      <c r="AK999">
        <v>0</v>
      </c>
      <c r="AL999" t="s">
        <v>18926</v>
      </c>
      <c r="AM999" t="s">
        <v>212</v>
      </c>
      <c r="AN999" t="s">
        <v>18927</v>
      </c>
      <c r="AO999" t="s">
        <v>74</v>
      </c>
      <c r="AP999" t="s">
        <v>74</v>
      </c>
      <c r="AQ999" t="s">
        <v>18928</v>
      </c>
      <c r="AR999" t="s">
        <v>18929</v>
      </c>
      <c r="AS999" t="s">
        <v>74</v>
      </c>
      <c r="AT999" t="s">
        <v>74</v>
      </c>
      <c r="AU999">
        <v>2020</v>
      </c>
      <c r="AV999" t="s">
        <v>74</v>
      </c>
      <c r="AW999" t="s">
        <v>74</v>
      </c>
      <c r="AX999" t="s">
        <v>74</v>
      </c>
      <c r="AY999" t="s">
        <v>74</v>
      </c>
      <c r="AZ999" t="s">
        <v>74</v>
      </c>
      <c r="BA999" t="s">
        <v>74</v>
      </c>
      <c r="BB999" t="s">
        <v>18930</v>
      </c>
      <c r="BC999" t="s">
        <v>759</v>
      </c>
      <c r="BD999" t="s">
        <v>74</v>
      </c>
      <c r="BE999" t="s">
        <v>74</v>
      </c>
      <c r="BF999" t="s">
        <v>74</v>
      </c>
      <c r="BG999" t="s">
        <v>18931</v>
      </c>
      <c r="BH999" t="s">
        <v>74</v>
      </c>
      <c r="BI999">
        <v>69</v>
      </c>
      <c r="BJ999" t="s">
        <v>18932</v>
      </c>
      <c r="BK999" t="s">
        <v>12436</v>
      </c>
      <c r="BL999" t="s">
        <v>18933</v>
      </c>
      <c r="BM999" t="s">
        <v>18934</v>
      </c>
      <c r="BN999" t="s">
        <v>74</v>
      </c>
      <c r="BO999" t="s">
        <v>74</v>
      </c>
      <c r="BP999" t="s">
        <v>74</v>
      </c>
      <c r="BQ999" t="s">
        <v>74</v>
      </c>
      <c r="BR999" t="s">
        <v>106</v>
      </c>
      <c r="BS999" t="s">
        <v>18935</v>
      </c>
      <c r="BT999" t="str">
        <f>HYPERLINK("https%3A%2F%2Fwww.webofscience.com%2Fwos%2Fwoscc%2Ffull-record%2FWOS:001075076600001","View Full Record in Web of Science")</f>
        <v>View Full Record in Web of Science</v>
      </c>
    </row>
    <row r="1000" spans="1:72" x14ac:dyDescent="0.15">
      <c r="A1000" t="s">
        <v>12416</v>
      </c>
      <c r="B1000" t="s">
        <v>18936</v>
      </c>
      <c r="C1000" t="s">
        <v>74</v>
      </c>
      <c r="D1000" t="s">
        <v>18937</v>
      </c>
      <c r="E1000" t="s">
        <v>74</v>
      </c>
      <c r="F1000" t="s">
        <v>18938</v>
      </c>
      <c r="G1000" t="s">
        <v>74</v>
      </c>
      <c r="H1000" t="s">
        <v>74</v>
      </c>
      <c r="I1000" t="s">
        <v>18939</v>
      </c>
      <c r="J1000" t="s">
        <v>18940</v>
      </c>
      <c r="K1000" t="s">
        <v>18941</v>
      </c>
      <c r="L1000" t="s">
        <v>74</v>
      </c>
      <c r="M1000" t="s">
        <v>78</v>
      </c>
      <c r="N1000" t="s">
        <v>12422</v>
      </c>
      <c r="O1000" t="s">
        <v>74</v>
      </c>
      <c r="P1000" t="s">
        <v>74</v>
      </c>
      <c r="Q1000" t="s">
        <v>74</v>
      </c>
      <c r="R1000" t="s">
        <v>74</v>
      </c>
      <c r="S1000" t="s">
        <v>74</v>
      </c>
      <c r="T1000" t="s">
        <v>74</v>
      </c>
      <c r="U1000" t="s">
        <v>74</v>
      </c>
      <c r="V1000" t="s">
        <v>74</v>
      </c>
      <c r="W1000" t="s">
        <v>18942</v>
      </c>
      <c r="X1000" t="s">
        <v>4166</v>
      </c>
      <c r="Y1000" t="s">
        <v>18943</v>
      </c>
      <c r="Z1000" t="s">
        <v>74</v>
      </c>
      <c r="AA1000" t="s">
        <v>18944</v>
      </c>
      <c r="AB1000" t="s">
        <v>74</v>
      </c>
      <c r="AC1000" t="s">
        <v>74</v>
      </c>
      <c r="AD1000" t="s">
        <v>74</v>
      </c>
      <c r="AE1000" t="s">
        <v>74</v>
      </c>
      <c r="AF1000" t="s">
        <v>74</v>
      </c>
      <c r="AG1000">
        <v>107</v>
      </c>
      <c r="AH1000">
        <v>0</v>
      </c>
      <c r="AI1000">
        <v>0</v>
      </c>
      <c r="AJ1000">
        <v>0</v>
      </c>
      <c r="AK1000">
        <v>0</v>
      </c>
      <c r="AL1000" t="s">
        <v>238</v>
      </c>
      <c r="AM1000" t="s">
        <v>3234</v>
      </c>
      <c r="AN1000" t="s">
        <v>13483</v>
      </c>
      <c r="AO1000" t="s">
        <v>74</v>
      </c>
      <c r="AP1000" t="s">
        <v>74</v>
      </c>
      <c r="AQ1000" t="s">
        <v>18945</v>
      </c>
      <c r="AR1000" t="s">
        <v>18946</v>
      </c>
      <c r="AS1000" t="s">
        <v>74</v>
      </c>
      <c r="AT1000" t="s">
        <v>74</v>
      </c>
      <c r="AU1000">
        <v>2020</v>
      </c>
      <c r="AV1000" t="s">
        <v>74</v>
      </c>
      <c r="AW1000" t="s">
        <v>74</v>
      </c>
      <c r="AX1000" t="s">
        <v>74</v>
      </c>
      <c r="AY1000" t="s">
        <v>74</v>
      </c>
      <c r="AZ1000" t="s">
        <v>74</v>
      </c>
      <c r="BA1000" t="s">
        <v>74</v>
      </c>
      <c r="BB1000">
        <v>566</v>
      </c>
      <c r="BC1000">
        <v>580</v>
      </c>
      <c r="BD1000" t="s">
        <v>74</v>
      </c>
      <c r="BE1000" t="s">
        <v>74</v>
      </c>
      <c r="BF1000" t="s">
        <v>74</v>
      </c>
      <c r="BG1000" t="s">
        <v>18947</v>
      </c>
      <c r="BH1000" t="s">
        <v>74</v>
      </c>
      <c r="BI1000">
        <v>15</v>
      </c>
      <c r="BJ1000" t="s">
        <v>18948</v>
      </c>
      <c r="BK1000" t="s">
        <v>12552</v>
      </c>
      <c r="BL1000" t="s">
        <v>18949</v>
      </c>
      <c r="BM1000" t="s">
        <v>18950</v>
      </c>
      <c r="BN1000" t="s">
        <v>74</v>
      </c>
      <c r="BO1000" t="s">
        <v>694</v>
      </c>
      <c r="BP1000" t="s">
        <v>74</v>
      </c>
      <c r="BQ1000" t="s">
        <v>74</v>
      </c>
      <c r="BR1000" t="s">
        <v>106</v>
      </c>
      <c r="BS1000" t="s">
        <v>18951</v>
      </c>
      <c r="BT1000" t="str">
        <f>HYPERLINK("https%3A%2F%2Fwww.webofscience.com%2Fwos%2Fwoscc%2Ffull-record%2FWOS:000780882500046","View Full Record in Web of Science")</f>
        <v>View Full Record in Web of Science</v>
      </c>
    </row>
    <row r="1001" spans="1:72" x14ac:dyDescent="0.15">
      <c r="A1001" t="s">
        <v>72</v>
      </c>
      <c r="B1001" t="s">
        <v>18952</v>
      </c>
      <c r="C1001" t="s">
        <v>74</v>
      </c>
      <c r="D1001" t="s">
        <v>74</v>
      </c>
      <c r="E1001" t="s">
        <v>74</v>
      </c>
      <c r="F1001" t="s">
        <v>18953</v>
      </c>
      <c r="G1001" t="s">
        <v>74</v>
      </c>
      <c r="H1001" t="s">
        <v>74</v>
      </c>
      <c r="I1001" t="s">
        <v>18954</v>
      </c>
      <c r="J1001" t="s">
        <v>18955</v>
      </c>
      <c r="K1001" t="s">
        <v>74</v>
      </c>
      <c r="L1001" t="s">
        <v>74</v>
      </c>
      <c r="M1001" t="s">
        <v>78</v>
      </c>
      <c r="N1001" t="s">
        <v>79</v>
      </c>
      <c r="O1001" t="s">
        <v>74</v>
      </c>
      <c r="P1001" t="s">
        <v>74</v>
      </c>
      <c r="Q1001" t="s">
        <v>74</v>
      </c>
      <c r="R1001" t="s">
        <v>74</v>
      </c>
      <c r="S1001" t="s">
        <v>74</v>
      </c>
      <c r="T1001" t="s">
        <v>18956</v>
      </c>
      <c r="U1001" t="s">
        <v>74</v>
      </c>
      <c r="V1001" t="s">
        <v>18957</v>
      </c>
      <c r="W1001" t="s">
        <v>18958</v>
      </c>
      <c r="X1001" t="s">
        <v>15387</v>
      </c>
      <c r="Y1001" t="s">
        <v>18959</v>
      </c>
      <c r="Z1001" t="s">
        <v>18960</v>
      </c>
      <c r="AA1001" t="s">
        <v>18961</v>
      </c>
      <c r="AB1001" t="s">
        <v>18962</v>
      </c>
      <c r="AC1001" t="s">
        <v>18963</v>
      </c>
      <c r="AD1001" t="s">
        <v>18964</v>
      </c>
      <c r="AE1001" t="s">
        <v>18965</v>
      </c>
      <c r="AF1001" t="s">
        <v>74</v>
      </c>
      <c r="AG1001">
        <v>59</v>
      </c>
      <c r="AH1001">
        <v>1</v>
      </c>
      <c r="AI1001">
        <v>1</v>
      </c>
      <c r="AJ1001">
        <v>0</v>
      </c>
      <c r="AK1001">
        <v>1</v>
      </c>
      <c r="AL1001" t="s">
        <v>18966</v>
      </c>
      <c r="AM1001" t="s">
        <v>17255</v>
      </c>
      <c r="AN1001" t="s">
        <v>18967</v>
      </c>
      <c r="AO1001" t="s">
        <v>18968</v>
      </c>
      <c r="AP1001" t="s">
        <v>74</v>
      </c>
      <c r="AQ1001" t="s">
        <v>74</v>
      </c>
      <c r="AR1001" t="s">
        <v>18955</v>
      </c>
      <c r="AS1001" t="s">
        <v>18969</v>
      </c>
      <c r="AT1001" t="s">
        <v>74</v>
      </c>
      <c r="AU1001">
        <v>2020</v>
      </c>
      <c r="AV1001">
        <v>16</v>
      </c>
      <c r="AW1001">
        <v>3</v>
      </c>
      <c r="AX1001" t="s">
        <v>74</v>
      </c>
      <c r="AY1001" t="s">
        <v>74</v>
      </c>
      <c r="AZ1001" t="s">
        <v>74</v>
      </c>
      <c r="BA1001" t="s">
        <v>74</v>
      </c>
      <c r="BB1001">
        <v>773</v>
      </c>
      <c r="BC1001">
        <v>779</v>
      </c>
      <c r="BD1001" t="s">
        <v>74</v>
      </c>
      <c r="BE1001" t="s">
        <v>18970</v>
      </c>
      <c r="BF1001" t="str">
        <f>HYPERLINK("http://dx.doi.org/10.15560/16.3.773","http://dx.doi.org/10.15560/16.3.773")</f>
        <v>http://dx.doi.org/10.15560/16.3.773</v>
      </c>
      <c r="BG1001" t="s">
        <v>74</v>
      </c>
      <c r="BH1001" t="s">
        <v>74</v>
      </c>
      <c r="BI1001">
        <v>7</v>
      </c>
      <c r="BJ1001" t="s">
        <v>18971</v>
      </c>
      <c r="BK1001" t="s">
        <v>274</v>
      </c>
      <c r="BL1001" t="s">
        <v>18972</v>
      </c>
      <c r="BM1001" t="s">
        <v>18973</v>
      </c>
      <c r="BN1001" t="s">
        <v>74</v>
      </c>
      <c r="BO1001" t="s">
        <v>1359</v>
      </c>
      <c r="BP1001" t="s">
        <v>74</v>
      </c>
      <c r="BQ1001" t="s">
        <v>74</v>
      </c>
      <c r="BR1001" t="s">
        <v>106</v>
      </c>
      <c r="BS1001" t="s">
        <v>18974</v>
      </c>
      <c r="BT1001" t="str">
        <f>HYPERLINK("https%3A%2F%2Fwww.webofscience.com%2Fwos%2Fwoscc%2Ffull-record%2FWOS:000906588300031","View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2024-07-28T15:23:43Z</dcterms:created>
  <dcterms:modified xsi:type="dcterms:W3CDTF">2024-07-28T15:23:43Z</dcterms:modified>
</cp:coreProperties>
</file>